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ariocamino/Arkad Group Dropbox/Direct Buyers Nationwide/Tools/"/>
    </mc:Choice>
  </mc:AlternateContent>
  <xr:revisionPtr revIDLastSave="0" documentId="8_{9568483C-C041-6644-AFE9-B6C360EA94B6}" xr6:coauthVersionLast="47" xr6:coauthVersionMax="47" xr10:uidLastSave="{00000000-0000-0000-0000-000000000000}"/>
  <bookViews>
    <workbookView xWindow="0" yWindow="500" windowWidth="24600" windowHeight="14960" activeTab="4" xr2:uid="{00000000-000D-0000-FFFF-FFFF00000000}"/>
  </bookViews>
  <sheets>
    <sheet name="DEAL ANALYZER" sheetId="4" r:id="rId1"/>
    <sheet name="HARD MONEY LOAN" sheetId="15" r:id="rId2"/>
    <sheet name="REPAIR ESTIMATOR" sheetId="11" r:id="rId3"/>
    <sheet name="DEAL SCENARIOS" sheetId="13" state="hidden" r:id="rId4"/>
    <sheet name="OFFER LETTER" sheetId="6" r:id="rId5"/>
    <sheet name="INVESTMENT REPORT" sheetId="12" state="hidden" r:id="rId6"/>
    <sheet name="CHECKLISTS" sheetId="8" r:id="rId7"/>
    <sheet name="RULES OF THUMB" sheetId="5" r:id="rId8"/>
    <sheet name="SCENARIOS" sheetId="7"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_ProjectsArray" localSheetId="5">'[1]Project List'!$A$6:$J$49</definedName>
    <definedName name="_ProjectsArray" localSheetId="2">'[1]Project List'!$A$6:$J$49</definedName>
    <definedName name="_ProjectsArray">'[1]Project List'!$A$6:$J$49</definedName>
    <definedName name="After_Repair_Value_Result">'[2]ANALYSIS DATABASE'!$C$165</definedName>
    <definedName name="ARV">'[2]ANALYSIS DATABASE'!$C$30</definedName>
    <definedName name="ARV_Sensitivity">SCENARIOS!$I$15</definedName>
    <definedName name="Baths">'[2]ANALYSIS DATABASE'!$C$14</definedName>
    <definedName name="Beds">'[2]ANALYSIS DATABASE'!$C$13</definedName>
    <definedName name="BuiltIn_AutoFilter___1" localSheetId="0">#N/A</definedName>
    <definedName name="BuiltIn_AutoFilter___1" localSheetId="5">#REF!</definedName>
    <definedName name="BuiltIn_AutoFilter___1" localSheetId="2">#REF!</definedName>
    <definedName name="BuiltIn_AutoFilter___1">#REF!</definedName>
    <definedName name="BuiltIn_AutoFilter___1_1" localSheetId="0">#N/A</definedName>
    <definedName name="BuiltIn_AutoFilter___1_1" localSheetId="5">#REF!</definedName>
    <definedName name="BuiltIn_AutoFilter___1_1" localSheetId="2">#REF!</definedName>
    <definedName name="BuiltIn_AutoFilter___1_1">#REF!</definedName>
    <definedName name="BuiltIn_AutoFilter___1_2" localSheetId="0">#N/A</definedName>
    <definedName name="BuiltIn_AutoFilter___1_2" localSheetId="5">#REF!</definedName>
    <definedName name="BuiltIn_AutoFilter___1_2" localSheetId="2">#REF!</definedName>
    <definedName name="BuiltIn_AutoFilter___1_2">#REF!</definedName>
    <definedName name="BuiltIn_AutoFilter___1_3" localSheetId="0">#N/A</definedName>
    <definedName name="BuiltIn_AutoFilter___1_3" localSheetId="5">#REF!</definedName>
    <definedName name="BuiltIn_AutoFilter___1_3" localSheetId="2">#REF!</definedName>
    <definedName name="BuiltIn_AutoFilter___1_3">#REF!</definedName>
    <definedName name="BuiltIn_AutoFilter___1_4" localSheetId="0">#N/A</definedName>
    <definedName name="BuiltIn_AutoFilter___1_4" localSheetId="5">#REF!</definedName>
    <definedName name="BuiltIn_AutoFilter___1_4" localSheetId="2">#REF!</definedName>
    <definedName name="BuiltIn_AutoFilter___1_4">#REF!</definedName>
    <definedName name="BuiltIn_AutoFilter___1_5" localSheetId="0">#N/A</definedName>
    <definedName name="BuiltIn_AutoFilter___1_5" localSheetId="5">#REF!</definedName>
    <definedName name="BuiltIn_AutoFilter___1_5" localSheetId="2">#REF!</definedName>
    <definedName name="BuiltIn_AutoFilter___1_5">#REF!</definedName>
    <definedName name="Buying_Costs_Result">'[2]ANALYSIS DATABASE'!$C$167</definedName>
    <definedName name="Category" localSheetId="5">OFFSET([3]Lookup!$C$2,0,0,MIN(COUNTA([3]Lookup!$C$2:$C$100)))</definedName>
    <definedName name="Category" localSheetId="2">OFFSET([3]Lookup!$C$2,0,0,MIN(COUNTA([3]Lookup!$C$2:$C$100)))</definedName>
    <definedName name="Category">OFFSET([3]Lookup!$C$2,0,0,MIN(COUNTA([3]Lookup!$C$2:$C$100)))</definedName>
    <definedName name="City_State_Zip">'[2]ANALYSIS DATABASE'!$C$9</definedName>
    <definedName name="Company_Email">[2]SETUP!$BI$13</definedName>
    <definedName name="Company_Name">[2]SETUP!$BI$10</definedName>
    <definedName name="Company_Phone">[2]SETUP!$BI$14</definedName>
    <definedName name="Company_Website">[2]SETUP!$BI$15</definedName>
    <definedName name="Comparable1_Street_Address">[2]COMPS!$AJ$6</definedName>
    <definedName name="Comparable2_Street_Address">[2]COMPS!$AW$6</definedName>
    <definedName name="Comparable3_Street_Address">[2]COMPS!$BJ$6</definedName>
    <definedName name="Design" localSheetId="5">'[1]Project List'!$F$6:$F$49</definedName>
    <definedName name="Design" localSheetId="2">'[1]Project List'!$F$6:$F$49</definedName>
    <definedName name="Design">'[1]Project List'!$F$6:$F$49</definedName>
    <definedName name="Development" localSheetId="5">'[1]Project List'!$H$6:$H$49</definedName>
    <definedName name="Development" localSheetId="2">'[1]Project List'!$H$6:$H$49</definedName>
    <definedName name="Development">'[1]Project List'!$H$6:$H$49</definedName>
    <definedName name="Editorial" localSheetId="5">'[1]Project List'!$G$6:$G$49</definedName>
    <definedName name="Editorial" localSheetId="2">'[1]Project List'!$G$6:$G$49</definedName>
    <definedName name="Editorial">'[1]Project List'!$G$6:$G$49</definedName>
    <definedName name="Endorsement" localSheetId="5">'[1]Project List'!$E$6:$E$49</definedName>
    <definedName name="Endorsement" localSheetId="2">'[1]Project List'!$E$6:$E$49</definedName>
    <definedName name="Endorsement">'[1]Project List'!$E$6:$E$49</definedName>
    <definedName name="Estimate_Sensitivity">SCENARIOS!$I$17</definedName>
    <definedName name="Holding_Costs_Result">'[2]ANALYSIS DATABASE'!$C$168</definedName>
    <definedName name="holidays" localSheetId="5">OFFSET([4]Holidays!$A$10,1,0,COUNTA([4]Holidays!$A$11:$A$4996),1)</definedName>
    <definedName name="holidays" localSheetId="2">OFFSET([4]Holidays!$A$10,1,0,COUNTA([4]Holidays!$A$11:$A$4996),1)</definedName>
    <definedName name="holidays">OFFSET([4]Holidays!$A$10,1,0,COUNTA([4]Holidays!$A$11:$A$4996),1)</definedName>
    <definedName name="HTML_CodePage" hidden="1">1252</definedName>
    <definedName name="HTML_Control" localSheetId="0" hidden="1">{"'Open Issues'!$A$1:$K$12","'Action Items'!$A$1:$F$30","'Risks'!$A$5:$I$10"}</definedName>
    <definedName name="HTML_Control" localSheetId="5" hidden="1">{"'Open Issues'!$A$1:$K$12","'Action Items'!$A$1:$F$30","'Risks'!$A$5:$I$10"}</definedName>
    <definedName name="HTML_Control" localSheetId="2" hidden="1">{"'Open Issues'!$A$1:$K$12","'Action Items'!$A$1:$F$30","'Risks'!$A$5:$I$10"}</definedName>
    <definedName name="HTML_Control" hidden="1">{"'Open Issues'!$A$1:$K$12","'Action Items'!$A$1:$F$30","'Risks'!$A$5:$I$10"}</definedName>
    <definedName name="HTML_Description" hidden="1">""</definedName>
    <definedName name="HTML_Email" hidden="1">"thomasmo"</definedName>
    <definedName name="HTML_Header" hidden="1">""</definedName>
    <definedName name="HTML_LastUpdate" hidden="1">"6/10/98"</definedName>
    <definedName name="HTML_LineAfter" hidden="1">FALSE</definedName>
    <definedName name="HTML_LineBefore" hidden="1">FALSE</definedName>
    <definedName name="HTML_Name" hidden="1">"Thomas Morrissey"</definedName>
    <definedName name="HTML_OBDlg2" hidden="1">TRUE</definedName>
    <definedName name="HTML_OBDlg4" hidden="1">TRUE</definedName>
    <definedName name="HTML_OS" hidden="1">0</definedName>
    <definedName name="HTML_PathFile" hidden="1">"D:\LVP1.0\Proj Mgt\LVP Action Items.htm"</definedName>
    <definedName name="HTML_Title" hidden="1">"LVP Action Items, Isues, Risks"</definedName>
    <definedName name="Launch" localSheetId="5">'[1]Project List'!$J$6:$J$49</definedName>
    <definedName name="Launch" localSheetId="2">'[1]Project List'!$J$6:$J$49</definedName>
    <definedName name="Launch">'[1]Project List'!$J$6:$J$49</definedName>
    <definedName name="LOB" localSheetId="5">OFFSET([3]Lookup!$D$2,0,0,MIN(COUNTA([3]Lookup!$D$2:$D$100)))</definedName>
    <definedName name="LOB" localSheetId="2">OFFSET([3]Lookup!$D$2,0,0,MIN(COUNTA([3]Lookup!$D$2:$D$100)))</definedName>
    <definedName name="LOB">OFFSET([3]Lookup!$D$2,0,0,MIN(COUNTA([3]Lookup!$D$2:$D$100)))</definedName>
    <definedName name="Offer_Deal_Type">'OFFER LETTER'!#REF!</definedName>
    <definedName name="Ok" localSheetId="5">#REF!</definedName>
    <definedName name="Ok">#REF!</definedName>
    <definedName name="_xlnm.Print_Area" localSheetId="0">'DEAL ANALYZER'!$B$2:$K$35,'DEAL ANALYZER'!$B$37:$K$87</definedName>
    <definedName name="_xlnm.Print_Area" localSheetId="1">'HARD MONEY LOAN'!$C$25:$H$70</definedName>
    <definedName name="_xlnm.Print_Area" localSheetId="5">'INVESTMENT REPORT'!$C$2:$L$46</definedName>
    <definedName name="_xlnm.Print_Area" localSheetId="4">'OFFER LETTER'!$B$4:$R$62</definedName>
    <definedName name="_xlnm.Print_Area" localSheetId="2">'REPAIR ESTIMATOR'!$C$2:$O$256</definedName>
    <definedName name="_xlnm.Print_Area" localSheetId="7">'RULES OF THUMB'!$B$5:$J$14</definedName>
    <definedName name="Priority" localSheetId="5">OFFSET([3]Lookup!$B$2,0,0,MIN(COUNTA([3]Lookup!$B$2:$B$100)))</definedName>
    <definedName name="Priority" localSheetId="2">OFFSET([3]Lookup!$B$2,0,0,MIN(COUNTA([3]Lookup!$B$2:$B$100)))</definedName>
    <definedName name="Priority">OFFSET([3]Lookup!$B$2,0,0,MIN(COUNTA([3]Lookup!$B$2:$B$100)))</definedName>
    <definedName name="ProcApp" localSheetId="0">#N/A</definedName>
    <definedName name="ProcApp" localSheetId="5">#REF!</definedName>
    <definedName name="ProcApp" localSheetId="2">#REF!</definedName>
    <definedName name="ProcApp">#REF!</definedName>
    <definedName name="Purchase_Price_Result">'[2]ANALYSIS DATABASE'!$C$166</definedName>
    <definedName name="Purchase_Price_Sensitivity">SCENARIOS!$I$13</definedName>
    <definedName name="Rehab_Analyzer_Calculation_Method">'[2]ANALYSIS DATABASE'!$C$35</definedName>
    <definedName name="RowOffset" localSheetId="5">'[1]Project List'!$I$1</definedName>
    <definedName name="RowOffset" localSheetId="2">'[1]Project List'!$I$1</definedName>
    <definedName name="RowOffset">'[1]Project List'!$I$1</definedName>
    <definedName name="Schedule_Sensitivity">SCENARIOS!$I$19</definedName>
    <definedName name="School_District">[2]SETUP!$AE$14</definedName>
    <definedName name="Selling_Costs_Result">'[2]ANALYSIS DATABASE'!$C$169</definedName>
    <definedName name="sort_range" localSheetId="0">#N/A</definedName>
    <definedName name="sort_range" localSheetId="5">'[5]Open Issues'!$3:$681</definedName>
    <definedName name="sort_range" localSheetId="2">'[5]Open Issues'!$3:$681</definedName>
    <definedName name="sort_range">'[6]Open Issues'!$A$3:$IV$681</definedName>
    <definedName name="Spec" localSheetId="5">'[1]Project List'!$D$6:$D$49</definedName>
    <definedName name="Spec" localSheetId="2">'[1]Project List'!$D$6:$D$49</definedName>
    <definedName name="Spec">'[1]Project List'!$D$6:$D$49</definedName>
    <definedName name="Square_Feet">'[2]ANALYSIS DATABASE'!$C$18</definedName>
    <definedName name="Stat" localSheetId="5">'[7]Site Release Action Items List'!$E:$E</definedName>
    <definedName name="Stat" localSheetId="2">'[7]Site Release Action Items List'!$E:$E</definedName>
    <definedName name="Stat">'[7]Site Release Action Items List'!$E$1:$E$65536</definedName>
    <definedName name="Status" localSheetId="5">OFFSET([3]Lookup!$A$2,0,0,MIN(COUNTA([3]Lookup!$A$2:$A$100)))</definedName>
    <definedName name="Status" localSheetId="2">OFFSET([3]Lookup!$A$2,0,0,MIN(COUNTA([3]Lookup!$A$2:$A$100)))</definedName>
    <definedName name="Status">OFFSET([3]Lookup!$A$2,0,0,MIN(COUNTA([3]Lookup!$A$2:$A$100)))</definedName>
    <definedName name="statuslist" localSheetId="0">#N/A</definedName>
    <definedName name="statuslist" localSheetId="5">#REF!</definedName>
    <definedName name="statuslist" localSheetId="2">#REF!</definedName>
    <definedName name="statuslist">#REF!</definedName>
    <definedName name="Street_Address">[2]SETUP!$AE$11</definedName>
    <definedName name="Subdivision">'[2]ANALYSIS DATABASE'!$C$11</definedName>
    <definedName name="Testing" localSheetId="5">'[1]Project List'!$I$6:$I$49</definedName>
    <definedName name="Testing" localSheetId="2">'[1]Project List'!$I$6:$I$49</definedName>
    <definedName name="Testing">'[1]Project List'!$I$6:$I$49</definedName>
    <definedName name="Total_Cash_Needed">'[2]ANALYSIS DATABASE'!$C$257</definedName>
    <definedName name="Total_Fixed_Costs_Result">'[2]ANALYSIS DATABASE'!$C$170</definedName>
    <definedName name="Total_Monthly_Holding_Costs">'[2]2 REHAB ANALYZER'!$Q$53</definedName>
    <definedName name="Total_Profit_Result">'[2]ANALYSIS DATABASE'!$C$176</definedName>
    <definedName name="TOTAL_REPAIRS_ESTIMATE">'[2]2 REHAB ANALYZER'!$AN$76</definedName>
    <definedName name="Total_Schedule_Cell">'[2]2 REHAB ANALYZER'!$L$51</definedName>
    <definedName name="valuevx">42.314159</definedName>
    <definedName name="Wholesale_Calculator_Fixed_Cost_Calculation_Method">'[2]WHOLESALE CALC'!$W$14</definedName>
    <definedName name="Years" localSheetId="5">OFFSET([3]Lookup!$L$2,0,0,MIN(COUNTA([3]Lookup!$L$2:$L$20)))</definedName>
    <definedName name="Years" localSheetId="2">OFFSET([3]Lookup!$L$2,0,0,MIN(COUNTA([3]Lookup!$L$2:$L$20)))</definedName>
    <definedName name="Years">OFFSET([3]Lookup!$L$2,0,0,MIN(COUNTA([3]Lookup!$L$2:$L$20)))</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 i="11" l="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9" i="11"/>
  <c r="N140" i="11"/>
  <c r="N141" i="11"/>
  <c r="N142" i="11"/>
  <c r="N143" i="11"/>
  <c r="N144" i="11"/>
  <c r="N145" i="11"/>
  <c r="N146" i="11"/>
  <c r="N147" i="11"/>
  <c r="N148" i="11"/>
  <c r="N149"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209" i="11"/>
  <c r="N210" i="11"/>
  <c r="N211" i="11"/>
  <c r="N212" i="11"/>
  <c r="N213" i="11"/>
  <c r="N214" i="11"/>
  <c r="N215" i="11"/>
  <c r="N216" i="11"/>
  <c r="N217" i="11"/>
  <c r="N218" i="11"/>
  <c r="N219" i="11"/>
  <c r="N220" i="11"/>
  <c r="N221" i="11"/>
  <c r="N222" i="11"/>
  <c r="N223" i="11"/>
  <c r="N224" i="11"/>
  <c r="N228" i="11"/>
  <c r="N229" i="11"/>
  <c r="N230" i="11"/>
  <c r="N231" i="11"/>
  <c r="N232" i="11"/>
  <c r="N233" i="11"/>
  <c r="N234" i="11"/>
  <c r="N235" i="11"/>
  <c r="N236" i="11"/>
  <c r="N237" i="11"/>
  <c r="N238" i="11"/>
  <c r="N239" i="11"/>
  <c r="N240" i="11"/>
  <c r="N241" i="11"/>
  <c r="N242" i="11"/>
  <c r="N243" i="11"/>
  <c r="M244" i="11"/>
  <c r="M246" i="11" s="1"/>
  <c r="E66" i="4"/>
  <c r="E59" i="4"/>
  <c r="I53" i="4"/>
  <c r="J53" i="4" s="1"/>
  <c r="D18" i="15"/>
  <c r="J63" i="4"/>
  <c r="D17" i="15" s="1"/>
  <c r="D16" i="15"/>
  <c r="D15" i="15"/>
  <c r="D41" i="15"/>
  <c r="D43" i="15"/>
  <c r="G54" i="15" s="1"/>
  <c r="D52" i="15"/>
  <c r="D58" i="15" s="1"/>
  <c r="H40" i="15"/>
  <c r="F41" i="15"/>
  <c r="G41" i="15"/>
  <c r="G42" i="15" s="1"/>
  <c r="G46" i="15"/>
  <c r="H46" i="15" s="1"/>
  <c r="G47" i="15"/>
  <c r="H47" i="15"/>
  <c r="E52" i="15"/>
  <c r="E58" i="15" s="1"/>
  <c r="F52" i="15"/>
  <c r="G52" i="15"/>
  <c r="G58" i="15"/>
  <c r="H52" i="15"/>
  <c r="H58" i="15" s="1"/>
  <c r="H64" i="15"/>
  <c r="F58" i="15"/>
  <c r="F60" i="15"/>
  <c r="F64" i="15"/>
  <c r="G64" i="15"/>
  <c r="D67" i="15"/>
  <c r="H67" i="15"/>
  <c r="G69" i="15"/>
  <c r="D69" i="15"/>
  <c r="H69" i="15" s="1"/>
  <c r="F69" i="15"/>
  <c r="E62" i="4"/>
  <c r="H41" i="15"/>
  <c r="H60" i="15"/>
  <c r="G60" i="15"/>
  <c r="D60" i="15"/>
  <c r="F42" i="15"/>
  <c r="F54" i="15"/>
  <c r="D46" i="15"/>
  <c r="D47" i="15" s="1"/>
  <c r="D54" i="15"/>
  <c r="D63" i="15" s="1"/>
  <c r="U235" i="11"/>
  <c r="U239" i="11" s="1"/>
  <c r="U233" i="11"/>
  <c r="U236" i="11"/>
  <c r="F14" i="6"/>
  <c r="F15" i="6"/>
  <c r="O15" i="6"/>
  <c r="O16" i="6"/>
  <c r="O17" i="6"/>
  <c r="R253" i="11"/>
  <c r="R252" i="11"/>
  <c r="R251" i="11"/>
  <c r="R250" i="11"/>
  <c r="R249" i="11"/>
  <c r="E41" i="13"/>
  <c r="E37" i="13"/>
  <c r="D36" i="13"/>
  <c r="E36" i="13" s="1"/>
  <c r="I35" i="13" s="1"/>
  <c r="H35" i="13"/>
  <c r="E35" i="13"/>
  <c r="I34" i="13"/>
  <c r="I36" i="13" s="1"/>
  <c r="H34" i="13"/>
  <c r="E34" i="13"/>
  <c r="E39" i="13" s="1"/>
  <c r="E38" i="13" s="1"/>
  <c r="I33" i="13"/>
  <c r="H33" i="13"/>
  <c r="E55" i="4"/>
  <c r="G48" i="6"/>
  <c r="E60" i="4"/>
  <c r="C21" i="13"/>
  <c r="D20" i="13"/>
  <c r="H19" i="13"/>
  <c r="H22" i="13" s="1"/>
  <c r="I19" i="13"/>
  <c r="J14" i="13"/>
  <c r="I14" i="13"/>
  <c r="H14" i="13"/>
  <c r="E14" i="13"/>
  <c r="J13" i="13"/>
  <c r="I13" i="13"/>
  <c r="H13" i="13"/>
  <c r="E13" i="13"/>
  <c r="J12" i="13"/>
  <c r="I12" i="13"/>
  <c r="H12" i="13"/>
  <c r="E12" i="13"/>
  <c r="J9" i="13"/>
  <c r="J10" i="13"/>
  <c r="J15" i="13"/>
  <c r="I9" i="13"/>
  <c r="I10" i="13"/>
  <c r="I15" i="13" s="1"/>
  <c r="H9" i="13"/>
  <c r="H10" i="13"/>
  <c r="H15" i="13" s="1"/>
  <c r="E9" i="13"/>
  <c r="E10" i="13"/>
  <c r="E15" i="13"/>
  <c r="D21" i="13"/>
  <c r="I21" i="13"/>
  <c r="H20" i="13"/>
  <c r="I20" i="13" s="1"/>
  <c r="I22" i="13" s="1"/>
  <c r="J21" i="12"/>
  <c r="K20" i="12" s="1"/>
  <c r="L251" i="11"/>
  <c r="J3" i="11"/>
  <c r="I4" i="11"/>
  <c r="G4" i="11"/>
  <c r="D4" i="11"/>
  <c r="K16" i="12"/>
  <c r="K18" i="12"/>
  <c r="F21" i="12"/>
  <c r="N245" i="11"/>
  <c r="L250" i="11" s="1"/>
  <c r="G16" i="12"/>
  <c r="G17" i="12"/>
  <c r="G21" i="12" s="1"/>
  <c r="G18" i="12"/>
  <c r="L249" i="11"/>
  <c r="Q251" i="11"/>
  <c r="H36" i="6"/>
  <c r="G250" i="11"/>
  <c r="Q250" i="11" s="1"/>
  <c r="G249" i="11"/>
  <c r="Q249" i="11"/>
  <c r="E36" i="6"/>
  <c r="N246" i="11"/>
  <c r="H43" i="6"/>
  <c r="H31" i="6"/>
  <c r="H32" i="6"/>
  <c r="H33" i="6"/>
  <c r="H34" i="6"/>
  <c r="H30" i="6"/>
  <c r="H29" i="6"/>
  <c r="I44" i="6"/>
  <c r="I43" i="6"/>
  <c r="N29" i="6"/>
  <c r="L30" i="6"/>
  <c r="L31" i="6"/>
  <c r="L32" i="6"/>
  <c r="L33" i="6"/>
  <c r="L34" i="6"/>
  <c r="L29" i="6"/>
  <c r="J30" i="6"/>
  <c r="J31" i="6"/>
  <c r="J32" i="6"/>
  <c r="J33" i="6"/>
  <c r="J34" i="6"/>
  <c r="J29" i="6"/>
  <c r="F30" i="6"/>
  <c r="G30" i="6"/>
  <c r="F31" i="6"/>
  <c r="G31" i="6"/>
  <c r="F32" i="6"/>
  <c r="G32" i="6"/>
  <c r="F33" i="6"/>
  <c r="G33" i="6"/>
  <c r="F34" i="6"/>
  <c r="G34" i="6"/>
  <c r="G29" i="6"/>
  <c r="F29" i="6"/>
  <c r="B30" i="6"/>
  <c r="B31" i="6"/>
  <c r="B32" i="6"/>
  <c r="B33" i="6"/>
  <c r="B34" i="6"/>
  <c r="B29" i="6"/>
  <c r="F16" i="6"/>
  <c r="F17" i="6"/>
  <c r="H41" i="6"/>
  <c r="G41" i="6" s="1"/>
  <c r="A18" i="7"/>
  <c r="S18" i="7"/>
  <c r="S26" i="7"/>
  <c r="AC26" i="7" s="1"/>
  <c r="AH26" i="7" s="1"/>
  <c r="S25" i="7"/>
  <c r="AC25" i="7" s="1"/>
  <c r="AH25" i="7" s="1"/>
  <c r="S24" i="7"/>
  <c r="S23" i="7"/>
  <c r="S22" i="7"/>
  <c r="S21" i="7"/>
  <c r="AC21" i="7" s="1"/>
  <c r="AH21" i="7" s="1"/>
  <c r="S20" i="7"/>
  <c r="S19" i="7"/>
  <c r="AC19" i="7" s="1"/>
  <c r="AH19" i="7" s="1"/>
  <c r="BY16" i="7"/>
  <c r="BY17" i="7" s="1"/>
  <c r="AP22" i="7"/>
  <c r="AP23" i="7" s="1"/>
  <c r="AU13" i="7"/>
  <c r="S13" i="7"/>
  <c r="AC13" i="7" s="1"/>
  <c r="AH13" i="7" s="1"/>
  <c r="N22" i="7"/>
  <c r="AU12" i="7"/>
  <c r="S12" i="7"/>
  <c r="AU11" i="7"/>
  <c r="S11" i="7"/>
  <c r="AC11" i="7" s="1"/>
  <c r="AH11" i="7" s="1"/>
  <c r="AU10" i="7"/>
  <c r="S10" i="7"/>
  <c r="AC10" i="7" s="1"/>
  <c r="AH10" i="7" s="1"/>
  <c r="AU9" i="7"/>
  <c r="S9" i="7"/>
  <c r="AC9" i="7" s="1"/>
  <c r="AH9" i="7" s="1"/>
  <c r="AU8" i="7"/>
  <c r="S8" i="7"/>
  <c r="AU7" i="7"/>
  <c r="S7" i="7"/>
  <c r="AU6" i="7"/>
  <c r="S6" i="7"/>
  <c r="AC6" i="7" s="1"/>
  <c r="AH6" i="7" s="1"/>
  <c r="AU5" i="7"/>
  <c r="S5" i="7"/>
  <c r="AC5" i="7" s="1"/>
  <c r="AH5" i="7" s="1"/>
  <c r="AZ22" i="7"/>
  <c r="N21" i="7"/>
  <c r="N23" i="7"/>
  <c r="BY18" i="7"/>
  <c r="N24" i="7"/>
  <c r="N25" i="7" s="1"/>
  <c r="N26" i="7" s="1"/>
  <c r="N20" i="7"/>
  <c r="N19" i="7" s="1"/>
  <c r="N18" i="7" s="1"/>
  <c r="BY9" i="7"/>
  <c r="AP9" i="7"/>
  <c r="AP10" i="7"/>
  <c r="AP8" i="7"/>
  <c r="BE8" i="7" s="1"/>
  <c r="BJ8" i="7" s="1"/>
  <c r="AP11" i="7"/>
  <c r="AP12" i="7" s="1"/>
  <c r="AP7" i="7"/>
  <c r="AP6" i="7" s="1"/>
  <c r="BY14" i="7"/>
  <c r="BE10" i="7"/>
  <c r="BJ10" i="7" s="1"/>
  <c r="BE9" i="7"/>
  <c r="BJ9" i="7"/>
  <c r="AC22" i="7"/>
  <c r="AH22" i="7"/>
  <c r="AC23" i="7"/>
  <c r="AH23" i="7"/>
  <c r="AC20" i="7"/>
  <c r="AH20" i="7" s="1"/>
  <c r="AC24" i="7"/>
  <c r="AH24" i="7"/>
  <c r="AC18" i="7"/>
  <c r="AH18" i="7" s="1"/>
  <c r="BJ22" i="7"/>
  <c r="N9" i="7"/>
  <c r="N10" i="7" s="1"/>
  <c r="N11" i="7" s="1"/>
  <c r="N12" i="7" s="1"/>
  <c r="N13" i="7" s="1"/>
  <c r="BY25" i="7"/>
  <c r="AC8" i="7"/>
  <c r="AH8" i="7"/>
  <c r="AC7" i="7"/>
  <c r="AH7" i="7"/>
  <c r="AC12" i="7"/>
  <c r="AH12" i="7" s="1"/>
  <c r="C20" i="5"/>
  <c r="C19" i="5"/>
  <c r="C22" i="5" s="1"/>
  <c r="J12" i="5"/>
  <c r="J14" i="5" s="1"/>
  <c r="I12" i="5"/>
  <c r="I14" i="5"/>
  <c r="H12" i="5"/>
  <c r="H14" i="5"/>
  <c r="G12" i="5"/>
  <c r="G14" i="5"/>
  <c r="F12" i="5"/>
  <c r="F14" i="5"/>
  <c r="E12" i="5"/>
  <c r="E14" i="5" s="1"/>
  <c r="D12" i="5"/>
  <c r="D14" i="5"/>
  <c r="C12" i="5"/>
  <c r="C14" i="5"/>
  <c r="J54" i="4"/>
  <c r="J70" i="4"/>
  <c r="J75" i="4" s="1"/>
  <c r="E64" i="4"/>
  <c r="E65" i="4"/>
  <c r="D44" i="4"/>
  <c r="D45" i="4"/>
  <c r="J32" i="4"/>
  <c r="J33" i="4"/>
  <c r="J34" i="4"/>
  <c r="J35" i="4" s="1"/>
  <c r="J25" i="4"/>
  <c r="J24" i="4"/>
  <c r="J23" i="4"/>
  <c r="J22" i="4"/>
  <c r="J21" i="4"/>
  <c r="J27" i="4" s="1"/>
  <c r="J29" i="4" s="1"/>
  <c r="J30" i="4" s="1"/>
  <c r="J79" i="4"/>
  <c r="I45" i="6"/>
  <c r="E81" i="4"/>
  <c r="L65" i="4" s="1"/>
  <c r="E80" i="4"/>
  <c r="L64" i="4"/>
  <c r="L73" i="4" s="1"/>
  <c r="E79" i="4"/>
  <c r="E70" i="4"/>
  <c r="E71" i="4"/>
  <c r="J69" i="4"/>
  <c r="E85" i="4" s="1"/>
  <c r="E68" i="4"/>
  <c r="E69" i="4" s="1"/>
  <c r="J65" i="4"/>
  <c r="E63" i="4"/>
  <c r="J81" i="4" s="1"/>
  <c r="J51" i="4"/>
  <c r="E72" i="4"/>
  <c r="E73" i="4"/>
  <c r="E84" i="4"/>
  <c r="L67" i="4"/>
  <c r="L74" i="4"/>
  <c r="E67" i="4"/>
  <c r="D19" i="15" l="1"/>
  <c r="J60" i="4"/>
  <c r="E83" i="4" s="1"/>
  <c r="AP5" i="7"/>
  <c r="BE5" i="7" s="1"/>
  <c r="BJ5" i="7" s="1"/>
  <c r="BE6" i="7"/>
  <c r="BJ6" i="7" s="1"/>
  <c r="AP24" i="7"/>
  <c r="AZ23" i="7"/>
  <c r="BE23" i="7"/>
  <c r="BJ23" i="7" s="1"/>
  <c r="G251" i="11"/>
  <c r="Q252" i="11"/>
  <c r="H37" i="6" s="1"/>
  <c r="AP13" i="7"/>
  <c r="BE13" i="7" s="1"/>
  <c r="BJ13" i="7" s="1"/>
  <c r="BE12" i="7"/>
  <c r="BJ12" i="7" s="1"/>
  <c r="D62" i="15"/>
  <c r="D65" i="15" s="1"/>
  <c r="G63" i="15"/>
  <c r="G62" i="15"/>
  <c r="G65" i="15" s="1"/>
  <c r="E37" i="6"/>
  <c r="Q254" i="11"/>
  <c r="H56" i="15"/>
  <c r="E56" i="15"/>
  <c r="F56" i="15"/>
  <c r="G56" i="15"/>
  <c r="D56" i="15"/>
  <c r="D22" i="15"/>
  <c r="F62" i="15"/>
  <c r="H42" i="15"/>
  <c r="E77" i="4"/>
  <c r="E75" i="4"/>
  <c r="BE11" i="7"/>
  <c r="BJ11" i="7" s="1"/>
  <c r="F41" i="6"/>
  <c r="D38" i="13"/>
  <c r="E82" i="4"/>
  <c r="E43" i="15"/>
  <c r="E60" i="15"/>
  <c r="F63" i="15"/>
  <c r="N8" i="7"/>
  <c r="N7" i="7" s="1"/>
  <c r="N6" i="7" s="1"/>
  <c r="N5" i="7" s="1"/>
  <c r="AP21" i="7"/>
  <c r="M247" i="11"/>
  <c r="K19" i="12"/>
  <c r="K17" i="12"/>
  <c r="K21" i="12" s="1"/>
  <c r="E64" i="15"/>
  <c r="H54" i="15"/>
  <c r="H63" i="15" s="1"/>
  <c r="E54" i="15"/>
  <c r="D64" i="15"/>
  <c r="J80" i="4"/>
  <c r="BE7" i="7"/>
  <c r="BJ7" i="7" s="1"/>
  <c r="D49" i="15"/>
  <c r="E49" i="15" s="1"/>
  <c r="F65" i="15" l="1"/>
  <c r="AP25" i="7"/>
  <c r="AZ24" i="7"/>
  <c r="BE24" i="7"/>
  <c r="BJ24" i="7" s="1"/>
  <c r="AZ21" i="7"/>
  <c r="AP20" i="7"/>
  <c r="BE21" i="7"/>
  <c r="BJ21" i="7" s="1"/>
  <c r="Q253" i="11"/>
  <c r="O37" i="6"/>
  <c r="M4" i="11"/>
  <c r="J85" i="4"/>
  <c r="J77" i="4"/>
  <c r="J84" i="4" s="1"/>
  <c r="E62" i="15"/>
  <c r="E63" i="15"/>
  <c r="L77" i="4"/>
  <c r="L80" i="4" s="1"/>
  <c r="H44" i="6"/>
  <c r="H45" i="6" s="1"/>
  <c r="J82" i="4"/>
  <c r="J83" i="4" s="1"/>
  <c r="L66" i="4"/>
  <c r="L68" i="4" s="1"/>
  <c r="H62" i="15"/>
  <c r="H65" i="15" s="1"/>
  <c r="O36" i="6" l="1"/>
  <c r="F36" i="6"/>
  <c r="J36" i="6"/>
  <c r="AP19" i="7"/>
  <c r="BE20" i="7"/>
  <c r="BJ20" i="7" s="1"/>
  <c r="AZ20" i="7"/>
  <c r="E65" i="15"/>
  <c r="F37" i="6"/>
  <c r="J37" i="6"/>
  <c r="AZ25" i="7"/>
  <c r="BE25" i="7"/>
  <c r="BJ25" i="7" s="1"/>
  <c r="AP26" i="7"/>
  <c r="BE26" i="7" l="1"/>
  <c r="BJ26" i="7" s="1"/>
  <c r="AZ26" i="7"/>
  <c r="BE19" i="7"/>
  <c r="BJ19" i="7" s="1"/>
  <c r="AP18" i="7"/>
  <c r="AZ19" i="7"/>
  <c r="BE18" i="7" l="1"/>
  <c r="BJ18" i="7" s="1"/>
  <c r="AZ1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Ted McCune</author>
    <author>Carlos Morales</author>
  </authors>
  <commentList>
    <comment ref="J46" authorId="0" shapeId="0" xr:uid="{00000000-0006-0000-0000-000001000000}">
      <text>
        <r>
          <rPr>
            <sz val="9"/>
            <color rgb="FF000000"/>
            <rFont val="Arial"/>
            <family val="2"/>
          </rPr>
          <t xml:space="preserve">Is the Property Occupied? Select from Drop Down:
</t>
        </r>
        <r>
          <rPr>
            <sz val="9"/>
            <color rgb="FF000000"/>
            <rFont val="Arial"/>
            <family val="2"/>
          </rPr>
          <t xml:space="preserve">Y = YES
</t>
        </r>
        <r>
          <rPr>
            <sz val="9"/>
            <color rgb="FF000000"/>
            <rFont val="Arial"/>
            <family val="2"/>
          </rPr>
          <t xml:space="preserve">N = NO </t>
        </r>
      </text>
    </comment>
    <comment ref="D51" authorId="0" shapeId="0" xr:uid="{00000000-0006-0000-0000-000002000000}">
      <text>
        <r>
          <rPr>
            <sz val="9"/>
            <color rgb="FF000000"/>
            <rFont val="Arial"/>
            <family val="2"/>
          </rPr>
          <t xml:space="preserve">Value of the property after all repairs have been made regadless of purchase price. Also known as "Fair Market Value" </t>
        </r>
      </text>
    </comment>
    <comment ref="H51" authorId="0" shapeId="0" xr:uid="{00000000-0006-0000-0000-000003000000}">
      <text>
        <r>
          <rPr>
            <sz val="9"/>
            <color rgb="FF000000"/>
            <rFont val="Arial"/>
            <family val="2"/>
          </rPr>
          <t>Use default or enter the actual annual property taxes as reported on the county tax assessors website or enter an estimate.</t>
        </r>
      </text>
    </comment>
    <comment ref="D52" authorId="0" shapeId="0" xr:uid="{00000000-0006-0000-0000-000004000000}">
      <text>
        <r>
          <rPr>
            <sz val="9"/>
            <color rgb="FF000000"/>
            <rFont val="Arial"/>
            <family val="2"/>
          </rPr>
          <t>Value of the property in current "as is" condition. Not factoring repairs needed.</t>
        </r>
      </text>
    </comment>
    <comment ref="H52" authorId="0" shapeId="0" xr:uid="{00000000-0006-0000-0000-000005000000}">
      <text>
        <r>
          <rPr>
            <sz val="9"/>
            <color rgb="FF000000"/>
            <rFont val="Arial"/>
            <family val="2"/>
          </rPr>
          <t>Use default or enter the Home Owner Association fees typically charged monthly here. If paid quarterly, divide the amount by 3.</t>
        </r>
      </text>
    </comment>
    <comment ref="D53" authorId="0" shapeId="0" xr:uid="{00000000-0006-0000-0000-000006000000}">
      <text>
        <r>
          <rPr>
            <sz val="9"/>
            <color rgb="FF000000"/>
            <rFont val="Arial"/>
            <family val="2"/>
          </rPr>
          <t>The dollar amount of estimated repairs based on your analysis, or select "Load from Hammerpoint Estimate"</t>
        </r>
      </text>
    </comment>
    <comment ref="H53" authorId="0" shapeId="0" xr:uid="{00000000-0006-0000-0000-000007000000}">
      <text>
        <r>
          <rPr>
            <sz val="9"/>
            <color rgb="FF000000"/>
            <rFont val="Arial"/>
            <family val="2"/>
          </rPr>
          <t>Vacant or Occupied insurance premium charged during term of holding period and then converted to annual amount and divided by 12 to show monthly amount</t>
        </r>
      </text>
    </comment>
    <comment ref="J53" authorId="0" shapeId="0" xr:uid="{00000000-0006-0000-0000-000008000000}">
      <text>
        <r>
          <rPr>
            <b/>
            <u/>
            <sz val="9"/>
            <color rgb="FF000000"/>
            <rFont val="Arial"/>
            <family val="2"/>
          </rPr>
          <t>Insurance Costs Formula:</t>
        </r>
        <r>
          <rPr>
            <b/>
            <sz val="9"/>
            <color rgb="FF000000"/>
            <rFont val="Arial"/>
            <family val="2"/>
          </rPr>
          <t xml:space="preserve">
</t>
        </r>
        <r>
          <rPr>
            <sz val="9"/>
            <color rgb="FFFF0000"/>
            <rFont val="Arial"/>
            <family val="2"/>
          </rPr>
          <t>Occupied = $.77/$1,000 + $500 Vacant = $6/$1,000 + $500</t>
        </r>
      </text>
    </comment>
    <comment ref="D54" authorId="0" shapeId="0" xr:uid="{00000000-0006-0000-0000-000009000000}">
      <text>
        <r>
          <rPr>
            <sz val="9"/>
            <color rgb="FF000000"/>
            <rFont val="Arial"/>
            <family val="2"/>
          </rPr>
          <t>The dollar amount you plan to purchase the property for.</t>
        </r>
      </text>
    </comment>
    <comment ref="H54" authorId="0" shapeId="0" xr:uid="{00000000-0006-0000-0000-00000A000000}">
      <text>
        <r>
          <rPr>
            <sz val="9"/>
            <color rgb="FF000000"/>
            <rFont val="Arial"/>
            <family val="2"/>
          </rPr>
          <t>Combined value for gas, electricity, water, and miscellaneous utilities. Click on Down arrow to right to change  or add more utility line items.</t>
        </r>
      </text>
    </comment>
    <comment ref="J54" authorId="0" shapeId="0" xr:uid="{00000000-0006-0000-0000-00000B000000}">
      <text>
        <r>
          <rPr>
            <b/>
            <u/>
            <sz val="9"/>
            <color rgb="FF000000"/>
            <rFont val="Arial"/>
            <family val="2"/>
          </rPr>
          <t>Utility Costs Formula:</t>
        </r>
        <r>
          <rPr>
            <sz val="9"/>
            <color rgb="FF000000"/>
            <rFont val="Arial"/>
            <family val="2"/>
          </rPr>
          <t xml:space="preserve">
</t>
        </r>
        <r>
          <rPr>
            <sz val="9"/>
            <color rgb="FFFF0000"/>
            <rFont val="Arial"/>
            <family val="2"/>
          </rPr>
          <t>¹¹Utility Costs - are estimated at $200/month however click + sign on far left (Expandable to enter Gas, Water, Electricity, Miscellaenous).</t>
        </r>
      </text>
    </comment>
    <comment ref="D55" authorId="1" shapeId="0" xr:uid="{00000000-0006-0000-0000-00000C000000}">
      <text>
        <r>
          <rPr>
            <i/>
            <sz val="10"/>
            <color rgb="FF000000"/>
            <rFont val="Tahoma"/>
            <family val="2"/>
          </rPr>
          <t xml:space="preserve">70 % Rule is a guideline of Rehab and Hard Cost as it relates to ARV.   Ideally would want to stay at or below 70% which provides more than 30% (15% soft and 15% profit) on a deal.   
</t>
        </r>
        <r>
          <rPr>
            <i/>
            <sz val="10"/>
            <color rgb="FF000000"/>
            <rFont val="Tahoma"/>
            <family val="2"/>
          </rPr>
          <t xml:space="preserve">
</t>
        </r>
        <r>
          <rPr>
            <i/>
            <sz val="10"/>
            <color rgb="FF000000"/>
            <rFont val="Tahoma"/>
            <family val="2"/>
          </rPr>
          <t xml:space="preserve">In stronger increasing markets one can go up to 75%.
</t>
        </r>
      </text>
    </comment>
    <comment ref="E55" authorId="1" shapeId="0" xr:uid="{00000000-0006-0000-0000-00000D000000}">
      <text>
        <r>
          <rPr>
            <i/>
            <sz val="11"/>
            <color rgb="FF000000"/>
            <rFont val="Arial"/>
            <family val="2"/>
          </rPr>
          <t xml:space="preserve">70 % Rule is a guideline of Rehab and Hard Cost as it relates to ARV.   Ideally would want to stay at or below 70% which provides more than 30% (15% soft and 15% profit) on a deal.   </t>
        </r>
        <r>
          <rPr>
            <sz val="11"/>
            <color rgb="FF000000"/>
            <rFont val="Arial"/>
            <family val="2"/>
          </rPr>
          <t xml:space="preserve">
</t>
        </r>
        <r>
          <rPr>
            <i/>
            <sz val="11"/>
            <color rgb="FF000000"/>
            <rFont val="Arial"/>
            <family val="2"/>
          </rPr>
          <t xml:space="preserve">
</t>
        </r>
        <r>
          <rPr>
            <i/>
            <sz val="11"/>
            <color rgb="FF000000"/>
            <rFont val="Arial"/>
            <family val="2"/>
          </rPr>
          <t>In stronger increasing markets one can go up to 75%.</t>
        </r>
        <r>
          <rPr>
            <sz val="11"/>
            <color rgb="FF000000"/>
            <rFont val="Arial"/>
            <family val="2"/>
          </rPr>
          <t xml:space="preserve">
</t>
        </r>
      </text>
    </comment>
    <comment ref="D59" authorId="0" shapeId="0" xr:uid="{00000000-0006-0000-0000-00000E000000}">
      <text>
        <r>
          <rPr>
            <sz val="9"/>
            <color rgb="FF000000"/>
            <rFont val="Arial"/>
            <family val="2"/>
          </rPr>
          <t>Estimated number of months you plan to own the property from purhase date to close of escrow sale date.</t>
        </r>
      </text>
    </comment>
    <comment ref="H59" authorId="0" shapeId="0" xr:uid="{00000000-0006-0000-0000-00000F000000}">
      <text>
        <r>
          <rPr>
            <sz val="9"/>
            <color rgb="FF000000"/>
            <rFont val="Arial"/>
            <family val="2"/>
          </rPr>
          <t>Enter any miscellaneous holding costs. you can insert more rows If necessary.</t>
        </r>
      </text>
    </comment>
    <comment ref="E61" authorId="0" shapeId="0" xr:uid="{00000000-0006-0000-0000-000010000000}">
      <text>
        <r>
          <rPr>
            <sz val="9"/>
            <color rgb="FF000000"/>
            <rFont val="Arial"/>
            <family val="2"/>
          </rPr>
          <t>Use drop down in cell C18 to select if you will borrow money from a lender based on a % of ARV: After Repair Value, LTV: Loan to Value (Purchase+Rehab), or a % of Purchase Price only.</t>
        </r>
      </text>
    </comment>
    <comment ref="C62" authorId="0" shapeId="0" xr:uid="{00000000-0006-0000-0000-000011000000}">
      <text>
        <r>
          <rPr>
            <sz val="9"/>
            <color rgb="FF000000"/>
            <rFont val="Arial"/>
            <family val="2"/>
          </rPr>
          <t>The 1st position loan amount borrowed to purchase the property and / or fund the rehab.</t>
        </r>
      </text>
    </comment>
    <comment ref="H62" authorId="0" shapeId="0" xr:uid="{00000000-0006-0000-0000-000012000000}">
      <text>
        <r>
          <rPr>
            <sz val="9"/>
            <color rgb="FF000000"/>
            <rFont val="Arial"/>
            <family val="2"/>
          </rPr>
          <t>Fees charged by attorney or escrow company at closing. Typically a % of sales price.</t>
        </r>
      </text>
    </comment>
    <comment ref="J62" authorId="0" shapeId="0" xr:uid="{00000000-0006-0000-0000-000013000000}">
      <text>
        <r>
          <rPr>
            <b/>
            <u/>
            <sz val="9"/>
            <color rgb="FF000000"/>
            <rFont val="Arial"/>
            <family val="2"/>
          </rPr>
          <t>Escrow &amp; Attorney Fees Formula:</t>
        </r>
        <r>
          <rPr>
            <sz val="9"/>
            <color rgb="FF000000"/>
            <rFont val="Arial"/>
            <family val="2"/>
          </rPr>
          <t xml:space="preserve">
</t>
        </r>
        <r>
          <rPr>
            <sz val="9"/>
            <color rgb="FFFF0000"/>
            <rFont val="Arial"/>
            <family val="2"/>
          </rPr>
          <t xml:space="preserve">Attorney Fees - includes title insurance carry-over. 
</t>
        </r>
        <r>
          <rPr>
            <sz val="9"/>
            <color rgb="FFFF0000"/>
            <rFont val="Arial"/>
            <family val="2"/>
          </rPr>
          <t>For Attorney States use flat amount charged. For Escrow States, convert charges to a flat amount and enter them here.</t>
        </r>
      </text>
    </comment>
    <comment ref="C63" authorId="0" shapeId="0" xr:uid="{00000000-0006-0000-0000-000014000000}">
      <text>
        <r>
          <rPr>
            <sz val="9"/>
            <color rgb="FF000000"/>
            <rFont val="Arial"/>
            <family val="2"/>
          </rPr>
          <t>The 1st position points charged as a % of Mortgage Lien Amount. 1 Point = 1% in calculation.</t>
        </r>
      </text>
    </comment>
    <comment ref="H63" authorId="0" shapeId="0" xr:uid="{00000000-0006-0000-0000-000015000000}">
      <text>
        <r>
          <rPr>
            <sz val="9"/>
            <color rgb="FF000000"/>
            <rFont val="Arial"/>
            <family val="2"/>
          </rPr>
          <t xml:space="preserve">Insurance Policy to insure clear and marketable title. Changes based on area, type of policy, underwriter plus costs to search for title history.
</t>
        </r>
      </text>
    </comment>
    <comment ref="J63" authorId="0" shapeId="0" xr:uid="{00000000-0006-0000-0000-000016000000}">
      <text>
        <r>
          <rPr>
            <b/>
            <u/>
            <sz val="9"/>
            <color rgb="FF000000"/>
            <rFont val="Arial"/>
            <family val="2"/>
          </rPr>
          <t>Title Insuranance/ Search Formula:</t>
        </r>
        <r>
          <rPr>
            <sz val="9"/>
            <color rgb="FF000000"/>
            <rFont val="Arial"/>
            <family val="2"/>
          </rPr>
          <t xml:space="preserve"> 
</t>
        </r>
        <r>
          <rPr>
            <sz val="9"/>
            <color rgb="FFFF0000"/>
            <rFont val="Arial"/>
            <family val="2"/>
          </rPr>
          <t>$500 plus 1/4% of purchase price. Or adjust % and flat amount in formula based on your location differences</t>
        </r>
      </text>
    </comment>
    <comment ref="C64" authorId="0" shapeId="0" xr:uid="{00000000-0006-0000-0000-000017000000}">
      <text>
        <r>
          <rPr>
            <sz val="9"/>
            <color rgb="FF000000"/>
            <rFont val="Arial"/>
            <family val="2"/>
          </rPr>
          <t xml:space="preserve">The 1st position Interest rate and calculated interest amount based on the entire holding period.
</t>
        </r>
      </text>
    </comment>
    <comment ref="H64" authorId="0" shapeId="0" xr:uid="{00000000-0006-0000-0000-000018000000}">
      <text>
        <r>
          <rPr>
            <sz val="9"/>
            <color rgb="FF000000"/>
            <rFont val="Arial"/>
            <family val="2"/>
          </rPr>
          <t>Enter any miscellaneous buying transaction costs. You can enter more costs below or insert more rows If necessary.</t>
        </r>
      </text>
    </comment>
    <comment ref="C65" authorId="0" shapeId="0" xr:uid="{00000000-0006-0000-0000-000019000000}">
      <text>
        <r>
          <rPr>
            <sz val="9"/>
            <color rgb="FF000000"/>
            <rFont val="Arial"/>
            <family val="2"/>
          </rPr>
          <t xml:space="preserve">The 1st position Interest only monthly payment amount if required by lender. 
</t>
        </r>
      </text>
    </comment>
    <comment ref="C66" authorId="0" shapeId="0" xr:uid="{00000000-0006-0000-0000-00001A000000}">
      <text>
        <r>
          <rPr>
            <sz val="9"/>
            <color rgb="FF000000"/>
            <rFont val="Arial"/>
            <family val="2"/>
          </rPr>
          <t>The 2nd position loan amount borrowed to purchase the property and / or fund the rehab.</t>
        </r>
      </text>
    </comment>
    <comment ref="C67" authorId="0" shapeId="0" xr:uid="{00000000-0006-0000-0000-00001B000000}">
      <text>
        <r>
          <rPr>
            <sz val="9"/>
            <color rgb="FF000000"/>
            <rFont val="Arial"/>
            <family val="2"/>
          </rPr>
          <t>The 2nd position points charged as a % of Mortgage Lien Amount. 1 Point = 1% in calculation.</t>
        </r>
      </text>
    </comment>
    <comment ref="H67" authorId="0" shapeId="0" xr:uid="{00000000-0006-0000-0000-00001C000000}">
      <text>
        <r>
          <rPr>
            <sz val="9"/>
            <color rgb="FF000000"/>
            <rFont val="Arial"/>
            <family val="2"/>
          </rPr>
          <t>Fees charged by attorney or escrow company at closing. Typically a % of sales price.</t>
        </r>
      </text>
    </comment>
    <comment ref="J67" authorId="0" shapeId="0" xr:uid="{00000000-0006-0000-0000-00001D000000}">
      <text>
        <r>
          <rPr>
            <b/>
            <u/>
            <sz val="9"/>
            <color rgb="FF000000"/>
            <rFont val="Arial"/>
            <family val="2"/>
          </rPr>
          <t>Escrow &amp; Attorney Fees:</t>
        </r>
        <r>
          <rPr>
            <sz val="9"/>
            <color rgb="FF000000"/>
            <rFont val="Arial"/>
            <family val="2"/>
          </rPr>
          <t xml:space="preserve">
</t>
        </r>
        <r>
          <rPr>
            <sz val="9"/>
            <color rgb="FFFF0000"/>
            <rFont val="Arial"/>
            <family val="2"/>
          </rPr>
          <t xml:space="preserve">Attorney Fees - includes title insurance carry-over. 
</t>
        </r>
        <r>
          <rPr>
            <sz val="9"/>
            <color rgb="FFFF0000"/>
            <rFont val="Arial"/>
            <family val="2"/>
          </rPr>
          <t>For Attorney States use flat amount charged. For Escrow States, convert charges to a flat amount and enter them here.</t>
        </r>
      </text>
    </comment>
    <comment ref="C68" authorId="0" shapeId="0" xr:uid="{00000000-0006-0000-0000-00001E000000}">
      <text>
        <r>
          <rPr>
            <sz val="9"/>
            <color rgb="FF000000"/>
            <rFont val="Arial"/>
            <family val="2"/>
          </rPr>
          <t xml:space="preserve">The 2nd position Interest only monthly payment amount if required by lender. </t>
        </r>
      </text>
    </comment>
    <comment ref="H68" authorId="0" shapeId="0" xr:uid="{00000000-0006-0000-0000-00001F000000}">
      <text>
        <r>
          <rPr>
            <sz val="9"/>
            <color rgb="FF000000"/>
            <rFont val="Arial"/>
            <family val="2"/>
          </rPr>
          <t>Fees taken from the HUD-1. County recording fees charged by escrow company.</t>
        </r>
      </text>
    </comment>
    <comment ref="J68" authorId="0" shapeId="0" xr:uid="{00000000-0006-0000-0000-000020000000}">
      <text>
        <r>
          <rPr>
            <b/>
            <u/>
            <sz val="9"/>
            <color rgb="FF000000"/>
            <rFont val="Arial"/>
            <family val="2"/>
          </rPr>
          <t>Selling Recording Fees:</t>
        </r>
        <r>
          <rPr>
            <b/>
            <sz val="9"/>
            <color rgb="FF000000"/>
            <rFont val="Arial"/>
            <family val="2"/>
          </rPr>
          <t xml:space="preserve">
</t>
        </r>
        <r>
          <rPr>
            <sz val="9"/>
            <color rgb="FFFF0000"/>
            <rFont val="Arial"/>
            <family val="2"/>
          </rPr>
          <t>Flat fee charged on HUD based on your area/county/city.</t>
        </r>
        <r>
          <rPr>
            <sz val="9"/>
            <color rgb="FF000000"/>
            <rFont val="Arial"/>
            <family val="2"/>
          </rPr>
          <t xml:space="preserve">
</t>
        </r>
        <r>
          <rPr>
            <sz val="9"/>
            <color rgb="FF000000"/>
            <rFont val="Arial"/>
            <family val="2"/>
          </rPr>
          <t xml:space="preserve"> </t>
        </r>
      </text>
    </comment>
    <comment ref="C69" authorId="0" shapeId="0" xr:uid="{00000000-0006-0000-0000-000021000000}">
      <text>
        <r>
          <rPr>
            <sz val="9"/>
            <color rgb="FF000000"/>
            <rFont val="Arial"/>
            <family val="2"/>
          </rPr>
          <t xml:space="preserve">The 2nd position Interest only monthly payment amount if required by lender. </t>
        </r>
      </text>
    </comment>
    <comment ref="H69" authorId="0" shapeId="0" xr:uid="{00000000-0006-0000-0000-000022000000}">
      <text>
        <r>
          <rPr>
            <sz val="9"/>
            <color rgb="FF000000"/>
            <rFont val="Arial"/>
            <family val="2"/>
          </rPr>
          <t>Realtor Commissions as agreed in Purchase and Sale Agreement and extra fees for transaction processing.  **This will change depending on what you negotiation with your realtor.  If you are a realtor and list your own homes this percentage will change accordingly, as you will typically pay half the amount.</t>
        </r>
      </text>
    </comment>
    <comment ref="I69" authorId="0" shapeId="0" xr:uid="{00000000-0006-0000-0000-000023000000}">
      <text>
        <r>
          <rPr>
            <sz val="9"/>
            <color rgb="FF000000"/>
            <rFont val="Arial"/>
            <family val="2"/>
          </rPr>
          <t>Insert the % of realtor commission you will have to pay at closing. Typically 2.5-3% for buyers agent. If you have a listing agent, you will want to add 2.5-3% or whatever you negotiate as well.</t>
        </r>
      </text>
    </comment>
    <comment ref="C70" authorId="0" shapeId="0" xr:uid="{00000000-0006-0000-0000-000024000000}">
      <text>
        <r>
          <rPr>
            <sz val="9"/>
            <color rgb="FF000000"/>
            <rFont val="Arial"/>
            <family val="2"/>
          </rPr>
          <t>The Misc. position loan amount borrowed to purchase the property and / or fund the rehab.</t>
        </r>
      </text>
    </comment>
    <comment ref="H70" authorId="0" shapeId="0" xr:uid="{00000000-0006-0000-0000-000025000000}">
      <text>
        <r>
          <rPr>
            <sz val="9"/>
            <color rgb="FF000000"/>
            <rFont val="Arial"/>
            <family val="2"/>
          </rPr>
          <t>For the transfer of land charged by County from seller to buyer. Typically a % of the land value based on county assessor valuation.  **It's imperative you research the correct percentage for your area as it can be vastly different.</t>
        </r>
      </text>
    </comment>
    <comment ref="I70" authorId="0" shapeId="0" xr:uid="{00000000-0006-0000-0000-000026000000}">
      <text>
        <r>
          <rPr>
            <b/>
            <u/>
            <sz val="9"/>
            <color rgb="FF000000"/>
            <rFont val="Tahoma"/>
            <family val="2"/>
          </rPr>
          <t>Formula:</t>
        </r>
        <r>
          <rPr>
            <b/>
            <sz val="9"/>
            <color rgb="FF000000"/>
            <rFont val="Tahoma"/>
            <family val="2"/>
          </rPr>
          <t xml:space="preserve">
</t>
        </r>
        <r>
          <rPr>
            <sz val="9"/>
            <color rgb="FFFF0000"/>
            <rFont val="Tahoma"/>
            <family val="2"/>
          </rPr>
          <t>Make sure you enter the correct % based on your area. This is different based on location!</t>
        </r>
      </text>
    </comment>
    <comment ref="C71" authorId="0" shapeId="0" xr:uid="{00000000-0006-0000-0000-000027000000}">
      <text>
        <r>
          <rPr>
            <sz val="9"/>
            <color rgb="FF000000"/>
            <rFont val="Arial"/>
            <family val="2"/>
          </rPr>
          <t>The Misc. position points charged as a % of Mortgage Lien Amount. 1 Point = 1% in calculation.</t>
        </r>
      </text>
    </comment>
    <comment ref="H71" authorId="0" shapeId="0" xr:uid="{00000000-0006-0000-0000-000028000000}">
      <text>
        <r>
          <rPr>
            <sz val="9"/>
            <color rgb="FF000000"/>
            <rFont val="Arial"/>
            <family val="2"/>
          </rPr>
          <t>Offers protection for mechanical systems and attached appliances against unexpected repairs not covered by homeowner's insurance; overage extends over a specific time period and does not cover the home's structure.</t>
        </r>
      </text>
    </comment>
    <comment ref="C72" authorId="0" shapeId="0" xr:uid="{00000000-0006-0000-0000-000029000000}">
      <text>
        <r>
          <rPr>
            <sz val="9"/>
            <color rgb="FF000000"/>
            <rFont val="Arial"/>
            <family val="2"/>
          </rPr>
          <t xml:space="preserve">The Misc. position Interest only monthly payment amount if required by lender. </t>
        </r>
      </text>
    </comment>
    <comment ref="H72" authorId="0" shapeId="0" xr:uid="{00000000-0006-0000-0000-00002A000000}">
      <text>
        <r>
          <rPr>
            <sz val="9"/>
            <color rgb="FF000000"/>
            <rFont val="Arial"/>
            <family val="2"/>
          </rPr>
          <t>Cost for getting property ready to sell by bringing in furnishings and furniture so the property will show better and have greater chance to sell quickly.</t>
        </r>
      </text>
    </comment>
    <comment ref="C73" authorId="0" shapeId="0" xr:uid="{00000000-0006-0000-0000-00002B000000}">
      <text>
        <r>
          <rPr>
            <sz val="9"/>
            <color rgb="FF000000"/>
            <rFont val="Arial"/>
            <family val="2"/>
          </rPr>
          <t>The Misc. position Interest only monthly payment amount if required by lender.</t>
        </r>
      </text>
    </comment>
    <comment ref="H73" authorId="0" shapeId="0" xr:uid="{00000000-0006-0000-0000-00002C000000}">
      <text>
        <r>
          <rPr>
            <sz val="9"/>
            <color rgb="FF000000"/>
            <rFont val="Arial"/>
            <family val="2"/>
          </rPr>
          <t>Costs related to offline and online advertising, printing, and promotion to helpandvertise and promote to sell the property.</t>
        </r>
      </text>
    </comment>
    <comment ref="C74" authorId="0" shapeId="0" xr:uid="{00000000-0006-0000-0000-00002D000000}">
      <text>
        <r>
          <rPr>
            <sz val="9"/>
            <color rgb="FF000000"/>
            <rFont val="Arial"/>
            <family val="2"/>
          </rPr>
          <t>Insert any miscellaneous Financing related costs here, you can also add more rows if necessary.</t>
        </r>
      </text>
    </comment>
    <comment ref="H74" authorId="0" shapeId="0" xr:uid="{00000000-0006-0000-0000-00002E000000}">
      <text>
        <r>
          <rPr>
            <sz val="9"/>
            <color rgb="FF000000"/>
            <rFont val="Arial"/>
            <family val="2"/>
          </rPr>
          <t>Enter any miscellaneous buying transaction costs. You can enter more costs below or insert more rows If necessary.</t>
        </r>
      </text>
    </comment>
    <comment ref="D77" authorId="0" shapeId="0" xr:uid="{00000000-0006-0000-0000-00002F000000}">
      <text>
        <r>
          <rPr>
            <sz val="9"/>
            <color rgb="FF000000"/>
            <rFont val="Arial"/>
            <family val="2"/>
          </rPr>
          <t xml:space="preserve">Difference between the revenue and expenses of the entire project before income taxes.
</t>
        </r>
      </text>
    </comment>
    <comment ref="C79" authorId="0" shapeId="0" xr:uid="{00000000-0006-0000-0000-000030000000}">
      <text>
        <r>
          <rPr>
            <sz val="9"/>
            <color rgb="FF000000"/>
            <rFont val="Arial"/>
            <family val="2"/>
          </rPr>
          <t>Value of the property after all repairs have been made regadless of purchase price. Also known as "Fair Market Value".</t>
        </r>
      </text>
    </comment>
    <comment ref="I79" authorId="0" shapeId="0" xr:uid="{00000000-0006-0000-0000-000031000000}">
      <text>
        <r>
          <rPr>
            <sz val="9"/>
            <color rgb="FF000000"/>
            <rFont val="Arial"/>
            <family val="2"/>
          </rPr>
          <t xml:space="preserve">Calculations and estimate is based on date which is the last day of holding period. </t>
        </r>
      </text>
    </comment>
    <comment ref="C80" authorId="0" shapeId="0" xr:uid="{00000000-0006-0000-0000-000032000000}">
      <text>
        <r>
          <rPr>
            <sz val="9"/>
            <color rgb="FF000000"/>
            <rFont val="Arial"/>
            <family val="2"/>
          </rPr>
          <t>The dollar amount you plan to purchase the property for. Also called the "contract price".</t>
        </r>
      </text>
    </comment>
    <comment ref="I80" authorId="0" shapeId="0" xr:uid="{00000000-0006-0000-0000-000033000000}">
      <text>
        <r>
          <rPr>
            <sz val="9"/>
            <color rgb="FF000000"/>
            <rFont val="Arial"/>
            <family val="2"/>
          </rPr>
          <t>Total Purchase+Rehab Estimate costs divided by total square feet of the property used as a measurement market indicator.</t>
        </r>
      </text>
    </comment>
    <comment ref="C81" authorId="0" shapeId="0" xr:uid="{00000000-0006-0000-0000-000034000000}">
      <text>
        <r>
          <rPr>
            <sz val="9"/>
            <color rgb="FF000000"/>
            <rFont val="Arial"/>
            <family val="2"/>
          </rPr>
          <t xml:space="preserve">The dollar amount of estimated repairs based on your analysis and assessment. </t>
        </r>
      </text>
    </comment>
    <comment ref="I81" authorId="0" shapeId="0" xr:uid="{00000000-0006-0000-0000-000035000000}">
      <text>
        <r>
          <rPr>
            <sz val="9"/>
            <color rgb="FF000000"/>
            <rFont val="Arial"/>
            <family val="2"/>
          </rPr>
          <t xml:space="preserve">The funds you as the purchaser need to bring to the table at Closing when purchasing the property. Takes Difference of all Buying costs less amount borrowed. </t>
        </r>
      </text>
    </comment>
    <comment ref="C82" authorId="0" shapeId="0" xr:uid="{00000000-0006-0000-0000-000036000000}">
      <text>
        <r>
          <rPr>
            <sz val="9"/>
            <color rgb="FF000000"/>
            <rFont val="Arial"/>
            <family val="2"/>
          </rPr>
          <t>Total Borrowing Costs of first, second, and miscellaneous rehab financing fees, points, and interest charged over duration of holding period.</t>
        </r>
      </text>
    </comment>
    <comment ref="I82" authorId="0" shapeId="0" xr:uid="{00000000-0006-0000-0000-000037000000}">
      <text>
        <r>
          <rPr>
            <sz val="9"/>
            <color rgb="FF000000"/>
            <rFont val="Arial"/>
            <family val="2"/>
          </rPr>
          <t>Amount of your own money out of pocket that you put in the deal as the purchaser between purchase and sales date.</t>
        </r>
      </text>
    </comment>
    <comment ref="C83" authorId="0" shapeId="0" xr:uid="{00000000-0006-0000-0000-000038000000}">
      <text>
        <r>
          <rPr>
            <sz val="9"/>
            <color rgb="FF000000"/>
            <rFont val="Arial"/>
            <family val="2"/>
          </rPr>
          <t>Total Costs for all monthly carrying expenses based on the duration of how long property is held between purchase and sales date.</t>
        </r>
      </text>
    </comment>
    <comment ref="I83" authorId="0" shapeId="0" xr:uid="{00000000-0006-0000-0000-000039000000}">
      <text>
        <r>
          <rPr>
            <sz val="9"/>
            <color indexed="81"/>
            <rFont val="Arial"/>
            <family val="2"/>
          </rPr>
          <t>% of interest estimated that you would earn over a year period based on your out of pocket funds that you put into the deal as a purchaser.</t>
        </r>
      </text>
    </comment>
    <comment ref="C84" authorId="0" shapeId="0" xr:uid="{00000000-0006-0000-0000-00003A000000}">
      <text>
        <r>
          <rPr>
            <sz val="9"/>
            <color rgb="FF000000"/>
            <rFont val="Arial"/>
            <family val="2"/>
          </rPr>
          <t>Total transactional costs related to the buying phase of the transaction.</t>
        </r>
      </text>
    </comment>
    <comment ref="I84" authorId="0" shapeId="0" xr:uid="{00000000-0006-0000-0000-00003B000000}">
      <text>
        <r>
          <rPr>
            <sz val="9"/>
            <color rgb="FF000000"/>
            <rFont val="Arial"/>
            <family val="2"/>
          </rPr>
          <t xml:space="preserve">% of interest earned based on purchase price + all other costs over a 12 month annualized period.
</t>
        </r>
      </text>
    </comment>
    <comment ref="C85" authorId="0" shapeId="0" xr:uid="{00000000-0006-0000-0000-00003C000000}">
      <text>
        <r>
          <rPr>
            <sz val="9"/>
            <color rgb="FF000000"/>
            <rFont val="Arial"/>
            <family val="2"/>
          </rPr>
          <t xml:space="preserve">Total transactional costs related to the selling phase of the transaction.
</t>
        </r>
      </text>
    </comment>
    <comment ref="I85" authorId="0" shapeId="0" xr:uid="{00000000-0006-0000-0000-00003D000000}">
      <text>
        <r>
          <rPr>
            <sz val="9"/>
            <color indexed="81"/>
            <rFont val="Arial"/>
            <family val="2"/>
          </rPr>
          <t xml:space="preserve">% of interest earned based on purchase price + REHAB costs irregardless of how long the property was held.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Jonnes</author>
  </authors>
  <commentList>
    <comment ref="D3" authorId="0" shapeId="0" xr:uid="{00000000-0006-0000-0200-000001000000}">
      <text>
        <r>
          <rPr>
            <sz val="9"/>
            <color rgb="FF000000"/>
            <rFont val="Calibri"/>
            <family val="2"/>
          </rPr>
          <t xml:space="preserve">Enter the property address in the Deal Analyzer
</t>
        </r>
        <r>
          <rPr>
            <sz val="9"/>
            <color rgb="FF000000"/>
            <rFont val="Calibri"/>
            <family val="2"/>
          </rPr>
          <t xml:space="preserve">
</t>
        </r>
      </text>
    </comment>
    <comment ref="I4" authorId="0" shapeId="0" xr:uid="{00000000-0006-0000-0200-000002000000}">
      <text>
        <r>
          <rPr>
            <sz val="9"/>
            <color rgb="FF000000"/>
            <rFont val="Calibri"/>
            <family val="2"/>
          </rPr>
          <t xml:space="preserve">Enter the square footage in the Deal Analyzer
</t>
        </r>
        <r>
          <rPr>
            <sz val="9"/>
            <color rgb="FF000000"/>
            <rFont val="Calibr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Carlos Morales</author>
  </authors>
  <commentList>
    <comment ref="D15" authorId="0" shapeId="0" xr:uid="{00000000-0006-0000-0300-000001000000}">
      <text>
        <r>
          <rPr>
            <b/>
            <sz val="10"/>
            <color rgb="FF000000"/>
            <rFont val="Tahoma"/>
            <family val="2"/>
          </rPr>
          <t xml:space="preserve">Estimated cost for 
</t>
        </r>
        <r>
          <rPr>
            <b/>
            <sz val="10"/>
            <color rgb="FF000000"/>
            <rFont val="Tahoma"/>
            <family val="2"/>
          </rPr>
          <t>Loan, Insurances, Taxes, Utilities</t>
        </r>
        <r>
          <rPr>
            <sz val="10"/>
            <color rgb="FF000000"/>
            <rFont val="Tahoma"/>
            <family val="2"/>
          </rPr>
          <t xml:space="preserve">
</t>
        </r>
      </text>
    </comment>
    <comment ref="C35" authorId="0" shapeId="0" xr:uid="{00000000-0006-0000-0300-000002000000}">
      <text>
        <r>
          <rPr>
            <b/>
            <sz val="10"/>
            <color rgb="FF000000"/>
            <rFont val="Tahoma"/>
            <family val="2"/>
          </rPr>
          <t xml:space="preserve">Estimated cost for 
</t>
        </r>
        <r>
          <rPr>
            <b/>
            <sz val="10"/>
            <color rgb="FF000000"/>
            <rFont val="Tahoma"/>
            <family val="2"/>
          </rPr>
          <t>Loan, Insurances, Taxes, Utilities</t>
        </r>
        <r>
          <rPr>
            <sz val="10"/>
            <color rgb="FF000000"/>
            <rFont val="Tahoma"/>
            <family val="2"/>
          </rPr>
          <t xml:space="preserve">
</t>
        </r>
      </text>
    </comment>
    <comment ref="C38" authorId="0" shapeId="0" xr:uid="{00000000-0006-0000-0300-000003000000}">
      <text>
        <r>
          <rPr>
            <sz val="10"/>
            <color rgb="FF000000"/>
            <rFont val="Arial"/>
            <family val="2"/>
          </rPr>
          <t>The 70% Rule is a widely accepted rule among rehabbers and real estate investors used as a barometer for purchasing a rehab property.  The 70% Rule will calculate the maximum purchase price you should offer based upon the After Repair Value &amp; Estimated Repair Costs.</t>
        </r>
        <r>
          <rPr>
            <sz val="10"/>
            <color rgb="FF000000"/>
            <rFont val="Arial"/>
            <family val="2"/>
          </rPr>
          <t xml:space="preserve">    </t>
        </r>
        <r>
          <rPr>
            <b/>
            <sz val="10"/>
            <color rgb="FF000000"/>
            <rFont val="Arial"/>
            <family val="2"/>
          </rPr>
          <t xml:space="preserve">The 70% Rule Ticker provides a barometer on where your current analysis stands against the 70% guideline.
</t>
        </r>
        <r>
          <rPr>
            <sz val="10"/>
            <color rgb="FF000000"/>
            <rFont val="Arial"/>
            <family val="2"/>
          </rPr>
          <t xml:space="preserve">
</t>
        </r>
        <r>
          <rPr>
            <sz val="10"/>
            <color rgb="FF000000"/>
            <rFont val="Arial"/>
            <family val="2"/>
          </rPr>
          <t xml:space="preserve">Anything below 70% is good once you exceed it it may create more risk for deal.  
</t>
        </r>
        <r>
          <rPr>
            <sz val="10"/>
            <color rgb="FF000000"/>
            <rFont val="Arial"/>
            <family val="2"/>
          </rPr>
          <t xml:space="preserve">Formula:
</t>
        </r>
        <r>
          <rPr>
            <sz val="10"/>
            <color rgb="FF000000"/>
            <rFont val="Arial"/>
            <family val="2"/>
          </rPr>
          <t xml:space="preserve">
</t>
        </r>
        <r>
          <rPr>
            <sz val="10"/>
            <color rgb="FF000000"/>
            <rFont val="Arial"/>
            <family val="2"/>
          </rPr>
          <t>70% Rule = (After Repair Value * 70%) - Repair Estimate </t>
        </r>
      </text>
    </comment>
  </commentList>
</comments>
</file>

<file path=xl/sharedStrings.xml><?xml version="1.0" encoding="utf-8"?>
<sst xmlns="http://schemas.openxmlformats.org/spreadsheetml/2006/main" count="981" uniqueCount="658">
  <si>
    <t>N</t>
  </si>
  <si>
    <t>Purchase+Rehab</t>
  </si>
  <si>
    <t>Purchase Price</t>
  </si>
  <si>
    <t>DEAL ANALYSIS- PAGE 1</t>
  </si>
  <si>
    <t>PROJECT INFORMATION</t>
  </si>
  <si>
    <t>Property Address:</t>
  </si>
  <si>
    <t>City</t>
  </si>
  <si>
    <t>State</t>
  </si>
  <si>
    <t>Property Type:</t>
  </si>
  <si>
    <t>Duplex</t>
  </si>
  <si>
    <t>Single Family</t>
  </si>
  <si>
    <t># of Bedroom:</t>
  </si>
  <si>
    <t># of Bathrooms</t>
  </si>
  <si>
    <t>Condo</t>
  </si>
  <si>
    <t>Livable Sq.Ft.:</t>
  </si>
  <si>
    <t>Apartment</t>
  </si>
  <si>
    <t>ARV- COMPARABLES ANALYSIS</t>
  </si>
  <si>
    <t>HOW TO CALCULATE ARV:</t>
  </si>
  <si>
    <t># of Comps</t>
  </si>
  <si>
    <t>Sold within last 90 Days</t>
  </si>
  <si>
    <t>Address</t>
  </si>
  <si>
    <t>Beds</t>
  </si>
  <si>
    <t>Bath</t>
  </si>
  <si>
    <t>Sold Amount</t>
  </si>
  <si>
    <t>Livable Sq Ft</t>
  </si>
  <si>
    <t>Sales Price/Sq.Ft</t>
  </si>
  <si>
    <t>https://www.youtube.com/watch?v=7R7VaYdfO-s</t>
  </si>
  <si>
    <t>1st street</t>
  </si>
  <si>
    <t>https://www.youtube.com/watch?v=KnK2-0wtCnQ</t>
  </si>
  <si>
    <t>2nd street</t>
  </si>
  <si>
    <t xml:space="preserve"> 06/25/18</t>
  </si>
  <si>
    <t>3rd street</t>
  </si>
  <si>
    <t>4th street</t>
  </si>
  <si>
    <t>5th street</t>
  </si>
  <si>
    <t>Total Sq. Ft</t>
  </si>
  <si>
    <t>Avg Sales Cost/Sq.Ft</t>
  </si>
  <si>
    <t>Rounded</t>
  </si>
  <si>
    <t>Plug In Est Sales Price/Sq.Ft</t>
  </si>
  <si>
    <t>Livable Sq. Ft</t>
  </si>
  <si>
    <t>After Repair Value</t>
  </si>
  <si>
    <t>AFTER REHAB VALUE</t>
  </si>
  <si>
    <t>ARV per Sq. Ft.</t>
  </si>
  <si>
    <t xml:space="preserve"> </t>
  </si>
  <si>
    <t>*</t>
  </si>
  <si>
    <t>=</t>
  </si>
  <si>
    <t>DEAL ANALYSIS- PAGE 2</t>
  </si>
  <si>
    <t>DETAILED ANALYSIS</t>
  </si>
  <si>
    <t>Y</t>
  </si>
  <si>
    <t>ARV</t>
  </si>
  <si>
    <t>Total Square Footage:</t>
  </si>
  <si>
    <t># of Units:</t>
  </si>
  <si>
    <t>Occupied? (Y/N)</t>
  </si>
  <si>
    <t xml:space="preserve">Evaluator Name: </t>
  </si>
  <si>
    <t>Date:</t>
  </si>
  <si>
    <t>Property Description:</t>
  </si>
  <si>
    <t xml:space="preserve">Medford Unit </t>
  </si>
  <si>
    <t xml:space="preserve">  Property Values &amp; Pricing</t>
  </si>
  <si>
    <t xml:space="preserve">  Holding Costs (Monthly)</t>
  </si>
  <si>
    <t>Annually</t>
  </si>
  <si>
    <t>Monthly</t>
  </si>
  <si>
    <t>HOW TO FIND TAXES:</t>
  </si>
  <si>
    <t>Property Taxes</t>
  </si>
  <si>
    <t>http://tax1.co.monmouth.nj.us/cgi-bin/prc6.cgi?district=0408&amp;ms_user=monm</t>
  </si>
  <si>
    <t>"As Is" Value - Asking Price</t>
  </si>
  <si>
    <t>HOA &amp; Condo Fees</t>
  </si>
  <si>
    <t>Estimated Repair Costs</t>
  </si>
  <si>
    <t>Insurance Costs</t>
  </si>
  <si>
    <t>Purchase Price- Offer</t>
  </si>
  <si>
    <t>Utility Costs (Expandable)</t>
  </si>
  <si>
    <t>ARV %</t>
  </si>
  <si>
    <t xml:space="preserve">     Gas</t>
  </si>
  <si>
    <t xml:space="preserve">     Water</t>
  </si>
  <si>
    <t>Construction Period in Months</t>
  </si>
  <si>
    <t xml:space="preserve">     Electricity</t>
  </si>
  <si>
    <t>Listing and Sale</t>
  </si>
  <si>
    <t xml:space="preserve">     Other</t>
  </si>
  <si>
    <t>Estimated Hold Time (months)</t>
  </si>
  <si>
    <t>Miscellaneous Holding Costs</t>
  </si>
  <si>
    <t>Purchase &amp; Repair Costs:</t>
  </si>
  <si>
    <t>Total Monthly Holding Costs:</t>
  </si>
  <si>
    <t xml:space="preserve">  Financing Costs</t>
  </si>
  <si>
    <t xml:space="preserve">  Buying Transaction Costs</t>
  </si>
  <si>
    <t>Perc. Of Purch</t>
  </si>
  <si>
    <t>Total</t>
  </si>
  <si>
    <r>
      <t xml:space="preserve">First Mortgage / Lien Amount- </t>
    </r>
    <r>
      <rPr>
        <b/>
        <u/>
        <sz val="10"/>
        <color theme="1"/>
        <rFont val="Arial"/>
        <family val="2"/>
      </rPr>
      <t>Arkad Funding</t>
    </r>
  </si>
  <si>
    <t xml:space="preserve">Escrow / Attorney Fees </t>
  </si>
  <si>
    <t>First Mortgage Points</t>
  </si>
  <si>
    <t>Title Search and Title Insurance</t>
  </si>
  <si>
    <t>LOAN</t>
  </si>
  <si>
    <t>First Mortgage Interest</t>
  </si>
  <si>
    <t>Miscellaneous Buying Costs</t>
  </si>
  <si>
    <t>Appraiser</t>
  </si>
  <si>
    <t>Acq</t>
  </si>
  <si>
    <t>First Mortgage Monthly Interest Only Payment</t>
  </si>
  <si>
    <t>Total Buying Transaction Costs:</t>
  </si>
  <si>
    <t>HC</t>
  </si>
  <si>
    <t>Second Mortgage / Lien Amount- _________</t>
  </si>
  <si>
    <t xml:space="preserve">  Selling Transaction Costs</t>
  </si>
  <si>
    <t>Perc. Of ARV</t>
  </si>
  <si>
    <t>Holding</t>
  </si>
  <si>
    <t>Second Mortgage Points</t>
  </si>
  <si>
    <t>Buying Cost</t>
  </si>
  <si>
    <t>Second Mortgage Interest</t>
  </si>
  <si>
    <t>Selling Recording Fees</t>
  </si>
  <si>
    <t>Total Loan Amt</t>
  </si>
  <si>
    <t>Second Mortgage Monthly Interest Only Payment</t>
  </si>
  <si>
    <t>Realtor Fees</t>
  </si>
  <si>
    <t>Misc. Mortgage / Lien Amount</t>
  </si>
  <si>
    <t>Transfer &amp; Conveyance Fees</t>
  </si>
  <si>
    <t>2pts</t>
  </si>
  <si>
    <t>Misc. Mortgage Points</t>
  </si>
  <si>
    <t>Home Warranty</t>
  </si>
  <si>
    <t>Misc. Mortgage Interest</t>
  </si>
  <si>
    <t>Staging Costs</t>
  </si>
  <si>
    <t>OUT OF POCKET AT CLOSING</t>
  </si>
  <si>
    <t>Misc. Mortgage Monthly Interest Only Payment</t>
  </si>
  <si>
    <t>Marketing Costs</t>
  </si>
  <si>
    <t>Miscellaneous Financing Costs</t>
  </si>
  <si>
    <t>Miscellaneous Selling Costs</t>
  </si>
  <si>
    <t>Total Financing Costs:</t>
  </si>
  <si>
    <t>Total Selling Transaction Costs:</t>
  </si>
  <si>
    <t>Estimated Net Profit and ROI Snapshot</t>
  </si>
  <si>
    <t>OUT OF POCKET DURING CONSTRUCTION</t>
  </si>
  <si>
    <t>Estimated NET PROFIT</t>
  </si>
  <si>
    <t>Total Costs Return on Investment (ROI)</t>
  </si>
  <si>
    <t>Purchase  &amp; Deal Analysis</t>
  </si>
  <si>
    <t>Potential Return &amp; Profit Analysis</t>
  </si>
  <si>
    <t xml:space="preserve">After Repair Value </t>
  </si>
  <si>
    <t xml:space="preserve">Assumes Sale is on or before </t>
  </si>
  <si>
    <t>Purchase + Repair Estimate Cost Per Sq. Ft</t>
  </si>
  <si>
    <t>Down Payment Required at Closing</t>
  </si>
  <si>
    <t>Total Financing Costs</t>
  </si>
  <si>
    <t>My Committed Capital</t>
  </si>
  <si>
    <t>Total Holding Costs</t>
  </si>
  <si>
    <t>My Annualized Cash on Cash Return</t>
  </si>
  <si>
    <t>Total Buying Transaction Costs</t>
  </si>
  <si>
    <t>Total Annualized Cash on Cash Return</t>
  </si>
  <si>
    <t>Total Selling Transaction Costs</t>
  </si>
  <si>
    <t>Purchase + Rehab Return on Investment (ROI)</t>
  </si>
  <si>
    <t>Parameters of Loan</t>
  </si>
  <si>
    <t>Maximum</t>
  </si>
  <si>
    <t>Points</t>
  </si>
  <si>
    <t>Interest Rate</t>
  </si>
  <si>
    <t>Acquisition Amount</t>
  </si>
  <si>
    <t>Construction Amount</t>
  </si>
  <si>
    <t>LOAN ASSUMPTIONS</t>
  </si>
  <si>
    <t>Term in Months</t>
  </si>
  <si>
    <t>Construction Cost</t>
  </si>
  <si>
    <t>Title Closing Costs</t>
  </si>
  <si>
    <t>Appraisal Fee</t>
  </si>
  <si>
    <t xml:space="preserve">Insurance </t>
  </si>
  <si>
    <t>Points on Loan</t>
  </si>
  <si>
    <t>Assignment Fee</t>
  </si>
  <si>
    <t>Total Acquisiton</t>
  </si>
  <si>
    <t xml:space="preserve">Property Address: </t>
  </si>
  <si>
    <t>Appraised Value</t>
  </si>
  <si>
    <t>Title Closing Cost</t>
  </si>
  <si>
    <t>Insurance 180 Days</t>
  </si>
  <si>
    <t>Price</t>
  </si>
  <si>
    <t>Sq Ft</t>
  </si>
  <si>
    <t>Cost Per Sqft</t>
  </si>
  <si>
    <t xml:space="preserve"> List Price</t>
  </si>
  <si>
    <t>Points 5%</t>
  </si>
  <si>
    <t>Offer Price</t>
  </si>
  <si>
    <t>Acq. Price</t>
  </si>
  <si>
    <t>Total Acquisition Cost</t>
  </si>
  <si>
    <t>Acquisition LTV</t>
  </si>
  <si>
    <t>Potential Rent</t>
  </si>
  <si>
    <t>Sqft</t>
  </si>
  <si>
    <t>Rent Per Sqft</t>
  </si>
  <si>
    <t>Monthly Payment 12%</t>
  </si>
  <si>
    <t>6 Month Of Payments</t>
  </si>
  <si>
    <t>Total Holding Cost</t>
  </si>
  <si>
    <t>6 Month Holding Cost LTV</t>
  </si>
  <si>
    <t>LTV</t>
  </si>
  <si>
    <t>Sales Price</t>
  </si>
  <si>
    <t>Note Owed</t>
  </si>
  <si>
    <t>Interest owed 6 Months</t>
  </si>
  <si>
    <t>Closing Cost 6%</t>
  </si>
  <si>
    <t>Commissions 0%</t>
  </si>
  <si>
    <t>Gross</t>
  </si>
  <si>
    <t>4% Contingency</t>
  </si>
  <si>
    <t>Sales Price Sqft</t>
  </si>
  <si>
    <t>Estimated Profit</t>
  </si>
  <si>
    <t>Taxes</t>
  </si>
  <si>
    <t>Sq Footage</t>
  </si>
  <si>
    <t>Type/Zoning</t>
  </si>
  <si>
    <t>Bedrooms</t>
  </si>
  <si>
    <t>Bathrooms</t>
  </si>
  <si>
    <t>Est. Rent</t>
  </si>
  <si>
    <t>Triplex</t>
  </si>
  <si>
    <t>5</t>
  </si>
  <si>
    <t>3</t>
  </si>
  <si>
    <t xml:space="preserve">All Assumptions are for 90% Loan 10% Down </t>
  </si>
  <si>
    <t>Est. Payment (8%)</t>
  </si>
  <si>
    <t>Est. Insurance</t>
  </si>
  <si>
    <t>Est. Taxes</t>
  </si>
  <si>
    <t>Est. Property Mgt (10%)</t>
  </si>
  <si>
    <t>Est. Cash Flow</t>
  </si>
  <si>
    <t>Repair Estimator</t>
  </si>
  <si>
    <t>Address:</t>
  </si>
  <si>
    <t>Vacant:</t>
  </si>
  <si>
    <t>About this Repair Estimator</t>
  </si>
  <si>
    <t>Bed:</t>
  </si>
  <si>
    <t>Bath:</t>
  </si>
  <si>
    <t>Sq Ft:</t>
  </si>
  <si>
    <t>Rehab Cost Per Sq. Ft.</t>
  </si>
  <si>
    <t xml:space="preserve">* Additional Mediator/Engineer/Pro Quotes Needed: </t>
  </si>
  <si>
    <t>EXTERIOR</t>
  </si>
  <si>
    <t>Category</t>
  </si>
  <si>
    <t>Y/N</t>
  </si>
  <si>
    <t>Repair Type</t>
  </si>
  <si>
    <t>#</t>
  </si>
  <si>
    <t>Unit</t>
  </si>
  <si>
    <t>Cost</t>
  </si>
  <si>
    <t>Roof *</t>
  </si>
  <si>
    <t>Roof (rip and replace) - architectural shingle</t>
  </si>
  <si>
    <t>sf</t>
  </si>
  <si>
    <t>Possible additional Inspections, Quotes or Mediation needed</t>
  </si>
  <si>
    <t>Rollover (add a layer of shingles) - architectural shingle</t>
  </si>
  <si>
    <t>Roof Sheathing - plywood 1/2" remove &amp; install</t>
  </si>
  <si>
    <t>Roof repair/patch (hard)</t>
  </si>
  <si>
    <t>ea</t>
  </si>
  <si>
    <t>Roof repair/patch (easy)</t>
  </si>
  <si>
    <t>Premium for 3 layer tear off</t>
  </si>
  <si>
    <t>Premium for steep pitched roof</t>
  </si>
  <si>
    <t>Fascia - demo &amp; install new</t>
  </si>
  <si>
    <t>lf</t>
  </si>
  <si>
    <t>Soffit - demo &amp; install new</t>
  </si>
  <si>
    <t>Gutters</t>
  </si>
  <si>
    <t>Gutters &amp; downspouts - demo &amp; install new (Flat Cost)</t>
  </si>
  <si>
    <t>Gutters &amp; downspouts - demo &amp; install new (linear foot)</t>
  </si>
  <si>
    <t>Finish</t>
  </si>
  <si>
    <t>Demo existing finishing material</t>
  </si>
  <si>
    <t>Stucco</t>
  </si>
  <si>
    <t>Wood siding</t>
  </si>
  <si>
    <r>
      <t xml:space="preserve">Vinyl siding </t>
    </r>
    <r>
      <rPr>
        <i/>
        <sz val="10"/>
        <color theme="1"/>
        <rFont val="Arial Narrow"/>
        <family val="2"/>
      </rPr>
      <t>(Typical 2 story 2,800)</t>
    </r>
  </si>
  <si>
    <t>Fiber cement siding</t>
  </si>
  <si>
    <t>Plywood panel siding</t>
  </si>
  <si>
    <t>Patch an exterior section</t>
  </si>
  <si>
    <t>ls</t>
  </si>
  <si>
    <t>Power wash exterior finish</t>
  </si>
  <si>
    <t>Masonry</t>
  </si>
  <si>
    <t>Fireplace/chimney, brick/stone - replace existing</t>
  </si>
  <si>
    <t>Concrete block</t>
  </si>
  <si>
    <t>Stone</t>
  </si>
  <si>
    <t>Brick</t>
  </si>
  <si>
    <t>Tuckpoint brick</t>
  </si>
  <si>
    <t>Power wash exterior masonry</t>
  </si>
  <si>
    <t>Painting</t>
  </si>
  <si>
    <t>Painting both exterior &amp; interior (whole property)</t>
  </si>
  <si>
    <t>Painting exterior only</t>
  </si>
  <si>
    <t>Paint trim only</t>
  </si>
  <si>
    <t>Sand &amp; refinish deck or paint deck</t>
  </si>
  <si>
    <t>Paint fence</t>
  </si>
  <si>
    <t>Paint detached garage</t>
  </si>
  <si>
    <t>Windows</t>
  </si>
  <si>
    <t>Windows, vinyl, average size</t>
  </si>
  <si>
    <t>Windows, wood, restore existing wood (historical)</t>
  </si>
  <si>
    <t>Window, large bay window - remove &amp; replace</t>
  </si>
  <si>
    <t>EXTERIOR (cont.)</t>
  </si>
  <si>
    <t>Garage</t>
  </si>
  <si>
    <t>Garage Door Only -  1 Car - 9'x7'  door, manual</t>
  </si>
  <si>
    <t>Garage Door Only - 2 Car - 16' door, manual</t>
  </si>
  <si>
    <t>Garage Door Opener Installed</t>
  </si>
  <si>
    <t>Reroof detached garage (rip &amp; replace)</t>
  </si>
  <si>
    <t>Build new detached garage</t>
  </si>
  <si>
    <t>Landscaping</t>
  </si>
  <si>
    <t>Full landscaping makeover large lot</t>
  </si>
  <si>
    <t>Full landscaping makeover medium lot</t>
  </si>
  <si>
    <t>Full landscaping makeover small lot</t>
  </si>
  <si>
    <t>Clean up landscaping &amp; yard only</t>
  </si>
  <si>
    <t>Tree removal (per tree)</t>
  </si>
  <si>
    <t>Tree Planting (per tree)</t>
  </si>
  <si>
    <t>Concrete/Asphalt</t>
  </si>
  <si>
    <t>Demo existing concrete or asphalt</t>
  </si>
  <si>
    <t>Concrete installed for driveway/patio/sidewalk</t>
  </si>
  <si>
    <t>Asphalt installed in driveway</t>
  </si>
  <si>
    <t>Gravel installed for driveway/sidewalk</t>
  </si>
  <si>
    <t>Decks</t>
  </si>
  <si>
    <t>New deck 15'x15' (add permit if 30" off ground)</t>
  </si>
  <si>
    <t>New deck 10'x10'</t>
  </si>
  <si>
    <t>New deck - treated lumber</t>
  </si>
  <si>
    <t>New deck - cedar material</t>
  </si>
  <si>
    <t>Decking material replacement only</t>
  </si>
  <si>
    <t>Sand &amp; refinish deck only</t>
  </si>
  <si>
    <t>New railings - wood</t>
  </si>
  <si>
    <t>New railings - metal</t>
  </si>
  <si>
    <t>Pergola</t>
  </si>
  <si>
    <t>New pergola canopy 15'x15'</t>
  </si>
  <si>
    <t>New pergola canopy 10'x10'</t>
  </si>
  <si>
    <t>Fence</t>
  </si>
  <si>
    <t>Wood fencing</t>
  </si>
  <si>
    <t>Wrought iron fencing</t>
  </si>
  <si>
    <t>Chain-link fence</t>
  </si>
  <si>
    <t>Pool *</t>
  </si>
  <si>
    <t>Pool Completely Redone ($10k to $15k)</t>
  </si>
  <si>
    <t>Possible add'l Inspections needed</t>
  </si>
  <si>
    <t>Pool (redo plaster only)</t>
  </si>
  <si>
    <t>Septic *</t>
  </si>
  <si>
    <t>Septic (all new system)</t>
  </si>
  <si>
    <t>Septic (new tank only)</t>
  </si>
  <si>
    <t>Septic (replace leach field only)</t>
  </si>
  <si>
    <t>Exterior Notes</t>
  </si>
  <si>
    <t>INTERIOR</t>
  </si>
  <si>
    <t>Interior painting only</t>
  </si>
  <si>
    <t>Add extra wall prep (damaged walls)</t>
  </si>
  <si>
    <t>Hardwood</t>
  </si>
  <si>
    <t>Hardwood flooring - solid wood</t>
  </si>
  <si>
    <t>Engineered hardwood flooring</t>
  </si>
  <si>
    <t>Laminate hardwood flooring</t>
  </si>
  <si>
    <t>Sand &amp; refinish existing hardwood flooring</t>
  </si>
  <si>
    <t>Carpet / Vinyl</t>
  </si>
  <si>
    <t>Carpet</t>
  </si>
  <si>
    <t>Vinyl or linoleum flooring</t>
  </si>
  <si>
    <t>Tiling</t>
  </si>
  <si>
    <t>Ceramic floor tile - in kitchen</t>
  </si>
  <si>
    <t>Backsplash wall tile - in kitchen</t>
  </si>
  <si>
    <t>Ceramic floor tile - in bathrooms</t>
  </si>
  <si>
    <t>Shower wall tile - in bathrooms (70 sf usually)</t>
  </si>
  <si>
    <t>Shower accent wall tile - in bathrooms</t>
  </si>
  <si>
    <t>Ceramic floor tile - other areas of house</t>
  </si>
  <si>
    <t>Kitchen - (Grouped)</t>
  </si>
  <si>
    <t>High end kitchen</t>
  </si>
  <si>
    <t>Includes: cabinets, counter-tops, backsplash, plumbing &amp; electrical work &amp; fixtures in kitchen only. Excludes: appliances, flooring, paint.</t>
  </si>
  <si>
    <t>Median kitchen</t>
  </si>
  <si>
    <t>Low end kitchen</t>
  </si>
  <si>
    <t>Low end kitchen - refinish existing cabinets</t>
  </si>
  <si>
    <t>Kitchen extra custom items</t>
  </si>
  <si>
    <t>Appliances - (Grouped)</t>
  </si>
  <si>
    <t>Luxury home appliances</t>
  </si>
  <si>
    <t>Includes: Refrigerator, range, range hood, dishwasher, microwave</t>
  </si>
  <si>
    <t>High end home appliances</t>
  </si>
  <si>
    <t>Median price home appliances</t>
  </si>
  <si>
    <t>Low end home appliances</t>
  </si>
  <si>
    <t>Kitchen - (By Item)</t>
  </si>
  <si>
    <t>Cabinets</t>
  </si>
  <si>
    <t>Countertops</t>
  </si>
  <si>
    <t>Sink</t>
  </si>
  <si>
    <t>Sink Faucet</t>
  </si>
  <si>
    <t>Garbage Disposal</t>
  </si>
  <si>
    <t>Refrigerator</t>
  </si>
  <si>
    <t>Range</t>
  </si>
  <si>
    <t>Range Hood</t>
  </si>
  <si>
    <t>Dishwasher</t>
  </si>
  <si>
    <t>Microwave</t>
  </si>
  <si>
    <t>Bathroom - (Grouped)</t>
  </si>
  <si>
    <t>Large master bath - replace everything</t>
  </si>
  <si>
    <t>Includes: vanity, counter-top, mirror, sink, faucet, tub, surround, shower-head &amp; faucet kit, towel bar kit fan, lighting kit, basic plumbing &amp; electrical work. Excludes flooring &amp; paint</t>
  </si>
  <si>
    <t>Full bath - replace everything</t>
  </si>
  <si>
    <t>Half bath - replace everything</t>
  </si>
  <si>
    <t>Bathroom - (By Item)</t>
  </si>
  <si>
    <t>Vanity cabinet</t>
  </si>
  <si>
    <t>Vanity countertop - granite or other hard surface</t>
  </si>
  <si>
    <t>Vanity mirror</t>
  </si>
  <si>
    <t>Toilet</t>
  </si>
  <si>
    <t>Bathtub - fiberglass</t>
  </si>
  <si>
    <t>Bathtub &amp; shower surround - fiberglass</t>
  </si>
  <si>
    <t>Shower stall &amp; surround - fiberglass</t>
  </si>
  <si>
    <t>Showerhead &amp; faucet kit</t>
  </si>
  <si>
    <t>Bathroom towel bar kit</t>
  </si>
  <si>
    <t>INTERIOR (cont.)</t>
  </si>
  <si>
    <t>Framing</t>
  </si>
  <si>
    <t>New construction framing- (includes walls, floors &amp; roof)</t>
  </si>
  <si>
    <t>Interior framing changes (non load barring)</t>
  </si>
  <si>
    <t>Open load bearing/structural wall</t>
  </si>
  <si>
    <t>Subfloor put in (3/4" plywood)</t>
  </si>
  <si>
    <t>Insulation</t>
  </si>
  <si>
    <t>Wall insulation</t>
  </si>
  <si>
    <t>Floor insulation</t>
  </si>
  <si>
    <t>Attic insulation, blown-in</t>
  </si>
  <si>
    <t>Walls</t>
  </si>
  <si>
    <t>Drywall, tape &amp; skimcoat walls/ceilings in gutted house</t>
  </si>
  <si>
    <t>Drywall, tape, &amp; skimcoat a wall (1/2" thick)</t>
  </si>
  <si>
    <t>Drywall, tape, &amp; skimcoat a ceiling (1/2" thick)</t>
  </si>
  <si>
    <t>Skimcoating/texturing walls and ceilings only</t>
  </si>
  <si>
    <t>Patchwork section of a wall - (drywall, tape, &amp; finish)</t>
  </si>
  <si>
    <t>Doors &amp; Trim</t>
  </si>
  <si>
    <t>New interior doors, closet doors, hardware, &amp; trim (3000 sq ft house)</t>
  </si>
  <si>
    <t>New interior doors, closet doors, hardware, &amp; trim (1500 sq ft house)</t>
  </si>
  <si>
    <t>Interior door - prehung hollow-core door</t>
  </si>
  <si>
    <t>Interior sliding closet door</t>
  </si>
  <si>
    <t>Exterior front door - single door w/ hardware &amp; dead bolt</t>
  </si>
  <si>
    <t>Exterior french patio door - double door</t>
  </si>
  <si>
    <t>Exterior sliding glass door - double door</t>
  </si>
  <si>
    <t>Crown molding</t>
  </si>
  <si>
    <t>New baseboard trim</t>
  </si>
  <si>
    <t>Raised panel wood wainscoting</t>
  </si>
  <si>
    <t>Basement</t>
  </si>
  <si>
    <t>Pour concrete floor in basement</t>
  </si>
  <si>
    <t>sy</t>
  </si>
  <si>
    <t>Seal basement</t>
  </si>
  <si>
    <t>Install sump pump</t>
    <phoneticPr fontId="7" type="noConversion"/>
  </si>
  <si>
    <t>ea</t>
    <phoneticPr fontId="7" type="noConversion"/>
  </si>
  <si>
    <t>Install french drains (estimate depending on condition - L x W)</t>
  </si>
  <si>
    <t>Reframe support beam</t>
  </si>
  <si>
    <t>Replace stairs</t>
  </si>
  <si>
    <t>Foundation *</t>
  </si>
  <si>
    <t>Excavation - dig footing trenching</t>
  </si>
  <si>
    <t>Excavation - backfill of trenches</t>
  </si>
  <si>
    <t>New foundation - pour concrete footing</t>
  </si>
  <si>
    <t>New foundation - pour concrete slab on grade (4" thick)</t>
  </si>
  <si>
    <t>New foundation - pour stem wall for single story house</t>
  </si>
  <si>
    <t>Repair existing foundation -  ($10k min - get quote)</t>
  </si>
  <si>
    <t>Repair existing foundation -  stair mud jacking (will vary)</t>
  </si>
  <si>
    <t>Repair existing foundation - bowing walls support with I beams</t>
  </si>
  <si>
    <t>Repair existing foundation - settled walls support w/piers</t>
  </si>
  <si>
    <t>Interior Notes</t>
  </si>
  <si>
    <t>MECHANICALS</t>
  </si>
  <si>
    <t>HVAC</t>
  </si>
  <si>
    <t>Gas fired forced hot air heating system, ac system, &amp; ductwork</t>
  </si>
  <si>
    <t>Gas fired forced hot air heating system &amp; ductwork</t>
  </si>
  <si>
    <t>Gas fired forced hot air unit only</t>
  </si>
  <si>
    <t>Air conditioning unit only</t>
  </si>
  <si>
    <t>Replace forced air ductwork only</t>
  </si>
  <si>
    <t>Replace boiler &amp; hot water baseboard system</t>
  </si>
  <si>
    <t>Replace boiler unit only</t>
  </si>
  <si>
    <t>Wall heater (install new or remove &amp; replace)</t>
  </si>
  <si>
    <t>Service heating &amp; cooling system only</t>
  </si>
  <si>
    <t>Plumbing</t>
  </si>
  <si>
    <t>New plumbing system in entire house (1,500 sq. ft 3/2 house)</t>
  </si>
  <si>
    <t>Replace tankless hot water heater</t>
  </si>
  <si>
    <t>Replace gas hot water heater - 40 gallon</t>
  </si>
  <si>
    <t>Electrical</t>
  </si>
  <si>
    <t>Rewire entire house, new panel, &amp; lighting fixtures (1,500 sqft)</t>
  </si>
  <si>
    <t>Basic electrical work for house &amp; lighting fixtures (1500 sq. ft)</t>
  </si>
  <si>
    <t>Replace electrical panel only</t>
  </si>
  <si>
    <t>Replace all lighting fixtures only (1500 sq. ft. house)</t>
  </si>
  <si>
    <t>OTHER</t>
  </si>
  <si>
    <t>Demo &amp; Dumpsters</t>
  </si>
  <si>
    <t>Demolition work (cost to fill one 40 yd dumpster)</t>
  </si>
  <si>
    <t>Dumpster rental (40 yard)</t>
  </si>
  <si>
    <t>Termites/Abatement *</t>
  </si>
  <si>
    <t>Termite fumigation &amp; treatment</t>
  </si>
  <si>
    <t>Mold removal &amp; abatement - minimum</t>
  </si>
  <si>
    <t>MUST SELL FOR</t>
  </si>
  <si>
    <t>Asbestos removal &amp; abatement - minimum</t>
  </si>
  <si>
    <t>Agent/Broker</t>
  </si>
  <si>
    <t>Permits *</t>
  </si>
  <si>
    <t>Construction permits for remodel (city)</t>
  </si>
  <si>
    <t>Construction permits for addition (city)</t>
  </si>
  <si>
    <t>Sellers Cost</t>
  </si>
  <si>
    <t>Construction permits for deck (city)</t>
  </si>
  <si>
    <t>Construction permits over the counter</t>
  </si>
  <si>
    <t>Subtotal</t>
  </si>
  <si>
    <t>Construction permits for full submittal (county)</t>
  </si>
  <si>
    <t>4 Months</t>
  </si>
  <si>
    <t>Construction permits for addition (county)</t>
  </si>
  <si>
    <t>Construction permits for deck (county)</t>
  </si>
  <si>
    <t>IN ORDER TO GET</t>
  </si>
  <si>
    <t>Extra</t>
  </si>
  <si>
    <r>
      <rPr>
        <b/>
        <sz val="7"/>
        <color rgb="FF000000"/>
        <rFont val="Arial Narrow"/>
        <family val="2"/>
      </rPr>
      <t>Note</t>
    </r>
    <r>
      <rPr>
        <sz val="7"/>
        <color rgb="FF000000"/>
        <rFont val="Arial Narrow"/>
        <family val="2"/>
      </rPr>
      <t>: add anything that is not currently on the sheet</t>
    </r>
  </si>
  <si>
    <t>Repairs Subtotal</t>
  </si>
  <si>
    <t>Staging</t>
  </si>
  <si>
    <t>Staging (Kitchen, Baths, Living Room &amp; 1 Bedroom)</t>
  </si>
  <si>
    <t>Contingency</t>
  </si>
  <si>
    <t>Misc Contingency Cost (10-20% depending on unknowns)</t>
  </si>
  <si>
    <t>%</t>
  </si>
  <si>
    <t>Total Repairs</t>
  </si>
  <si>
    <t>COST ESTIMATES</t>
  </si>
  <si>
    <t>Exterior Repairs</t>
  </si>
  <si>
    <t>Mechanical Repairs</t>
  </si>
  <si>
    <t>Interior Repairs</t>
  </si>
  <si>
    <t>Other Repairs</t>
  </si>
  <si>
    <t>* Pricing will vary based on what type of contractors you get quotes back from. Prices will also vary based on the type materials (low end/high end) you ultimately choose to install. As you start to regularly work with certain contractors you will want to update this repair estimator twice a year based on who you work with and what prices you are able to negotiate. You always want to negotiate quotes you get back and shoot for wholesale pricing.</t>
  </si>
  <si>
    <t>check</t>
  </si>
  <si>
    <t>MAX ACQUISITION ANALYSIS</t>
  </si>
  <si>
    <t>PROJECT ASSUMPTIONS</t>
  </si>
  <si>
    <t>SCENARIO 1</t>
  </si>
  <si>
    <t>SCENARIO 2</t>
  </si>
  <si>
    <t>SCENARIO 3</t>
  </si>
  <si>
    <t>MAXIMUM ACQUISITION</t>
  </si>
  <si>
    <t>HARD COST</t>
  </si>
  <si>
    <t>HARD COST CONTINGENCY</t>
  </si>
  <si>
    <t>PROFIT</t>
  </si>
  <si>
    <t>SELLING BROKER 6%</t>
  </si>
  <si>
    <t>FINANCING AND CARRYING</t>
  </si>
  <si>
    <t>LOAN AMOUNT VS. OUT OF POCKET</t>
  </si>
  <si>
    <t>FACTORS</t>
  </si>
  <si>
    <t>ARKAD LENDING TERMS</t>
  </si>
  <si>
    <t>LOAN AMOUNT</t>
  </si>
  <si>
    <t>OUT OF POCKET</t>
  </si>
  <si>
    <t>ACQUISITION OFFER</t>
  </si>
  <si>
    <t>QUICK MAXIMUM OFFER ANALYSIS</t>
  </si>
  <si>
    <t>LOAN AMT</t>
  </si>
  <si>
    <t>HARD COST + CONTINGENCY</t>
  </si>
  <si>
    <t>SELLING COSTS (6% BROKER AND OTHER 2%)</t>
  </si>
  <si>
    <t>FINANCING COSTS % OF ARV</t>
  </si>
  <si>
    <t>BUYING, HOLDING, CARRYING COSTS % OF ARV</t>
  </si>
  <si>
    <t>TOTAL PROJECT COST</t>
  </si>
  <si>
    <r>
      <rPr>
        <b/>
        <u/>
        <sz val="10"/>
        <rFont val="Arial"/>
        <family val="2"/>
      </rPr>
      <t>MIN</t>
    </r>
    <r>
      <rPr>
        <sz val="10"/>
        <rFont val="Arial"/>
        <family val="2"/>
      </rPr>
      <t xml:space="preserve"> PROFIT % OF ARV</t>
    </r>
  </si>
  <si>
    <r>
      <rPr>
        <b/>
        <u/>
        <sz val="10"/>
        <rFont val="Arial"/>
        <family val="2"/>
      </rPr>
      <t xml:space="preserve">70% </t>
    </r>
    <r>
      <rPr>
        <sz val="10"/>
        <rFont val="Arial"/>
        <family val="2"/>
      </rPr>
      <t>RULE-PURCHASE PRICE OF ARV</t>
    </r>
  </si>
  <si>
    <t>ACTUAL OFFER</t>
  </si>
  <si>
    <t>ACTUAL ARV</t>
  </si>
  <si>
    <t>PROPERTY ADDRESS:</t>
  </si>
  <si>
    <t>City:</t>
  </si>
  <si>
    <t># of Beds:</t>
  </si>
  <si>
    <t>State:</t>
  </si>
  <si>
    <t># of Baths:</t>
  </si>
  <si>
    <t>Type:</t>
  </si>
  <si>
    <t>livable sq.ft :</t>
  </si>
  <si>
    <r>
      <rPr>
        <b/>
        <i/>
        <u/>
        <sz val="12"/>
        <rFont val="Arial"/>
        <family val="2"/>
      </rPr>
      <t>DUE DILIGENCE</t>
    </r>
    <r>
      <rPr>
        <i/>
        <sz val="12"/>
        <rFont val="Arial"/>
        <family val="2"/>
      </rPr>
      <t xml:space="preserve">:  The following is a detailed appraisal and </t>
    </r>
    <r>
      <rPr>
        <b/>
        <i/>
        <u/>
        <sz val="12"/>
        <rFont val="Arial"/>
        <family val="2"/>
      </rPr>
      <t>best-faith offer</t>
    </r>
    <r>
      <rPr>
        <i/>
        <sz val="12"/>
        <rFont val="Arial"/>
        <family val="2"/>
      </rPr>
      <t xml:space="preserve"> for your real property in </t>
    </r>
    <r>
      <rPr>
        <b/>
        <i/>
        <u/>
        <sz val="12"/>
        <rFont val="Arial"/>
        <family val="2"/>
      </rPr>
      <t xml:space="preserve">as-is condition </t>
    </r>
    <r>
      <rPr>
        <i/>
        <sz val="12"/>
        <rFont val="Arial"/>
        <family val="2"/>
      </rPr>
      <t xml:space="preserve">based upon comparable sales and required renovations and repairs.  Please use this information as a reference and acknowledgement of due diligence in evaluating our offer.  Our offer is based on a comprehensive due diligence of the local market and existing condition of the property.    Our goal is to provide you the most honest and </t>
    </r>
    <r>
      <rPr>
        <b/>
        <i/>
        <u/>
        <sz val="12"/>
        <rFont val="Arial"/>
        <family val="2"/>
      </rPr>
      <t>best faith offer</t>
    </r>
    <r>
      <rPr>
        <i/>
        <sz val="12"/>
        <rFont val="Arial"/>
        <family val="2"/>
      </rPr>
      <t xml:space="preserve"> for your property in its </t>
    </r>
    <r>
      <rPr>
        <b/>
        <i/>
        <u/>
        <sz val="12"/>
        <rFont val="Arial"/>
        <family val="2"/>
      </rPr>
      <t>as-is condition</t>
    </r>
    <r>
      <rPr>
        <i/>
        <sz val="12"/>
        <rFont val="Arial"/>
        <family val="2"/>
      </rPr>
      <t>.</t>
    </r>
  </si>
  <si>
    <r>
      <rPr>
        <b/>
        <i/>
        <u/>
        <sz val="12"/>
        <rFont val="Arial"/>
        <family val="2"/>
      </rPr>
      <t>FINANCING:</t>
    </r>
    <r>
      <rPr>
        <i/>
        <sz val="12"/>
        <rFont val="Arial"/>
        <family val="2"/>
      </rPr>
      <t xml:space="preserve">  Our financing for this unit is </t>
    </r>
    <r>
      <rPr>
        <b/>
        <i/>
        <u/>
        <sz val="12"/>
        <rFont val="Arial"/>
        <family val="2"/>
      </rPr>
      <t>very flexible</t>
    </r>
    <r>
      <rPr>
        <i/>
        <sz val="12"/>
        <rFont val="Arial"/>
        <family val="2"/>
      </rPr>
      <t xml:space="preserve"> and takes into account the current condition of the property.  We understand that as an owner you are prepared to </t>
    </r>
    <r>
      <rPr>
        <b/>
        <i/>
        <u/>
        <sz val="12"/>
        <rFont val="Arial"/>
        <family val="2"/>
      </rPr>
      <t>sell your property quickly</t>
    </r>
    <r>
      <rPr>
        <i/>
        <sz val="12"/>
        <rFont val="Arial"/>
        <family val="2"/>
      </rPr>
      <t xml:space="preserve"> and as </t>
    </r>
    <r>
      <rPr>
        <b/>
        <i/>
        <u/>
        <sz val="12"/>
        <rFont val="Arial"/>
        <family val="2"/>
      </rPr>
      <t>"hassle free"</t>
    </r>
    <r>
      <rPr>
        <i/>
        <sz val="12"/>
        <rFont val="Arial"/>
        <family val="2"/>
      </rPr>
      <t xml:space="preserve"> as possible.  We can close as fast as within 30 days of signing contracts.   We are prepared to close on your house and make the process as easy as possible for you.</t>
    </r>
  </si>
  <si>
    <t>COMPARABLE SALES INFORMATION</t>
  </si>
  <si>
    <t>ADDRESS</t>
  </si>
  <si>
    <t>BEDS</t>
  </si>
  <si>
    <t>BATHS</t>
  </si>
  <si>
    <t>SQ. FT.</t>
  </si>
  <si>
    <t>SOLD- SALES PRICE</t>
  </si>
  <si>
    <t>COST PER SQ.FT.</t>
  </si>
  <si>
    <t>AVERAGE COST - SALES PER SQ.FT.</t>
  </si>
  <si>
    <t>REHABILITATION COST ESTIMATES</t>
  </si>
  <si>
    <t>EXTERIOR REPAIRS</t>
  </si>
  <si>
    <t>MECHANICAL REPAIRS</t>
  </si>
  <si>
    <t>COST PER SQ.FT</t>
  </si>
  <si>
    <t>INTERIOR REPAIRS</t>
  </si>
  <si>
    <t>OTHER REPAIRS</t>
  </si>
  <si>
    <t>TOTAL REPAIRS</t>
  </si>
  <si>
    <r>
      <t xml:space="preserve">YOUR LOCAL MARKET FOR </t>
    </r>
    <r>
      <rPr>
        <b/>
        <sz val="12"/>
        <color rgb="FFFF0000"/>
        <rFont val="Arial"/>
        <family val="2"/>
      </rPr>
      <t>RENOVATED</t>
    </r>
    <r>
      <rPr>
        <b/>
        <sz val="12"/>
        <rFont val="Arial"/>
        <family val="2"/>
      </rPr>
      <t xml:space="preserve"> HOMES</t>
    </r>
  </si>
  <si>
    <t>Low</t>
  </si>
  <si>
    <t>Mid</t>
  </si>
  <si>
    <t>Max</t>
  </si>
  <si>
    <t>"AFTER REHAB" VALUE</t>
  </si>
  <si>
    <t>*We will make you an offer based on the maximum your local market can support.</t>
  </si>
  <si>
    <r>
      <t>AMOUNT OF</t>
    </r>
    <r>
      <rPr>
        <b/>
        <u/>
        <sz val="12"/>
        <rFont val="Arial"/>
        <family val="2"/>
      </rPr>
      <t xml:space="preserve"> CONSTRUCTION WORK</t>
    </r>
    <r>
      <rPr>
        <sz val="12"/>
        <rFont val="Arial"/>
        <family val="2"/>
      </rPr>
      <t xml:space="preserve"> THAT YOUR </t>
    </r>
    <r>
      <rPr>
        <b/>
        <u/>
        <sz val="12"/>
        <rFont val="Arial"/>
        <family val="2"/>
      </rPr>
      <t>HOUSE REQUIRES</t>
    </r>
  </si>
  <si>
    <t>Number of Months it will take to Renovate your house</t>
  </si>
  <si>
    <t>BUYING COSTS, FINANCING COSTS, HOLDING COSTS, SELLING COSTS, PROCEEDS</t>
  </si>
  <si>
    <r>
      <t xml:space="preserve">Number of Months it would take to List and Sell your house </t>
    </r>
    <r>
      <rPr>
        <b/>
        <i/>
        <u/>
        <sz val="10"/>
        <color rgb="FFFF0000"/>
        <rFont val="Arial"/>
        <family val="2"/>
      </rPr>
      <t>if renovated</t>
    </r>
    <r>
      <rPr>
        <b/>
        <i/>
        <sz val="10"/>
        <rFont val="Arial"/>
        <family val="2"/>
      </rPr>
      <t xml:space="preserve"> (takes longer if not)</t>
    </r>
  </si>
  <si>
    <t>*Total Amount required to Invest in your property in order to Rehab/Repair and to Resell</t>
  </si>
  <si>
    <t>Total Amount of Time to Rehab and Resell your property</t>
  </si>
  <si>
    <r>
      <t>PROPERTY PRICE OPINION-</t>
    </r>
    <r>
      <rPr>
        <b/>
        <u/>
        <sz val="12"/>
        <color theme="4"/>
        <rFont val="Arial"/>
        <family val="2"/>
      </rPr>
      <t>"FAIR AND BEST FAITH OFFER"</t>
    </r>
    <r>
      <rPr>
        <b/>
        <sz val="12"/>
        <rFont val="Arial"/>
        <family val="2"/>
      </rPr>
      <t xml:space="preserve"> BASED ON CURRENT CONDITION OF HOUSE AND LOCAL NEIGHBORHOOD</t>
    </r>
  </si>
  <si>
    <t/>
  </si>
  <si>
    <t>Owner</t>
  </si>
  <si>
    <t>Company name</t>
  </si>
  <si>
    <t xml:space="preserve">Disclaimer:  The information above is provided as a basis in establishing our Property Price Opinion.  The  intent of our offer is to earn a profit after property rehabilitation.  Actual property figures including rehab cost, fixed cost, and profit, may vary materially, and there is no guarantee of accuracy of the figures presented above.  This is based on our experience of working throughout local markets.  </t>
  </si>
  <si>
    <t>Investment Summary</t>
  </si>
  <si>
    <t>0</t>
  </si>
  <si>
    <t>ARV:</t>
  </si>
  <si>
    <t>About the Investment Summary</t>
  </si>
  <si>
    <t>Beds:</t>
  </si>
  <si>
    <t>Baths:</t>
  </si>
  <si>
    <t>Executive Summary</t>
  </si>
  <si>
    <t>Provide a summary of the property and rehab plans here for the lender to review the lending opportunity.</t>
  </si>
  <si>
    <t>Closing Date:</t>
  </si>
  <si>
    <t>Loan Amt Requested:</t>
  </si>
  <si>
    <t>Term:</t>
  </si>
  <si>
    <t>6 months</t>
  </si>
  <si>
    <t>Exit Strategy:</t>
  </si>
  <si>
    <t>Sell to Retail Buyer</t>
  </si>
  <si>
    <t>Sources &amp; Uses</t>
  </si>
  <si>
    <t>Sources of Funds</t>
  </si>
  <si>
    <t>Amount</t>
  </si>
  <si>
    <t>Uses of Funds</t>
  </si>
  <si>
    <t>1st Lien Mortgage</t>
  </si>
  <si>
    <t>2nd Lien Mortgage (Seller/Private)</t>
  </si>
  <si>
    <t>Closing Costs</t>
  </si>
  <si>
    <t>Equity (Borrower's Cash)</t>
  </si>
  <si>
    <t>Hard Costs</t>
  </si>
  <si>
    <t>Financing</t>
  </si>
  <si>
    <t>Soft Costs (Carry Costs)</t>
  </si>
  <si>
    <t>Total Sources</t>
  </si>
  <si>
    <t>Total Uses</t>
  </si>
  <si>
    <t>Comparables</t>
  </si>
  <si>
    <t>Street Address</t>
  </si>
  <si>
    <t>Type</t>
  </si>
  <si>
    <t>Bed</t>
  </si>
  <si>
    <t>Size (SF)</t>
  </si>
  <si>
    <t>Land</t>
  </si>
  <si>
    <t>Year Built</t>
  </si>
  <si>
    <t>Distance</t>
  </si>
  <si>
    <t>1234 Main St, San Diego, CA</t>
  </si>
  <si>
    <t>SF</t>
  </si>
  <si>
    <t>1 acre</t>
  </si>
  <si>
    <t>1.2 miles</t>
  </si>
  <si>
    <t>Parking</t>
  </si>
  <si>
    <t>List Date</t>
  </si>
  <si>
    <t>List Price</t>
  </si>
  <si>
    <t>Sold Date</t>
  </si>
  <si>
    <t>Sold Price</t>
  </si>
  <si>
    <t>PSF</t>
  </si>
  <si>
    <t>DOM</t>
  </si>
  <si>
    <t>2 Car Garage</t>
  </si>
  <si>
    <t>5555 Grand Ave, San Diego, CA</t>
  </si>
  <si>
    <t>98705 Market St, San Diego, CA</t>
  </si>
  <si>
    <t>Attachments</t>
  </si>
  <si>
    <t>Tax Assessor Card</t>
  </si>
  <si>
    <t>Map with Comps</t>
  </si>
  <si>
    <t>Construction Budget / Property Inspection</t>
  </si>
  <si>
    <t>Deal Analyzer</t>
  </si>
  <si>
    <t>Photos - Interior/Exterior</t>
  </si>
  <si>
    <t>Submitting an Offer</t>
  </si>
  <si>
    <t>Property Folder</t>
  </si>
  <si>
    <t>To Do:</t>
  </si>
  <si>
    <t>Spreadsheet | Reporting | Deliverable</t>
  </si>
  <si>
    <t>Contact Agent and Contractor to Walkthrough Property</t>
  </si>
  <si>
    <t>Inspection Checklist</t>
  </si>
  <si>
    <t>Walkthrough/Inspect Property for Repairs Needed</t>
  </si>
  <si>
    <t>Repair Cost Calculator</t>
  </si>
  <si>
    <t>Fill-Out Inspection Checklist for Preliminary Scope of Work</t>
  </si>
  <si>
    <t>Maximum Purchase Price Calculator</t>
  </si>
  <si>
    <t>Create Preliminary Repair Cost Estimate</t>
  </si>
  <si>
    <t xml:space="preserve">Investment Report </t>
  </si>
  <si>
    <t>Calculate the Maximum Purchase Price for the Property</t>
  </si>
  <si>
    <t>Maximum Purchase Price Report</t>
  </si>
  <si>
    <t>Distribute Financial Analysis to Partners and Lenders (if required)</t>
  </si>
  <si>
    <t>Repair Cost Estimate Report</t>
  </si>
  <si>
    <t>Homeowner Offer Report</t>
  </si>
  <si>
    <t>Offer Decision:</t>
  </si>
  <si>
    <t>Property Documentation</t>
  </si>
  <si>
    <t>Make 'Go' or 'No-Go' Decision on Offer</t>
  </si>
  <si>
    <t>MLS Listing Information</t>
  </si>
  <si>
    <t>Send Signed Offer/ Purchase Agreement to Agent/Seller</t>
  </si>
  <si>
    <t>Comparable Sales Information</t>
  </si>
  <si>
    <t>Send Copy of EMD/Certified Check (if required)</t>
  </si>
  <si>
    <t>Tax Information</t>
  </si>
  <si>
    <t>Send Proof of Funds Letter (if required)</t>
  </si>
  <si>
    <t>Signed Purchase Agreement</t>
  </si>
  <si>
    <t>"EMD" Earnest Money Deposit /Certified Check</t>
  </si>
  <si>
    <t>Proof of Funds Letter</t>
  </si>
  <si>
    <t>Offer Tracking:</t>
  </si>
  <si>
    <t>Offer #1:</t>
  </si>
  <si>
    <t>Counter #1:</t>
  </si>
  <si>
    <t>Offer #2:</t>
  </si>
  <si>
    <t>Counter #2:</t>
  </si>
  <si>
    <t>Accepted Date:</t>
  </si>
  <si>
    <t>BASIC RULE OF THUMB</t>
  </si>
  <si>
    <t>AFTER REPAIR VALUE</t>
  </si>
  <si>
    <t>(REHAB COST)</t>
  </si>
  <si>
    <t>MAXIMUM "AS IS" PURCHASE PRICE</t>
  </si>
  <si>
    <t>Loan, Realtor, Carrying Cost</t>
  </si>
  <si>
    <t>Purchase Price Sensitivity</t>
  </si>
  <si>
    <t>Resale Value Sensitivity</t>
  </si>
  <si>
    <t>Vary by:</t>
  </si>
  <si>
    <t>Note: Changes made to the Baseline Scenario below will automatically adjust your deal analysis data.</t>
  </si>
  <si>
    <t>Resale Value</t>
  </si>
  <si>
    <t>Total Investment</t>
  </si>
  <si>
    <t>Profit</t>
  </si>
  <si>
    <t>Profit Per Month</t>
  </si>
  <si>
    <t>COCR</t>
  </si>
  <si>
    <t>Results highlight your current analysis results based upon your Baseline Scenario.</t>
  </si>
  <si>
    <t>Baseline Scenario</t>
  </si>
  <si>
    <t>Results</t>
  </si>
  <si>
    <t>Buying Costs</t>
  </si>
  <si>
    <t>Holding Costs</t>
  </si>
  <si>
    <t>Total Estimate</t>
  </si>
  <si>
    <t>Selling Costs</t>
  </si>
  <si>
    <t>Estimate Sensitivity</t>
  </si>
  <si>
    <t>Schedule Sensitivity</t>
  </si>
  <si>
    <t>Total Fixed Costs</t>
  </si>
  <si>
    <t>Project Schedule</t>
  </si>
  <si>
    <t>Monthly Holding Costs</t>
  </si>
  <si>
    <t>Raw Estimate</t>
  </si>
  <si>
    <t>Repair Estimate</t>
  </si>
  <si>
    <t># of Months</t>
  </si>
  <si>
    <t>Adders</t>
  </si>
  <si>
    <t>Max Purchase Price</t>
  </si>
  <si>
    <t>Profit per Month</t>
  </si>
  <si>
    <t>Annualized COCR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</si>
</sst>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m/d/yy;@"/>
    <numFmt numFmtId="165" formatCode="_(&quot;$&quot;* #,##0_);_(&quot;$&quot;* \(#,##0\);_(&quot;$&quot;* &quot;-&quot;??_);_(@_)"/>
    <numFmt numFmtId="166" formatCode="&quot;$&quot;#,##0"/>
    <numFmt numFmtId="167" formatCode="&quot;$&quot;#,##0.00"/>
    <numFmt numFmtId="168" formatCode="[$-409]mmmm\ d\,\ yyyy;@"/>
    <numFmt numFmtId="169" formatCode="0.0"/>
    <numFmt numFmtId="170" formatCode="&quot;$&quot;#,##0.0\ &quot;/sf&quot;"/>
    <numFmt numFmtId="171" formatCode="[&lt;=9999999]###\-####;\(###\)\ ###\-####"/>
    <numFmt numFmtId="172" formatCode="#,##0\ &quot;months&quot;"/>
    <numFmt numFmtId="173" formatCode="#,##0.0\ &quot;months&quot;"/>
    <numFmt numFmtId="174" formatCode="0.0%"/>
  </numFmts>
  <fonts count="144" x14ac:knownFonts="1">
    <font>
      <sz val="10"/>
      <name val="Arial"/>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0"/>
      <color theme="0"/>
      <name val="Arial"/>
      <family val="2"/>
    </font>
    <font>
      <b/>
      <sz val="10"/>
      <name val="Arial"/>
      <family val="2"/>
    </font>
    <font>
      <b/>
      <sz val="14"/>
      <color theme="1"/>
      <name val="Calibri"/>
      <family val="2"/>
      <scheme val="minor"/>
    </font>
    <font>
      <b/>
      <sz val="10"/>
      <color theme="1"/>
      <name val="Arial"/>
      <family val="2"/>
    </font>
    <font>
      <sz val="10"/>
      <color theme="1"/>
      <name val="Arial"/>
      <family val="2"/>
    </font>
    <font>
      <b/>
      <sz val="12"/>
      <name val="Arial"/>
      <family val="2"/>
    </font>
    <font>
      <sz val="9"/>
      <color rgb="FF000000"/>
      <name val="Arial"/>
      <family val="2"/>
    </font>
    <font>
      <b/>
      <sz val="10"/>
      <color indexed="9"/>
      <name val="Arial"/>
      <family val="2"/>
    </font>
    <font>
      <sz val="8"/>
      <name val="Arial"/>
      <family val="2"/>
    </font>
    <font>
      <sz val="10"/>
      <color indexed="9"/>
      <name val="Arial"/>
      <family val="2"/>
    </font>
    <font>
      <sz val="9"/>
      <name val="Arial"/>
      <family val="2"/>
    </font>
    <font>
      <sz val="9"/>
      <color indexed="9"/>
      <name val="Arial"/>
      <family val="2"/>
    </font>
    <font>
      <b/>
      <sz val="12"/>
      <color indexed="18"/>
      <name val="Arial"/>
      <family val="2"/>
    </font>
    <font>
      <sz val="8"/>
      <color indexed="10"/>
      <name val="Arial"/>
      <family val="2"/>
    </font>
    <font>
      <b/>
      <sz val="8"/>
      <name val="Arial"/>
      <family val="2"/>
    </font>
    <font>
      <sz val="9"/>
      <color indexed="81"/>
      <name val="Arial"/>
      <family val="2"/>
    </font>
    <font>
      <sz val="12"/>
      <color rgb="FFFF0000"/>
      <name val="Calibri"/>
      <family val="2"/>
      <scheme val="minor"/>
    </font>
    <font>
      <sz val="12"/>
      <color theme="0"/>
      <name val="Calibri"/>
      <family val="2"/>
      <scheme val="minor"/>
    </font>
    <font>
      <sz val="10"/>
      <color rgb="FF000000"/>
      <name val="Tahoma"/>
      <family val="2"/>
    </font>
    <font>
      <b/>
      <sz val="11"/>
      <name val="Arial"/>
      <family val="2"/>
    </font>
    <font>
      <b/>
      <i/>
      <sz val="10"/>
      <color theme="1"/>
      <name val="Arial"/>
      <family val="2"/>
    </font>
    <font>
      <b/>
      <sz val="14"/>
      <name val="Arial"/>
      <family val="2"/>
    </font>
    <font>
      <b/>
      <sz val="10"/>
      <color rgb="FF000000"/>
      <name val="Tahoma"/>
      <family val="2"/>
    </font>
    <font>
      <b/>
      <sz val="14"/>
      <color theme="1"/>
      <name val="Arial"/>
      <family val="2"/>
    </font>
    <font>
      <b/>
      <sz val="11"/>
      <color theme="1"/>
      <name val="Arial"/>
      <family val="2"/>
    </font>
    <font>
      <u/>
      <sz val="10"/>
      <color theme="1"/>
      <name val="Arial"/>
      <family val="2"/>
    </font>
    <font>
      <b/>
      <u/>
      <sz val="9"/>
      <color rgb="FF000000"/>
      <name val="Arial"/>
      <family val="2"/>
    </font>
    <font>
      <sz val="9"/>
      <color rgb="FFFF0000"/>
      <name val="Arial"/>
      <family val="2"/>
    </font>
    <font>
      <b/>
      <sz val="9"/>
      <color rgb="FF000000"/>
      <name val="Arial"/>
      <family val="2"/>
    </font>
    <font>
      <b/>
      <u/>
      <sz val="9"/>
      <color rgb="FF000000"/>
      <name val="Tahoma"/>
      <family val="2"/>
    </font>
    <font>
      <b/>
      <sz val="9"/>
      <color rgb="FF000000"/>
      <name val="Tahoma"/>
      <family val="2"/>
    </font>
    <font>
      <sz val="9"/>
      <color rgb="FFFF0000"/>
      <name val="Tahoma"/>
      <family val="2"/>
    </font>
    <font>
      <b/>
      <sz val="16"/>
      <color theme="1"/>
      <name val="Calibri"/>
      <family val="2"/>
      <scheme val="minor"/>
    </font>
    <font>
      <b/>
      <sz val="18"/>
      <color theme="1"/>
      <name val="Calibri"/>
      <family val="2"/>
      <scheme val="minor"/>
    </font>
    <font>
      <b/>
      <sz val="14"/>
      <color rgb="FFFF0000"/>
      <name val="Calibri"/>
      <family val="2"/>
      <scheme val="minor"/>
    </font>
    <font>
      <u/>
      <sz val="10"/>
      <color theme="10"/>
      <name val="Arial"/>
      <family val="2"/>
    </font>
    <font>
      <b/>
      <u/>
      <sz val="10"/>
      <name val="Arial"/>
      <family val="2"/>
    </font>
    <font>
      <b/>
      <i/>
      <sz val="10"/>
      <name val="Arial"/>
      <family val="2"/>
    </font>
    <font>
      <i/>
      <sz val="12"/>
      <name val="Calibri Light"/>
      <family val="2"/>
    </font>
    <font>
      <sz val="12"/>
      <name val="Calibri Light"/>
      <family val="2"/>
    </font>
    <font>
      <sz val="11"/>
      <name val="Calibri Light"/>
      <family val="2"/>
    </font>
    <font>
      <b/>
      <u/>
      <sz val="16"/>
      <name val="Calibri"/>
      <family val="2"/>
      <scheme val="minor"/>
    </font>
    <font>
      <i/>
      <sz val="12"/>
      <color rgb="FFFF0000"/>
      <name val="Calibri Light"/>
      <family val="2"/>
    </font>
    <font>
      <i/>
      <sz val="12"/>
      <color rgb="FF398CCC"/>
      <name val="Calibri Light"/>
      <family val="2"/>
    </font>
    <font>
      <b/>
      <sz val="12"/>
      <name val="Calibri"/>
      <family val="2"/>
      <scheme val="minor"/>
    </font>
    <font>
      <sz val="11"/>
      <color theme="0"/>
      <name val="Calibri"/>
      <family val="2"/>
      <scheme val="minor"/>
    </font>
    <font>
      <b/>
      <sz val="13"/>
      <color theme="1" tint="0.14999847407452621"/>
      <name val="Calibri"/>
      <family val="2"/>
      <scheme val="minor"/>
    </font>
    <font>
      <b/>
      <sz val="13"/>
      <name val="Calibri"/>
      <family val="2"/>
      <scheme val="minor"/>
    </font>
    <font>
      <b/>
      <u/>
      <sz val="12"/>
      <name val="Calibri"/>
      <family val="2"/>
      <scheme val="minor"/>
    </font>
    <font>
      <sz val="12"/>
      <name val="Arial"/>
      <family val="2"/>
    </font>
    <font>
      <b/>
      <u/>
      <sz val="14"/>
      <name val="Arial"/>
      <family val="2"/>
    </font>
    <font>
      <sz val="11"/>
      <name val="Arial"/>
      <family val="2"/>
    </font>
    <font>
      <sz val="14"/>
      <name val="Arial"/>
      <family val="2"/>
    </font>
    <font>
      <u/>
      <sz val="14"/>
      <name val="Arial"/>
      <family val="2"/>
    </font>
    <font>
      <b/>
      <sz val="20"/>
      <color theme="1" tint="0.249977111117893"/>
      <name val="Arial"/>
      <family val="2"/>
    </font>
    <font>
      <sz val="10"/>
      <color theme="1" tint="0.249977111117893"/>
      <name val="Arial"/>
      <family val="2"/>
    </font>
    <font>
      <b/>
      <i/>
      <sz val="12"/>
      <color theme="1" tint="0.249977111117893"/>
      <name val="Calibri"/>
      <family val="2"/>
      <scheme val="minor"/>
    </font>
    <font>
      <i/>
      <u/>
      <sz val="12"/>
      <name val="Calibri Light"/>
      <family val="2"/>
    </font>
    <font>
      <b/>
      <i/>
      <sz val="12"/>
      <name val="Calibri Light"/>
      <family val="2"/>
    </font>
    <font>
      <b/>
      <i/>
      <u/>
      <sz val="12"/>
      <name val="Calibri Light"/>
      <family val="2"/>
    </font>
    <font>
      <b/>
      <i/>
      <sz val="16"/>
      <color theme="0"/>
      <name val="Calibri"/>
      <family val="2"/>
      <scheme val="minor"/>
    </font>
    <font>
      <b/>
      <i/>
      <u/>
      <sz val="12"/>
      <color theme="1"/>
      <name val="Calibri Light"/>
      <family val="2"/>
    </font>
    <font>
      <i/>
      <sz val="12"/>
      <name val="Arial"/>
      <family val="2"/>
    </font>
    <font>
      <b/>
      <u/>
      <sz val="12"/>
      <name val="Arial"/>
      <family val="2"/>
    </font>
    <font>
      <b/>
      <i/>
      <u/>
      <sz val="12"/>
      <name val="Arial"/>
      <family val="2"/>
    </font>
    <font>
      <b/>
      <i/>
      <sz val="12"/>
      <name val="Arial"/>
      <family val="2"/>
    </font>
    <font>
      <b/>
      <sz val="11"/>
      <color theme="0"/>
      <name val="Arial"/>
      <family val="2"/>
    </font>
    <font>
      <i/>
      <sz val="26"/>
      <name val="Arial"/>
      <family val="2"/>
    </font>
    <font>
      <b/>
      <i/>
      <sz val="12"/>
      <color rgb="FFFF0000"/>
      <name val="Arial"/>
      <family val="2"/>
    </font>
    <font>
      <i/>
      <sz val="10"/>
      <name val="Arial"/>
      <family val="2"/>
    </font>
    <font>
      <b/>
      <sz val="16"/>
      <color theme="1"/>
      <name val="Arial"/>
      <family val="2"/>
    </font>
    <font>
      <b/>
      <sz val="22"/>
      <name val="Arial"/>
      <family val="2"/>
    </font>
    <font>
      <b/>
      <u/>
      <sz val="12"/>
      <color theme="4"/>
      <name val="Arial"/>
      <family val="2"/>
    </font>
    <font>
      <b/>
      <u/>
      <sz val="14"/>
      <color theme="1"/>
      <name val="Arial"/>
      <family val="2"/>
    </font>
    <font>
      <b/>
      <sz val="36"/>
      <color theme="4"/>
      <name val="Arial"/>
      <family val="2"/>
    </font>
    <font>
      <i/>
      <sz val="14"/>
      <color rgb="FFFF0000"/>
      <name val="Arial"/>
      <family val="2"/>
    </font>
    <font>
      <b/>
      <sz val="16"/>
      <color rgb="FFFF0000"/>
      <name val="Arial"/>
      <family val="2"/>
    </font>
    <font>
      <b/>
      <i/>
      <sz val="11"/>
      <color rgb="FFFF0000"/>
      <name val="Arial"/>
      <family val="2"/>
    </font>
    <font>
      <b/>
      <sz val="12"/>
      <color rgb="FFFF0000"/>
      <name val="Arial"/>
      <family val="2"/>
    </font>
    <font>
      <b/>
      <i/>
      <u/>
      <sz val="10"/>
      <color rgb="FFFF0000"/>
      <name val="Arial"/>
      <family val="2"/>
    </font>
    <font>
      <b/>
      <u/>
      <sz val="22"/>
      <color theme="1"/>
      <name val="Arial"/>
      <family val="2"/>
    </font>
    <font>
      <b/>
      <sz val="16"/>
      <color theme="0" tint="-0.499984740745262"/>
      <name val="Arial"/>
      <family val="2"/>
    </font>
    <font>
      <b/>
      <sz val="12"/>
      <color theme="1"/>
      <name val="Calibri"/>
      <family val="2"/>
      <scheme val="minor"/>
    </font>
    <font>
      <b/>
      <sz val="28"/>
      <color theme="1"/>
      <name val="Calibri"/>
      <family val="2"/>
      <scheme val="minor"/>
    </font>
    <font>
      <sz val="10"/>
      <color theme="1"/>
      <name val="Calibri"/>
      <family val="2"/>
      <scheme val="minor"/>
    </font>
    <font>
      <sz val="14"/>
      <color theme="1"/>
      <name val="Calibri"/>
      <family val="2"/>
      <scheme val="minor"/>
    </font>
    <font>
      <b/>
      <sz val="10"/>
      <color theme="1"/>
      <name val="Calibri"/>
      <family val="2"/>
      <scheme val="minor"/>
    </font>
    <font>
      <sz val="7"/>
      <color theme="1"/>
      <name val="Calibri"/>
      <family val="2"/>
      <scheme val="minor"/>
    </font>
    <font>
      <sz val="11"/>
      <color rgb="FF000000"/>
      <name val="Calibri"/>
      <family val="2"/>
      <scheme val="minor"/>
    </font>
    <font>
      <sz val="7"/>
      <color rgb="FF000000"/>
      <name val="Calibri"/>
      <family val="2"/>
      <scheme val="minor"/>
    </font>
    <font>
      <sz val="9"/>
      <color rgb="FF000000"/>
      <name val="Calibri"/>
      <family val="2"/>
    </font>
    <font>
      <b/>
      <u/>
      <sz val="10"/>
      <color theme="1"/>
      <name val="Calibri"/>
      <family val="2"/>
      <scheme val="minor"/>
    </font>
    <font>
      <u/>
      <sz val="12"/>
      <color theme="1"/>
      <name val="Calibri"/>
      <family val="2"/>
      <scheme val="minor"/>
    </font>
    <font>
      <u/>
      <sz val="10"/>
      <color theme="1"/>
      <name val="Calibri"/>
      <family val="2"/>
      <scheme val="minor"/>
    </font>
    <font>
      <b/>
      <sz val="8"/>
      <color theme="1"/>
      <name val="Calibri"/>
      <family val="2"/>
      <scheme val="minor"/>
    </font>
    <font>
      <b/>
      <sz val="12"/>
      <color theme="0"/>
      <name val="Arial"/>
      <family val="2"/>
    </font>
    <font>
      <i/>
      <sz val="10"/>
      <color theme="2" tint="-0.749992370372631"/>
      <name val="Arial"/>
      <family val="2"/>
    </font>
    <font>
      <i/>
      <sz val="10"/>
      <color theme="1"/>
      <name val="Calibri"/>
      <family val="2"/>
      <scheme val="minor"/>
    </font>
    <font>
      <sz val="10"/>
      <color rgb="FF000000"/>
      <name val="Arial"/>
      <family val="2"/>
    </font>
    <font>
      <b/>
      <sz val="10"/>
      <color rgb="FF000000"/>
      <name val="Arial"/>
      <family val="2"/>
    </font>
    <font>
      <b/>
      <sz val="12"/>
      <color indexed="9"/>
      <name val="Arial"/>
      <family val="2"/>
    </font>
    <font>
      <i/>
      <sz val="11"/>
      <color theme="1" tint="0.249977111117893"/>
      <name val="Arial"/>
      <family val="2"/>
    </font>
    <font>
      <i/>
      <sz val="10"/>
      <color theme="1" tint="0.249977111117893"/>
      <name val="Arial"/>
      <family val="2"/>
    </font>
    <font>
      <b/>
      <i/>
      <sz val="10"/>
      <color theme="1" tint="0.249977111117893"/>
      <name val="Arial"/>
      <family val="2"/>
    </font>
    <font>
      <b/>
      <sz val="16"/>
      <color theme="0"/>
      <name val="Calibri"/>
      <family val="2"/>
      <scheme val="minor"/>
    </font>
    <font>
      <b/>
      <sz val="14"/>
      <color theme="0"/>
      <name val="Arial"/>
      <family val="2"/>
    </font>
    <font>
      <b/>
      <sz val="28"/>
      <color theme="1"/>
      <name val="Arial Narrow"/>
      <family val="2"/>
    </font>
    <font>
      <sz val="12"/>
      <color theme="1"/>
      <name val="Arial Narrow"/>
      <family val="2"/>
    </font>
    <font>
      <sz val="10"/>
      <color theme="1"/>
      <name val="Arial Narrow"/>
      <family val="2"/>
    </font>
    <font>
      <sz val="14"/>
      <color theme="1"/>
      <name val="Arial Narrow"/>
      <family val="2"/>
    </font>
    <font>
      <b/>
      <sz val="16"/>
      <color theme="1"/>
      <name val="Arial Narrow"/>
      <family val="2"/>
    </font>
    <font>
      <b/>
      <sz val="9"/>
      <color theme="1"/>
      <name val="Arial Narrow"/>
      <family val="2"/>
    </font>
    <font>
      <b/>
      <sz val="10"/>
      <color theme="1"/>
      <name val="Arial Narrow"/>
      <family val="2"/>
    </font>
    <font>
      <sz val="7"/>
      <color theme="1"/>
      <name val="Arial Narrow"/>
      <family val="2"/>
    </font>
    <font>
      <b/>
      <sz val="12"/>
      <color theme="1"/>
      <name val="Arial Narrow"/>
      <family val="2"/>
    </font>
    <font>
      <sz val="11"/>
      <color rgb="FF000000"/>
      <name val="Arial Narrow"/>
      <family val="2"/>
    </font>
    <font>
      <i/>
      <sz val="10"/>
      <color theme="1"/>
      <name val="Arial Narrow"/>
      <family val="2"/>
    </font>
    <font>
      <sz val="11"/>
      <color theme="1"/>
      <name val="Arial Narrow"/>
      <family val="2"/>
    </font>
    <font>
      <sz val="7"/>
      <color rgb="FF000000"/>
      <name val="Arial Narrow"/>
      <family val="2"/>
    </font>
    <font>
      <sz val="6"/>
      <color theme="1"/>
      <name val="Arial Narrow"/>
      <family val="2"/>
    </font>
    <font>
      <sz val="9"/>
      <color theme="1"/>
      <name val="Arial Narrow"/>
      <family val="2"/>
    </font>
    <font>
      <sz val="10"/>
      <color indexed="8"/>
      <name val="Arial Narrow"/>
      <family val="2"/>
    </font>
    <font>
      <b/>
      <sz val="10"/>
      <color indexed="8"/>
      <name val="Arial Narrow"/>
      <family val="2"/>
    </font>
    <font>
      <b/>
      <sz val="7"/>
      <color rgb="FF000000"/>
      <name val="Arial Narrow"/>
      <family val="2"/>
    </font>
    <font>
      <b/>
      <sz val="14"/>
      <color theme="1"/>
      <name val="Arial Narrow"/>
      <family val="2"/>
    </font>
    <font>
      <sz val="8"/>
      <color theme="1"/>
      <name val="Arial Narrow"/>
      <family val="2"/>
    </font>
    <font>
      <i/>
      <sz val="12"/>
      <color theme="1"/>
      <name val="Arial Narrow"/>
      <family val="2"/>
    </font>
    <font>
      <i/>
      <sz val="10"/>
      <color rgb="FF000000"/>
      <name val="Tahoma"/>
      <family val="2"/>
    </font>
    <font>
      <i/>
      <sz val="11"/>
      <color rgb="FF000000"/>
      <name val="Arial"/>
      <family val="2"/>
    </font>
    <font>
      <sz val="11"/>
      <color rgb="FF000000"/>
      <name val="Arial"/>
      <family val="2"/>
    </font>
    <font>
      <sz val="10"/>
      <color rgb="FFFF0000"/>
      <name val="Arial Narrow"/>
      <family val="2"/>
    </font>
    <font>
      <b/>
      <sz val="9"/>
      <name val="Arial"/>
      <family val="2"/>
    </font>
    <font>
      <sz val="10"/>
      <color indexed="10"/>
      <name val="Arial"/>
      <family val="2"/>
    </font>
    <font>
      <u/>
      <sz val="10"/>
      <color indexed="12"/>
      <name val="Arial"/>
      <family val="2"/>
    </font>
    <font>
      <sz val="8"/>
      <color indexed="63"/>
      <name val="Verdana"/>
      <family val="2"/>
    </font>
    <font>
      <b/>
      <u/>
      <sz val="10"/>
      <color theme="1"/>
      <name val="Arial"/>
      <family val="2"/>
    </font>
    <font>
      <sz val="10"/>
      <color theme="0"/>
      <name val="Arial Narrow"/>
      <family val="2"/>
    </font>
    <font>
      <b/>
      <sz val="24"/>
      <color theme="1"/>
      <name val="Arial Narrow"/>
      <family val="2"/>
    </font>
  </fonts>
  <fills count="2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17"/>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them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398CCC"/>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7" tint="0.79998168889431442"/>
        <bgColor indexed="64"/>
      </patternFill>
    </fill>
    <fill>
      <patternFill patternType="solid">
        <fgColor indexed="22"/>
        <bgColor indexed="64"/>
      </patternFill>
    </fill>
    <fill>
      <patternFill patternType="solid">
        <fgColor indexed="52"/>
        <bgColor indexed="64"/>
      </patternFill>
    </fill>
    <fill>
      <patternFill patternType="solid">
        <fgColor indexed="10"/>
        <bgColor indexed="64"/>
      </patternFill>
    </fill>
    <fill>
      <patternFill patternType="solid">
        <fgColor theme="5" tint="0.59999389629810485"/>
        <bgColor indexed="64"/>
      </patternFill>
    </fill>
    <fill>
      <patternFill patternType="solid">
        <fgColor theme="5"/>
        <bgColor indexed="64"/>
      </patternFill>
    </fill>
  </fills>
  <borders count="19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top/>
      <bottom style="double">
        <color auto="1"/>
      </bottom>
      <diagonal/>
    </border>
    <border>
      <left style="medium">
        <color auto="1"/>
      </left>
      <right style="medium">
        <color auto="1"/>
      </right>
      <top/>
      <bottom/>
      <diagonal/>
    </border>
    <border>
      <left/>
      <right/>
      <top style="thin">
        <color auto="1"/>
      </top>
      <bottom style="medium">
        <color auto="1"/>
      </bottom>
      <diagonal/>
    </border>
    <border>
      <left/>
      <right/>
      <top style="medium">
        <color auto="1"/>
      </top>
      <bottom style="hair">
        <color theme="4"/>
      </bottom>
      <diagonal/>
    </border>
    <border>
      <left/>
      <right/>
      <top style="hair">
        <color theme="4"/>
      </top>
      <bottom style="hair">
        <color theme="4"/>
      </bottom>
      <diagonal/>
    </border>
    <border>
      <left/>
      <right/>
      <top style="hair">
        <color theme="4"/>
      </top>
      <bottom/>
      <diagonal/>
    </border>
    <border>
      <left style="thick">
        <color auto="1"/>
      </left>
      <right style="thick">
        <color auto="1"/>
      </right>
      <top style="thick">
        <color auto="1"/>
      </top>
      <bottom style="thick">
        <color auto="1"/>
      </bottom>
      <diagonal/>
    </border>
    <border>
      <left/>
      <right/>
      <top style="thick">
        <color auto="1"/>
      </top>
      <bottom/>
      <diagonal/>
    </border>
    <border>
      <left/>
      <right/>
      <top/>
      <bottom style="thick">
        <color auto="1"/>
      </bottom>
      <diagonal/>
    </border>
    <border>
      <left/>
      <right/>
      <top/>
      <bottom style="hair">
        <color rgb="FF00B0F0"/>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style="thick">
        <color auto="1"/>
      </right>
      <top/>
      <bottom style="thick">
        <color auto="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rgb="FF398CCC"/>
      </bottom>
      <diagonal/>
    </border>
    <border>
      <left style="medium">
        <color rgb="FF398CCC"/>
      </left>
      <right/>
      <top style="medium">
        <color rgb="FF398CCC"/>
      </top>
      <bottom/>
      <diagonal/>
    </border>
    <border>
      <left/>
      <right/>
      <top style="medium">
        <color rgb="FF398CCC"/>
      </top>
      <bottom/>
      <diagonal/>
    </border>
    <border>
      <left/>
      <right style="medium">
        <color rgb="FF398CCC"/>
      </right>
      <top style="medium">
        <color rgb="FF398CCC"/>
      </top>
      <bottom/>
      <diagonal/>
    </border>
    <border>
      <left style="thin">
        <color rgb="FF398CCC"/>
      </left>
      <right style="thin">
        <color rgb="FF398CCC"/>
      </right>
      <top style="thin">
        <color rgb="FF398CCC"/>
      </top>
      <bottom style="thin">
        <color rgb="FF398CCC"/>
      </bottom>
      <diagonal/>
    </border>
    <border>
      <left style="medium">
        <color rgb="FF398CCC"/>
      </left>
      <right/>
      <top/>
      <bottom/>
      <diagonal/>
    </border>
    <border>
      <left/>
      <right style="medium">
        <color rgb="FF398CCC"/>
      </right>
      <top/>
      <bottom/>
      <diagonal/>
    </border>
    <border>
      <left style="medium">
        <color rgb="FF398CCC"/>
      </left>
      <right/>
      <top/>
      <bottom style="medium">
        <color rgb="FF398CCC"/>
      </bottom>
      <diagonal/>
    </border>
    <border>
      <left/>
      <right/>
      <top/>
      <bottom style="medium">
        <color rgb="FF398CCC"/>
      </bottom>
      <diagonal/>
    </border>
    <border>
      <left/>
      <right style="medium">
        <color rgb="FF398CCC"/>
      </right>
      <top/>
      <bottom style="medium">
        <color rgb="FF398CCC"/>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398CCC"/>
      </left>
      <right/>
      <top style="thin">
        <color rgb="FF398CCC"/>
      </top>
      <bottom style="thin">
        <color rgb="FF398CCC"/>
      </bottom>
      <diagonal/>
    </border>
    <border>
      <left/>
      <right/>
      <top style="thin">
        <color rgb="FF398CCC"/>
      </top>
      <bottom style="thin">
        <color rgb="FF398CCC"/>
      </bottom>
      <diagonal/>
    </border>
    <border>
      <left/>
      <right style="thin">
        <color rgb="FF398CCC"/>
      </right>
      <top style="thin">
        <color rgb="FF398CCC"/>
      </top>
      <bottom style="thin">
        <color rgb="FF398CCC"/>
      </bottom>
      <diagonal/>
    </border>
    <border>
      <left style="thin">
        <color rgb="FF398CCC"/>
      </left>
      <right/>
      <top style="thin">
        <color rgb="FF398CCC"/>
      </top>
      <bottom/>
      <diagonal/>
    </border>
    <border>
      <left/>
      <right/>
      <top style="thin">
        <color rgb="FF398CCC"/>
      </top>
      <bottom/>
      <diagonal/>
    </border>
    <border>
      <left/>
      <right style="thin">
        <color rgb="FF398CCC"/>
      </right>
      <top style="thin">
        <color rgb="FF398CCC"/>
      </top>
      <bottom/>
      <diagonal/>
    </border>
    <border>
      <left style="thin">
        <color theme="0" tint="-0.249977111117893"/>
      </left>
      <right/>
      <top style="thin">
        <color theme="0" tint="-0.249977111117893"/>
      </top>
      <bottom style="thick">
        <color rgb="FF398CCC"/>
      </bottom>
      <diagonal/>
    </border>
    <border>
      <left/>
      <right/>
      <top style="thin">
        <color theme="0" tint="-0.249977111117893"/>
      </top>
      <bottom style="thick">
        <color rgb="FF398CCC"/>
      </bottom>
      <diagonal/>
    </border>
    <border>
      <left/>
      <right style="thin">
        <color theme="0" tint="-0.249977111117893"/>
      </right>
      <top style="thin">
        <color theme="0" tint="-0.249977111117893"/>
      </top>
      <bottom style="thick">
        <color rgb="FF398CCC"/>
      </bottom>
      <diagonal/>
    </border>
    <border>
      <left style="thin">
        <color theme="0" tint="-0.249977111117893"/>
      </left>
      <right/>
      <top/>
      <bottom/>
      <diagonal/>
    </border>
    <border>
      <left/>
      <right style="thin">
        <color theme="0" tint="-0.249977111117893"/>
      </right>
      <top/>
      <bottom/>
      <diagonal/>
    </border>
    <border>
      <left style="thin">
        <color rgb="FF398CCC"/>
      </left>
      <right/>
      <top/>
      <bottom/>
      <diagonal/>
    </border>
    <border>
      <left/>
      <right style="thick">
        <color rgb="FF398CCC"/>
      </right>
      <top/>
      <bottom/>
      <diagonal/>
    </border>
    <border>
      <left/>
      <right/>
      <top style="thick">
        <color rgb="FF398CCC"/>
      </top>
      <bottom style="thick">
        <color rgb="FF398CCC"/>
      </bottom>
      <diagonal/>
    </border>
    <border>
      <left/>
      <right style="thin">
        <color theme="0" tint="-0.249977111117893"/>
      </right>
      <top style="thick">
        <color rgb="FF398CCC"/>
      </top>
      <bottom style="thick">
        <color rgb="FF398CCC"/>
      </bottom>
      <diagonal/>
    </border>
    <border>
      <left style="thin">
        <color theme="0" tint="-0.249977111117893"/>
      </left>
      <right style="thin">
        <color theme="0" tint="-0.249977111117893"/>
      </right>
      <top style="thick">
        <color rgb="FF398CCC"/>
      </top>
      <bottom style="thick">
        <color rgb="FF398CCC"/>
      </bottom>
      <diagonal/>
    </border>
    <border>
      <left style="thin">
        <color theme="0" tint="-0.249977111117893"/>
      </left>
      <right/>
      <top style="thick">
        <color rgb="FF398CCC"/>
      </top>
      <bottom style="thick">
        <color rgb="FF398CCC"/>
      </bottom>
      <diagonal/>
    </border>
    <border>
      <left style="thick">
        <color rgb="FF398CCC"/>
      </left>
      <right style="thick">
        <color rgb="FF398CCC"/>
      </right>
      <top/>
      <bottom/>
      <diagonal/>
    </border>
    <border>
      <left style="thick">
        <color rgb="FF398CCC"/>
      </left>
      <right/>
      <top/>
      <bottom/>
      <diagonal/>
    </border>
    <border>
      <left/>
      <right style="thin">
        <color rgb="FF398CCC"/>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ck">
        <color rgb="FF398CCC"/>
      </top>
      <bottom style="thin">
        <color theme="0" tint="-0.249977111117893"/>
      </bottom>
      <diagonal/>
    </border>
    <border>
      <left/>
      <right/>
      <top style="thick">
        <color rgb="FF398CCC"/>
      </top>
      <bottom style="thin">
        <color theme="0" tint="-0.249977111117893"/>
      </bottom>
      <diagonal/>
    </border>
    <border>
      <left/>
      <right style="thin">
        <color theme="0" tint="-0.249977111117893"/>
      </right>
      <top style="thick">
        <color rgb="FF398CCC"/>
      </top>
      <bottom style="thin">
        <color theme="0" tint="-0.249977111117893"/>
      </bottom>
      <diagonal/>
    </border>
    <border>
      <left style="thin">
        <color theme="0" tint="-0.249977111117893"/>
      </left>
      <right/>
      <top/>
      <bottom style="double">
        <color theme="1" tint="0.249977111117893"/>
      </bottom>
      <diagonal/>
    </border>
    <border>
      <left/>
      <right/>
      <top/>
      <bottom style="double">
        <color theme="1" tint="0.249977111117893"/>
      </bottom>
      <diagonal/>
    </border>
    <border>
      <left/>
      <right style="thin">
        <color theme="0" tint="-0.249977111117893"/>
      </right>
      <top/>
      <bottom style="double">
        <color theme="1" tint="0.249977111117893"/>
      </bottom>
      <diagonal/>
    </border>
    <border>
      <left style="thick">
        <color rgb="FF398CCC"/>
      </left>
      <right/>
      <top style="thick">
        <color rgb="FF398CCC"/>
      </top>
      <bottom style="thick">
        <color rgb="FF398CCC"/>
      </bottom>
      <diagonal/>
    </border>
    <border>
      <left/>
      <right style="thick">
        <color rgb="FF398CCC"/>
      </right>
      <top style="thick">
        <color rgb="FF398CCC"/>
      </top>
      <bottom style="thick">
        <color rgb="FF398CCC"/>
      </bottom>
      <diagonal/>
    </border>
    <border>
      <left style="thin">
        <color theme="0" tint="-0.249977111117893"/>
      </left>
      <right style="thick">
        <color rgb="FF398CCC"/>
      </right>
      <top style="thick">
        <color rgb="FF398CCC"/>
      </top>
      <bottom style="thick">
        <color rgb="FF398CCC"/>
      </bottom>
      <diagonal/>
    </border>
    <border>
      <left style="thick">
        <color rgb="FF398CCC"/>
      </left>
      <right style="thin">
        <color theme="0" tint="-0.249977111117893"/>
      </right>
      <top style="thick">
        <color rgb="FF398CCC"/>
      </top>
      <bottom style="thick">
        <color rgb="FF398CCC"/>
      </bottom>
      <diagonal/>
    </border>
    <border>
      <left style="thin">
        <color rgb="FF398CCC"/>
      </left>
      <right/>
      <top/>
      <bottom style="thin">
        <color rgb="FF398CCC"/>
      </bottom>
      <diagonal/>
    </border>
    <border>
      <left/>
      <right style="thin">
        <color rgb="FF398CCC"/>
      </right>
      <top/>
      <bottom style="thin">
        <color rgb="FF398CCC"/>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medium">
        <color auto="1"/>
      </left>
      <right style="medium">
        <color auto="1"/>
      </right>
      <top style="medium">
        <color auto="1"/>
      </top>
      <bottom style="double">
        <color auto="1"/>
      </bottom>
      <diagonal/>
    </border>
    <border>
      <left/>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theme="0" tint="-0.34998626667073579"/>
      </left>
      <right style="thin">
        <color theme="0" tint="-0.34998626667073579"/>
      </right>
      <top/>
      <bottom style="thin">
        <color theme="0" tint="-0.34998626667073579"/>
      </bottom>
      <diagonal/>
    </border>
    <border>
      <left style="medium">
        <color auto="1"/>
      </left>
      <right style="thin">
        <color theme="0" tint="-0.34998626667073579"/>
      </right>
      <top style="medium">
        <color auto="1"/>
      </top>
      <bottom style="medium">
        <color auto="1"/>
      </bottom>
      <diagonal/>
    </border>
    <border>
      <left style="thin">
        <color theme="0" tint="-0.34998626667073579"/>
      </left>
      <right style="thin">
        <color theme="0" tint="-0.34998626667073579"/>
      </right>
      <top style="medium">
        <color auto="1"/>
      </top>
      <bottom style="medium">
        <color auto="1"/>
      </bottom>
      <diagonal/>
    </border>
    <border>
      <left style="thin">
        <color theme="0" tint="-0.34998626667073579"/>
      </left>
      <right style="medium">
        <color auto="1"/>
      </right>
      <top style="medium">
        <color auto="1"/>
      </top>
      <bottom style="medium">
        <color auto="1"/>
      </bottom>
      <diagonal/>
    </border>
    <border>
      <left style="medium">
        <color auto="1"/>
      </left>
      <right style="thin">
        <color theme="0" tint="-0.34998626667073579"/>
      </right>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bottom style="medium">
        <color auto="1"/>
      </bottom>
      <diagonal/>
    </border>
    <border>
      <left style="thin">
        <color theme="0" tint="-0.34998626667073579"/>
      </left>
      <right/>
      <top style="medium">
        <color auto="1"/>
      </top>
      <bottom/>
      <diagonal/>
    </border>
    <border>
      <left style="thin">
        <color theme="0" tint="-0.34998626667073579"/>
      </left>
      <right/>
      <top/>
      <bottom/>
      <diagonal/>
    </border>
    <border>
      <left style="thin">
        <color theme="0" tint="-0.34998626667073579"/>
      </left>
      <right/>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bottom style="medium">
        <color auto="1"/>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ck">
        <color theme="0" tint="-0.499984740745262"/>
      </top>
      <bottom/>
      <diagonal/>
    </border>
    <border>
      <left/>
      <right style="thin">
        <color theme="0" tint="-0.499984740745262"/>
      </right>
      <top style="thick">
        <color theme="0" tint="-0.499984740745262"/>
      </top>
      <bottom/>
      <diagonal/>
    </border>
    <border>
      <left style="thin">
        <color theme="0" tint="-0.499984740745262"/>
      </left>
      <right style="thin">
        <color theme="0" tint="-0.499984740745262"/>
      </right>
      <top style="thick">
        <color theme="0" tint="-0.499984740745262"/>
      </top>
      <bottom style="thin">
        <color theme="0" tint="-0.499984740745262"/>
      </bottom>
      <diagonal/>
    </border>
    <border>
      <left style="thin">
        <color theme="0" tint="-0.499984740745262"/>
      </left>
      <right/>
      <top style="thick">
        <color theme="0" tint="-0.499984740745262"/>
      </top>
      <bottom style="thin">
        <color theme="0" tint="-0.499984740745262"/>
      </bottom>
      <diagonal/>
    </border>
    <border>
      <left/>
      <right/>
      <top style="thick">
        <color theme="0" tint="-0.499984740745262"/>
      </top>
      <bottom style="thin">
        <color theme="0" tint="-0.499984740745262"/>
      </bottom>
      <diagonal/>
    </border>
    <border>
      <left/>
      <right style="thin">
        <color theme="0" tint="-0.499984740745262"/>
      </right>
      <top style="thick">
        <color theme="0" tint="-0.499984740745262"/>
      </top>
      <bottom style="thin">
        <color theme="0" tint="-0.499984740745262"/>
      </bottom>
      <diagonal/>
    </border>
    <border>
      <left style="thin">
        <color theme="0" tint="-0.499984740745262"/>
      </left>
      <right/>
      <top/>
      <bottom style="thick">
        <color theme="0" tint="-0.499984740745262"/>
      </bottom>
      <diagonal/>
    </border>
    <border>
      <left/>
      <right style="thin">
        <color theme="0" tint="-0.499984740745262"/>
      </right>
      <top/>
      <bottom style="thick">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top style="thin">
        <color theme="0" tint="-0.499984740745262"/>
      </top>
      <bottom style="thick">
        <color theme="0" tint="-0.499984740745262"/>
      </bottom>
      <diagonal/>
    </border>
    <border>
      <left/>
      <right/>
      <top style="thin">
        <color theme="0" tint="-0.499984740745262"/>
      </top>
      <bottom style="thick">
        <color theme="0" tint="-0.499984740745262"/>
      </bottom>
      <diagonal/>
    </border>
    <border>
      <left/>
      <right style="thin">
        <color theme="0" tint="-0.499984740745262"/>
      </right>
      <top style="thin">
        <color theme="0" tint="-0.499984740745262"/>
      </top>
      <bottom style="thick">
        <color theme="0" tint="-0.499984740745262"/>
      </bottom>
      <diagonal/>
    </border>
    <border>
      <left style="thin">
        <color rgb="FF808080"/>
      </left>
      <right/>
      <top/>
      <bottom/>
      <diagonal/>
    </border>
    <border>
      <left style="thin">
        <color rgb="FF808080"/>
      </left>
      <right/>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style="thin">
        <color theme="0" tint="-0.499984740745262"/>
      </top>
      <bottom/>
      <diagonal/>
    </border>
    <border>
      <left/>
      <right style="thin">
        <color theme="0" tint="-0.499984740745262"/>
      </right>
      <top/>
      <bottom style="thin">
        <color auto="1"/>
      </bottom>
      <diagonal/>
    </border>
    <border>
      <left style="thick">
        <color theme="0" tint="-0.499984740745262"/>
      </left>
      <right/>
      <top/>
      <bottom style="thin">
        <color theme="0" tint="-0.499984740745262"/>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ck">
        <color rgb="FF00B0F0"/>
      </left>
      <right/>
      <top style="medium">
        <color auto="1"/>
      </top>
      <bottom style="hair">
        <color theme="4"/>
      </bottom>
      <diagonal/>
    </border>
    <border>
      <left style="thick">
        <color rgb="FF00B0F0"/>
      </left>
      <right/>
      <top style="hair">
        <color theme="4"/>
      </top>
      <bottom style="hair">
        <color theme="4"/>
      </bottom>
      <diagonal/>
    </border>
    <border>
      <left style="thick">
        <color rgb="FF00B0F0"/>
      </left>
      <right/>
      <top style="hair">
        <color theme="4"/>
      </top>
      <bottom/>
      <diagonal/>
    </border>
    <border>
      <left style="thick">
        <color rgb="FF00B0F0"/>
      </left>
      <right/>
      <top/>
      <bottom/>
      <diagonal/>
    </border>
    <border>
      <left style="thick">
        <color rgb="FF00B0F0"/>
      </left>
      <right/>
      <top/>
      <bottom style="hair">
        <color rgb="FF00B0F0"/>
      </bottom>
      <diagonal/>
    </border>
    <border>
      <left style="thick">
        <color rgb="FF00B0F0"/>
      </left>
      <right/>
      <top/>
      <bottom style="thin">
        <color auto="1"/>
      </bottom>
      <diagonal/>
    </border>
    <border>
      <left style="thick">
        <color rgb="FF00B0F0"/>
      </left>
      <right/>
      <top/>
      <bottom style="medium">
        <color auto="1"/>
      </bottom>
      <diagonal/>
    </border>
    <border>
      <left style="thick">
        <color rgb="FF00B0F0"/>
      </left>
      <right/>
      <top style="medium">
        <color auto="1"/>
      </top>
      <bottom style="medium">
        <color auto="1"/>
      </bottom>
      <diagonal/>
    </border>
    <border>
      <left style="thick">
        <color rgb="FF00B0F0"/>
      </left>
      <right/>
      <top style="thick">
        <color auto="1"/>
      </top>
      <bottom/>
      <diagonal/>
    </border>
    <border>
      <left style="thick">
        <color rgb="FF00B0F0"/>
      </left>
      <right/>
      <top/>
      <bottom style="thick">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indexed="64"/>
      </left>
      <right/>
      <top style="thick">
        <color auto="1"/>
      </top>
      <bottom/>
      <diagonal/>
    </border>
    <border>
      <left style="medium">
        <color indexed="64"/>
      </left>
      <right/>
      <top/>
      <bottom style="thick">
        <color auto="1"/>
      </bottom>
      <diagonal/>
    </border>
    <border>
      <left/>
      <right style="medium">
        <color indexed="64"/>
      </right>
      <top/>
      <bottom style="thin">
        <color theme="0" tint="-0.499984740745262"/>
      </bottom>
      <diagonal/>
    </border>
    <border>
      <left/>
      <right style="medium">
        <color indexed="64"/>
      </right>
      <top style="thin">
        <color theme="0" tint="-0.499984740745262"/>
      </top>
      <bottom/>
      <diagonal/>
    </border>
    <border>
      <left style="thin">
        <color theme="0" tint="-0.499984740745262"/>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diagonal/>
    </border>
    <border>
      <left style="thin">
        <color theme="0" tint="-0.499984740745262"/>
      </left>
      <right style="medium">
        <color indexed="64"/>
      </right>
      <top style="thick">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ck">
        <color theme="0" tint="-0.499984740745262"/>
      </bottom>
      <diagonal/>
    </border>
    <border>
      <left/>
      <right style="medium">
        <color indexed="64"/>
      </right>
      <top style="thin">
        <color theme="0" tint="-0.499984740745262"/>
      </top>
      <bottom style="medium">
        <color theme="0" tint="-0.499984740745262"/>
      </bottom>
      <diagonal/>
    </border>
  </borders>
  <cellStyleXfs count="13">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1" fillId="0" borderId="0" applyNumberFormat="0" applyFill="0" applyBorder="0" applyAlignment="0" applyProtection="0"/>
    <xf numFmtId="0" fontId="3" fillId="0" borderId="0"/>
    <xf numFmtId="0" fontId="2" fillId="0" borderId="0"/>
    <xf numFmtId="0" fontId="139" fillId="0" borderId="0" applyNumberFormat="0" applyFill="0" applyBorder="0" applyAlignment="0" applyProtection="0">
      <alignment vertical="top"/>
      <protection locked="0"/>
    </xf>
  </cellStyleXfs>
  <cellXfs count="1171">
    <xf numFmtId="0" fontId="0" fillId="0" borderId="0" xfId="0"/>
    <xf numFmtId="0" fontId="0" fillId="0" borderId="0" xfId="0" applyAlignment="1">
      <alignment horizontal="center"/>
    </xf>
    <xf numFmtId="44" fontId="0" fillId="0" borderId="0" xfId="1" applyFont="1" applyAlignment="1">
      <alignment horizontal="center"/>
    </xf>
    <xf numFmtId="0" fontId="6" fillId="2" borderId="2" xfId="0" applyFont="1" applyFill="1" applyBorder="1" applyAlignment="1">
      <alignment horizontal="center"/>
    </xf>
    <xf numFmtId="0" fontId="6" fillId="2" borderId="1" xfId="0" applyFont="1" applyFill="1" applyBorder="1" applyAlignment="1">
      <alignment horizontal="left"/>
    </xf>
    <xf numFmtId="0" fontId="7" fillId="3" borderId="4" xfId="0" applyFont="1" applyFill="1" applyBorder="1" applyAlignment="1">
      <alignment horizontal="center" vertical="center"/>
    </xf>
    <xf numFmtId="44" fontId="7" fillId="3" borderId="4" xfId="1" applyFont="1" applyFill="1" applyBorder="1" applyAlignment="1">
      <alignment horizontal="center" vertical="center"/>
    </xf>
    <xf numFmtId="44" fontId="0" fillId="0" borderId="0" xfId="1" applyFont="1"/>
    <xf numFmtId="44" fontId="0" fillId="0" borderId="0" xfId="0" applyNumberFormat="1"/>
    <xf numFmtId="0" fontId="0" fillId="0" borderId="0" xfId="0" applyFill="1" applyAlignment="1">
      <alignment horizontal="center"/>
    </xf>
    <xf numFmtId="44" fontId="0" fillId="0" borderId="4" xfId="1" applyFont="1" applyBorder="1" applyAlignment="1">
      <alignment horizontal="center"/>
    </xf>
    <xf numFmtId="0" fontId="0" fillId="0" borderId="0" xfId="0" applyFill="1"/>
    <xf numFmtId="44" fontId="0" fillId="0" borderId="0" xfId="1" applyFont="1" applyFill="1" applyAlignment="1">
      <alignment horizontal="center"/>
    </xf>
    <xf numFmtId="44" fontId="0" fillId="0" borderId="0" xfId="0" applyNumberFormat="1" applyFill="1"/>
    <xf numFmtId="44" fontId="8" fillId="0" borderId="0" xfId="0" applyNumberFormat="1" applyFont="1" applyFill="1" applyBorder="1" applyAlignment="1">
      <alignment horizontal="center"/>
    </xf>
    <xf numFmtId="0" fontId="0" fillId="0" borderId="0" xfId="0" applyFont="1" applyAlignment="1">
      <alignment horizontal="center"/>
    </xf>
    <xf numFmtId="0" fontId="0" fillId="0" borderId="0" xfId="0" applyFont="1"/>
    <xf numFmtId="0" fontId="7" fillId="0" borderId="0" xfId="0" applyFont="1" applyBorder="1"/>
    <xf numFmtId="0" fontId="7" fillId="5" borderId="6" xfId="0" applyFont="1" applyFill="1" applyBorder="1" applyAlignment="1" applyProtection="1">
      <alignment horizontal="center"/>
      <protection hidden="1"/>
    </xf>
    <xf numFmtId="0" fontId="7" fillId="5" borderId="7" xfId="0" applyFont="1" applyFill="1" applyBorder="1" applyAlignment="1" applyProtection="1">
      <alignment horizontal="center"/>
      <protection hidden="1"/>
    </xf>
    <xf numFmtId="0" fontId="14" fillId="0" borderId="0" xfId="0" applyFont="1" applyFill="1" applyBorder="1" applyAlignment="1">
      <alignment wrapText="1" shrinkToFit="1"/>
    </xf>
    <xf numFmtId="0" fontId="7" fillId="5" borderId="12" xfId="0" applyFont="1" applyFill="1" applyBorder="1" applyAlignment="1" applyProtection="1">
      <alignment horizontal="center"/>
      <protection hidden="1"/>
    </xf>
    <xf numFmtId="0" fontId="7" fillId="5" borderId="13" xfId="0" applyFont="1" applyFill="1" applyBorder="1" applyAlignment="1" applyProtection="1">
      <alignment horizontal="center"/>
      <protection hidden="1"/>
    </xf>
    <xf numFmtId="0" fontId="7" fillId="5" borderId="8" xfId="0" applyFont="1" applyFill="1" applyBorder="1" applyAlignment="1" applyProtection="1">
      <alignment horizontal="center"/>
      <protection hidden="1"/>
    </xf>
    <xf numFmtId="0" fontId="7" fillId="5" borderId="9" xfId="0" applyFont="1" applyFill="1" applyBorder="1" applyAlignment="1" applyProtection="1">
      <alignment horizontal="center"/>
      <protection hidden="1"/>
    </xf>
    <xf numFmtId="0" fontId="7" fillId="0" borderId="0" xfId="0" applyFont="1" applyFill="1" applyBorder="1"/>
    <xf numFmtId="0" fontId="14" fillId="0" borderId="0" xfId="0" applyFont="1" applyBorder="1" applyAlignment="1">
      <alignment wrapText="1" shrinkToFit="1"/>
    </xf>
    <xf numFmtId="166" fontId="7" fillId="7" borderId="19" xfId="2" applyNumberFormat="1" applyFont="1" applyFill="1" applyBorder="1" applyAlignment="1" applyProtection="1">
      <alignment horizontal="right"/>
      <protection locked="0"/>
    </xf>
    <xf numFmtId="0" fontId="0" fillId="7" borderId="21" xfId="0" applyFont="1" applyFill="1" applyBorder="1" applyAlignment="1" applyProtection="1">
      <alignment horizontal="left"/>
      <protection locked="0"/>
    </xf>
    <xf numFmtId="166" fontId="5" fillId="7" borderId="21" xfId="3" applyNumberFormat="1" applyFont="1" applyFill="1" applyBorder="1" applyAlignment="1" applyProtection="1">
      <alignment horizontal="center"/>
      <protection locked="0"/>
    </xf>
    <xf numFmtId="166" fontId="7" fillId="7" borderId="22" xfId="0" applyNumberFormat="1" applyFont="1" applyFill="1" applyBorder="1" applyAlignment="1" applyProtection="1">
      <alignment horizontal="right"/>
      <protection locked="0"/>
    </xf>
    <xf numFmtId="166" fontId="7" fillId="7" borderId="22" xfId="1" applyNumberFormat="1" applyFont="1" applyFill="1" applyBorder="1" applyAlignment="1" applyProtection="1">
      <alignment horizontal="right"/>
      <protection locked="0"/>
    </xf>
    <xf numFmtId="0" fontId="0" fillId="7" borderId="21" xfId="0" applyNumberFormat="1" applyFont="1" applyFill="1" applyBorder="1" applyAlignment="1" applyProtection="1">
      <alignment horizontal="left"/>
      <protection locked="0"/>
    </xf>
    <xf numFmtId="0" fontId="13" fillId="6" borderId="2" xfId="0" applyFont="1" applyFill="1" applyBorder="1" applyAlignment="1" applyProtection="1">
      <alignment horizontal="left"/>
      <protection locked="0"/>
    </xf>
    <xf numFmtId="0" fontId="13" fillId="6" borderId="15" xfId="0" applyFont="1" applyFill="1" applyBorder="1" applyAlignment="1" applyProtection="1">
      <alignment horizontal="center"/>
      <protection locked="0"/>
    </xf>
    <xf numFmtId="166" fontId="13" fillId="6" borderId="3" xfId="0" applyNumberFormat="1" applyFont="1" applyFill="1" applyBorder="1" applyAlignment="1" applyProtection="1">
      <alignment horizontal="center"/>
      <protection locked="0"/>
    </xf>
    <xf numFmtId="10" fontId="16" fillId="0" borderId="18" xfId="2" applyNumberFormat="1" applyFont="1" applyFill="1" applyBorder="1" applyAlignment="1" applyProtection="1">
      <alignment horizontal="center"/>
      <protection locked="0"/>
    </xf>
    <xf numFmtId="166" fontId="7" fillId="0" borderId="23" xfId="2" applyNumberFormat="1" applyFont="1" applyFill="1" applyBorder="1" applyAlignment="1" applyProtection="1">
      <alignment horizontal="right"/>
      <protection locked="0"/>
    </xf>
    <xf numFmtId="0" fontId="0" fillId="0" borderId="21" xfId="0" applyFont="1" applyFill="1" applyBorder="1" applyAlignment="1" applyProtection="1">
      <alignment vertical="center" wrapText="1"/>
      <protection locked="0"/>
    </xf>
    <xf numFmtId="10" fontId="5" fillId="0" borderId="27" xfId="2" applyNumberFormat="1" applyFont="1" applyFill="1" applyBorder="1" applyAlignment="1" applyProtection="1">
      <alignment horizontal="center"/>
      <protection locked="0"/>
    </xf>
    <xf numFmtId="166" fontId="7" fillId="0" borderId="28" xfId="3" applyNumberFormat="1" applyFont="1" applyFill="1" applyBorder="1" applyAlignment="1" applyProtection="1">
      <alignment horizontal="right"/>
      <protection locked="0"/>
    </xf>
    <xf numFmtId="166" fontId="7" fillId="0" borderId="23" xfId="0" applyNumberFormat="1" applyFont="1" applyFill="1" applyBorder="1" applyAlignment="1" applyProtection="1">
      <alignment horizontal="right"/>
      <protection locked="0"/>
    </xf>
    <xf numFmtId="0" fontId="0" fillId="0" borderId="29"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14" fillId="0" borderId="0" xfId="0" applyFont="1" applyBorder="1" applyAlignment="1"/>
    <xf numFmtId="0" fontId="18" fillId="8" borderId="1" xfId="0" applyFont="1" applyFill="1" applyBorder="1" applyAlignment="1">
      <alignment vertical="center"/>
    </xf>
    <xf numFmtId="0" fontId="18" fillId="8" borderId="3" xfId="0" applyFont="1" applyFill="1" applyBorder="1" applyAlignment="1">
      <alignment vertical="center"/>
    </xf>
    <xf numFmtId="166" fontId="18" fillId="8" borderId="16" xfId="0" applyNumberFormat="1" applyFont="1" applyFill="1" applyBorder="1" applyAlignment="1">
      <alignment horizontal="center" vertical="center"/>
    </xf>
    <xf numFmtId="10" fontId="18" fillId="8" borderId="16" xfId="2" applyNumberFormat="1" applyFont="1" applyFill="1" applyBorder="1" applyAlignment="1">
      <alignment horizontal="center" vertical="center"/>
    </xf>
    <xf numFmtId="0" fontId="11" fillId="0" borderId="0" xfId="0" applyFont="1" applyFill="1" applyBorder="1"/>
    <xf numFmtId="0" fontId="11" fillId="0" borderId="0" xfId="0" applyFont="1" applyBorder="1"/>
    <xf numFmtId="0" fontId="14" fillId="0" borderId="0" xfId="0" quotePrefix="1" applyFont="1" applyFill="1" applyBorder="1" applyAlignment="1">
      <alignment wrapText="1" shrinkToFit="1"/>
    </xf>
    <xf numFmtId="0" fontId="19" fillId="0" borderId="0" xfId="0" applyFont="1" applyFill="1" applyBorder="1" applyAlignment="1">
      <alignment wrapText="1" shrinkToFit="1"/>
    </xf>
    <xf numFmtId="0" fontId="7" fillId="6" borderId="1" xfId="0" applyFont="1" applyFill="1" applyBorder="1" applyAlignment="1"/>
    <xf numFmtId="0" fontId="7" fillId="6" borderId="2" xfId="0" applyFont="1" applyFill="1" applyBorder="1" applyAlignment="1"/>
    <xf numFmtId="0" fontId="7" fillId="6" borderId="2" xfId="0" applyFont="1" applyFill="1" applyBorder="1" applyAlignment="1">
      <alignment horizontal="left"/>
    </xf>
    <xf numFmtId="0" fontId="7" fillId="6" borderId="3" xfId="0" applyFont="1" applyFill="1" applyBorder="1" applyAlignment="1"/>
    <xf numFmtId="0" fontId="7" fillId="0" borderId="0" xfId="0" applyFont="1" applyBorder="1" applyAlignment="1"/>
    <xf numFmtId="168" fontId="7" fillId="0" borderId="0" xfId="0" applyNumberFormat="1" applyFont="1" applyBorder="1" applyAlignment="1">
      <alignment horizontal="left"/>
    </xf>
    <xf numFmtId="166" fontId="7" fillId="0" borderId="0" xfId="0" applyNumberFormat="1" applyFont="1" applyBorder="1" applyAlignment="1"/>
    <xf numFmtId="165" fontId="14" fillId="0" borderId="0" xfId="0" applyNumberFormat="1" applyFont="1" applyBorder="1" applyAlignment="1">
      <alignment wrapText="1" shrinkToFit="1"/>
    </xf>
    <xf numFmtId="43" fontId="7" fillId="0" borderId="0" xfId="0" applyNumberFormat="1" applyFont="1" applyBorder="1"/>
    <xf numFmtId="10" fontId="7" fillId="0" borderId="0" xfId="0" applyNumberFormat="1" applyFont="1" applyBorder="1" applyAlignment="1">
      <alignment horizontal="left"/>
    </xf>
    <xf numFmtId="9" fontId="7" fillId="0" borderId="0" xfId="2" applyFont="1" applyBorder="1" applyAlignment="1"/>
    <xf numFmtId="10" fontId="7" fillId="0" borderId="0" xfId="0" applyNumberFormat="1" applyFont="1" applyBorder="1" applyAlignment="1"/>
    <xf numFmtId="0" fontId="20" fillId="0" borderId="0" xfId="0" applyFont="1" applyBorder="1" applyAlignment="1">
      <alignment horizontal="left" wrapText="1"/>
    </xf>
    <xf numFmtId="0" fontId="7" fillId="0" borderId="0" xfId="0" applyFont="1" applyBorder="1" applyAlignment="1">
      <alignment horizontal="left"/>
    </xf>
    <xf numFmtId="165" fontId="7" fillId="0" borderId="0" xfId="0" applyNumberFormat="1" applyFont="1" applyBorder="1"/>
    <xf numFmtId="9" fontId="7" fillId="0" borderId="0" xfId="0" applyNumberFormat="1" applyFont="1" applyBorder="1" applyAlignment="1">
      <alignment horizontal="left"/>
    </xf>
    <xf numFmtId="44" fontId="6" fillId="2" borderId="32" xfId="1" applyFont="1" applyFill="1" applyBorder="1" applyAlignment="1">
      <alignment horizontal="center"/>
    </xf>
    <xf numFmtId="0" fontId="6" fillId="2" borderId="32" xfId="0" applyFont="1" applyFill="1" applyBorder="1" applyAlignment="1">
      <alignment horizontal="center"/>
    </xf>
    <xf numFmtId="44" fontId="6" fillId="2" borderId="7" xfId="1" applyFont="1" applyFill="1" applyBorder="1" applyAlignment="1">
      <alignment horizontal="center"/>
    </xf>
    <xf numFmtId="0" fontId="10" fillId="0" borderId="0" xfId="0" applyFont="1" applyFill="1" applyBorder="1" applyAlignment="1" applyProtection="1">
      <alignment horizontal="right"/>
      <protection locked="0"/>
    </xf>
    <xf numFmtId="44" fontId="0" fillId="4" borderId="5" xfId="1" applyFont="1" applyFill="1" applyBorder="1" applyAlignment="1">
      <alignment horizontal="center"/>
    </xf>
    <xf numFmtId="44" fontId="0" fillId="0" borderId="0" xfId="0" applyNumberFormat="1" applyAlignment="1">
      <alignment horizontal="center"/>
    </xf>
    <xf numFmtId="0" fontId="9" fillId="0" borderId="0" xfId="0" applyFont="1" applyBorder="1" applyAlignment="1">
      <alignment horizontal="center"/>
    </xf>
    <xf numFmtId="44" fontId="7" fillId="4" borderId="0" xfId="1" applyFont="1" applyFill="1" applyAlignment="1">
      <alignment horizontal="center"/>
    </xf>
    <xf numFmtId="44" fontId="9" fillId="0" borderId="0" xfId="1" applyFont="1" applyFill="1" applyBorder="1" applyAlignment="1">
      <alignment horizontal="center"/>
    </xf>
    <xf numFmtId="44" fontId="10" fillId="0" borderId="0" xfId="1" applyFont="1" applyFill="1" applyBorder="1" applyAlignment="1">
      <alignment horizontal="center"/>
    </xf>
    <xf numFmtId="44" fontId="9" fillId="0" borderId="0" xfId="1" applyFont="1" applyBorder="1" applyAlignment="1">
      <alignment horizontal="center"/>
    </xf>
    <xf numFmtId="9" fontId="26" fillId="4" borderId="0" xfId="2" applyFont="1" applyFill="1" applyBorder="1" applyAlignment="1">
      <alignment horizontal="center"/>
    </xf>
    <xf numFmtId="44" fontId="0" fillId="0" borderId="0" xfId="0" applyNumberFormat="1" applyFont="1" applyFill="1" applyAlignment="1">
      <alignment horizontal="center"/>
    </xf>
    <xf numFmtId="165" fontId="0" fillId="0" borderId="0" xfId="1" applyNumberFormat="1" applyFont="1" applyFill="1" applyAlignment="1">
      <alignment horizontal="center"/>
    </xf>
    <xf numFmtId="9" fontId="7" fillId="4" borderId="0" xfId="2" applyFont="1" applyFill="1" applyAlignment="1">
      <alignment horizontal="center"/>
    </xf>
    <xf numFmtId="0" fontId="7" fillId="0" borderId="33" xfId="0" applyFont="1" applyFill="1" applyBorder="1" applyAlignment="1">
      <alignment horizontal="center" vertical="center"/>
    </xf>
    <xf numFmtId="44" fontId="7" fillId="0" borderId="33" xfId="1" applyFont="1" applyFill="1" applyBorder="1" applyAlignment="1">
      <alignment horizontal="center" vertical="center"/>
    </xf>
    <xf numFmtId="44" fontId="7" fillId="0" borderId="2" xfId="0" applyNumberFormat="1" applyFont="1" applyFill="1" applyBorder="1" applyAlignment="1">
      <alignment horizontal="center"/>
    </xf>
    <xf numFmtId="44" fontId="7" fillId="0" borderId="3" xfId="0" applyNumberFormat="1" applyFont="1" applyFill="1" applyBorder="1" applyAlignment="1">
      <alignment horizontal="center"/>
    </xf>
    <xf numFmtId="164" fontId="0" fillId="4" borderId="0" xfId="0" applyNumberFormat="1" applyFont="1" applyFill="1" applyBorder="1" applyAlignment="1">
      <alignment horizontal="center"/>
    </xf>
    <xf numFmtId="0" fontId="0" fillId="4" borderId="0" xfId="0" applyFont="1" applyFill="1" applyBorder="1" applyAlignment="1">
      <alignment horizontal="center"/>
    </xf>
    <xf numFmtId="164" fontId="0" fillId="4" borderId="5" xfId="0" applyNumberFormat="1" applyFont="1" applyFill="1" applyBorder="1" applyAlignment="1">
      <alignment horizontal="center"/>
    </xf>
    <xf numFmtId="0" fontId="0" fillId="4" borderId="5" xfId="0" applyFont="1" applyFill="1" applyBorder="1" applyAlignment="1">
      <alignment horizontal="center"/>
    </xf>
    <xf numFmtId="0" fontId="0" fillId="0" borderId="0" xfId="0" applyFont="1" applyFill="1" applyAlignment="1">
      <alignment horizontal="center"/>
    </xf>
    <xf numFmtId="0" fontId="0" fillId="0" borderId="5" xfId="0" applyFont="1" applyBorder="1" applyAlignment="1">
      <alignment horizontal="center"/>
    </xf>
    <xf numFmtId="0" fontId="0" fillId="0" borderId="4" xfId="0" applyFont="1" applyBorder="1"/>
    <xf numFmtId="0" fontId="0" fillId="0" borderId="4" xfId="0" applyFont="1" applyBorder="1" applyAlignment="1">
      <alignment horizontal="center"/>
    </xf>
    <xf numFmtId="0" fontId="0" fillId="0" borderId="0" xfId="0" applyFont="1" applyFill="1"/>
    <xf numFmtId="44" fontId="9" fillId="3" borderId="6" xfId="1" applyFont="1" applyFill="1" applyBorder="1" applyAlignment="1">
      <alignment horizontal="center"/>
    </xf>
    <xf numFmtId="44" fontId="9" fillId="3" borderId="7" xfId="0" applyNumberFormat="1" applyFont="1" applyFill="1" applyBorder="1" applyAlignment="1">
      <alignment horizontal="center"/>
    </xf>
    <xf numFmtId="44" fontId="9" fillId="3" borderId="8" xfId="1" applyFont="1" applyFill="1" applyBorder="1" applyAlignment="1">
      <alignment horizontal="center"/>
    </xf>
    <xf numFmtId="44" fontId="7" fillId="3" borderId="9" xfId="1" applyFont="1" applyFill="1" applyBorder="1" applyAlignment="1">
      <alignment horizontal="center"/>
    </xf>
    <xf numFmtId="44" fontId="9" fillId="0" borderId="0" xfId="0" applyNumberFormat="1" applyFont="1" applyFill="1" applyBorder="1" applyAlignment="1">
      <alignment horizontal="center"/>
    </xf>
    <xf numFmtId="44" fontId="7" fillId="4" borderId="0" xfId="1" applyFont="1" applyFill="1"/>
    <xf numFmtId="44" fontId="9" fillId="4" borderId="0" xfId="1" applyFont="1" applyFill="1" applyBorder="1" applyAlignment="1">
      <alignment horizontal="center"/>
    </xf>
    <xf numFmtId="0" fontId="5" fillId="0" borderId="0" xfId="0" applyFont="1" applyFill="1" applyAlignment="1">
      <alignment horizontal="center"/>
    </xf>
    <xf numFmtId="0" fontId="0" fillId="0" borderId="0" xfId="0" applyFill="1" applyBorder="1" applyAlignment="1">
      <alignment horizontal="right"/>
    </xf>
    <xf numFmtId="9" fontId="5" fillId="4" borderId="0" xfId="2" applyFont="1" applyFill="1" applyBorder="1" applyAlignment="1">
      <alignment horizontal="center"/>
    </xf>
    <xf numFmtId="44" fontId="5" fillId="0" borderId="0" xfId="0" applyNumberFormat="1" applyFont="1" applyFill="1" applyBorder="1" applyAlignment="1">
      <alignment horizontal="center"/>
    </xf>
    <xf numFmtId="0" fontId="0" fillId="0" borderId="4" xfId="0" applyFill="1" applyBorder="1" applyAlignment="1">
      <alignment horizontal="right"/>
    </xf>
    <xf numFmtId="44" fontId="5" fillId="0" borderId="4" xfId="0" applyNumberFormat="1" applyFont="1" applyFill="1" applyBorder="1" applyAlignment="1">
      <alignment horizontal="center"/>
    </xf>
    <xf numFmtId="9" fontId="5" fillId="4" borderId="4" xfId="2" applyFont="1" applyFill="1" applyBorder="1" applyAlignment="1">
      <alignment horizontal="center"/>
    </xf>
    <xf numFmtId="0" fontId="7" fillId="0" borderId="0" xfId="0" applyFont="1" applyFill="1" applyAlignment="1">
      <alignment horizontal="center"/>
    </xf>
    <xf numFmtId="44" fontId="7" fillId="4" borderId="16" xfId="1" applyFont="1" applyFill="1" applyBorder="1" applyAlignment="1">
      <alignment horizontal="center"/>
    </xf>
    <xf numFmtId="1" fontId="10" fillId="4" borderId="0" xfId="3" applyNumberFormat="1" applyFont="1" applyFill="1" applyBorder="1" applyAlignment="1" applyProtection="1">
      <alignment horizontal="center"/>
      <protection locked="0"/>
    </xf>
    <xf numFmtId="0" fontId="6" fillId="2" borderId="2" xfId="0" applyFont="1" applyFill="1" applyBorder="1" applyAlignment="1"/>
    <xf numFmtId="0" fontId="6" fillId="2" borderId="3" xfId="0" applyFont="1" applyFill="1" applyBorder="1" applyAlignment="1"/>
    <xf numFmtId="0" fontId="0" fillId="4" borderId="32" xfId="0" applyFont="1" applyFill="1" applyBorder="1" applyAlignment="1">
      <alignment horizontal="center"/>
    </xf>
    <xf numFmtId="0" fontId="0" fillId="0" borderId="0" xfId="0" applyFont="1" applyFill="1" applyAlignment="1"/>
    <xf numFmtId="0" fontId="6" fillId="2" borderId="6" xfId="0" applyFont="1" applyFill="1" applyBorder="1" applyAlignment="1"/>
    <xf numFmtId="0" fontId="6" fillId="2" borderId="32" xfId="0" applyFont="1" applyFill="1" applyBorder="1" applyAlignment="1"/>
    <xf numFmtId="0" fontId="6" fillId="2" borderId="7" xfId="0" applyFont="1" applyFill="1" applyBorder="1" applyAlignment="1"/>
    <xf numFmtId="166" fontId="9" fillId="9" borderId="7" xfId="0" applyNumberFormat="1" applyFont="1" applyFill="1" applyBorder="1" applyAlignment="1" applyProtection="1">
      <protection locked="0"/>
    </xf>
    <xf numFmtId="166" fontId="15" fillId="9" borderId="0" xfId="3" applyNumberFormat="1" applyFont="1" applyFill="1" applyBorder="1" applyAlignment="1" applyProtection="1">
      <alignment horizontal="right"/>
      <protection locked="0"/>
    </xf>
    <xf numFmtId="0" fontId="7" fillId="9" borderId="12" xfId="0" applyFont="1" applyFill="1" applyBorder="1" applyAlignment="1"/>
    <xf numFmtId="49" fontId="15" fillId="9" borderId="12" xfId="3" applyNumberFormat="1" applyFont="1" applyFill="1" applyBorder="1" applyAlignment="1" applyProtection="1">
      <alignment horizontal="left"/>
      <protection locked="0"/>
    </xf>
    <xf numFmtId="0" fontId="7" fillId="9" borderId="8" xfId="0" applyFont="1" applyFill="1" applyBorder="1" applyAlignment="1"/>
    <xf numFmtId="0" fontId="7" fillId="9" borderId="6" xfId="0" applyFont="1" applyFill="1" applyBorder="1" applyAlignment="1"/>
    <xf numFmtId="166" fontId="10" fillId="0" borderId="5" xfId="3" applyNumberFormat="1" applyFont="1" applyFill="1" applyBorder="1" applyAlignment="1" applyProtection="1">
      <alignment horizontal="right"/>
      <protection locked="0"/>
    </xf>
    <xf numFmtId="0" fontId="10" fillId="0" borderId="4" xfId="0" applyFont="1" applyFill="1" applyBorder="1" applyAlignment="1" applyProtection="1">
      <alignment horizontal="right"/>
      <protection locked="0"/>
    </xf>
    <xf numFmtId="0" fontId="10" fillId="9" borderId="24" xfId="0" applyFont="1" applyFill="1" applyBorder="1" applyAlignment="1" applyProtection="1">
      <alignment horizontal="right"/>
      <protection locked="0"/>
    </xf>
    <xf numFmtId="0" fontId="10" fillId="9" borderId="34" xfId="0" applyFont="1" applyFill="1" applyBorder="1" applyAlignment="1" applyProtection="1">
      <alignment horizontal="right"/>
      <protection locked="0"/>
    </xf>
    <xf numFmtId="166" fontId="5" fillId="4" borderId="18" xfId="3" applyNumberFormat="1" applyFont="1" applyFill="1" applyBorder="1" applyAlignment="1" applyProtection="1">
      <alignment horizontal="center"/>
      <protection locked="0"/>
    </xf>
    <xf numFmtId="166" fontId="5" fillId="4" borderId="22" xfId="3" applyNumberFormat="1" applyFont="1" applyFill="1" applyBorder="1" applyAlignment="1" applyProtection="1">
      <alignment horizontal="right"/>
      <protection locked="0"/>
    </xf>
    <xf numFmtId="166" fontId="0" fillId="4" borderId="23" xfId="0" applyNumberFormat="1" applyFont="1" applyFill="1" applyBorder="1" applyAlignment="1" applyProtection="1">
      <alignment horizontal="right"/>
      <protection locked="0"/>
    </xf>
    <xf numFmtId="10" fontId="16" fillId="4" borderId="21" xfId="2" applyNumberFormat="1" applyFont="1" applyFill="1" applyBorder="1" applyAlignment="1" applyProtection="1">
      <alignment horizontal="center"/>
      <protection locked="0"/>
    </xf>
    <xf numFmtId="166" fontId="7" fillId="4" borderId="19" xfId="2" applyNumberFormat="1" applyFont="1" applyFill="1" applyBorder="1" applyAlignment="1" applyProtection="1">
      <alignment horizontal="right"/>
      <protection locked="0"/>
    </xf>
    <xf numFmtId="166" fontId="7" fillId="4" borderId="23" xfId="0" applyNumberFormat="1" applyFont="1" applyFill="1" applyBorder="1" applyAlignment="1" applyProtection="1">
      <alignment horizontal="right"/>
      <protection locked="0"/>
    </xf>
    <xf numFmtId="166" fontId="11" fillId="0" borderId="16" xfId="0" applyNumberFormat="1" applyFont="1" applyFill="1" applyBorder="1" applyAlignment="1" applyProtection="1">
      <alignment horizontal="right"/>
      <protection locked="0"/>
    </xf>
    <xf numFmtId="166" fontId="5" fillId="0" borderId="21" xfId="3" applyNumberFormat="1" applyFont="1" applyFill="1" applyBorder="1" applyAlignment="1" applyProtection="1">
      <alignment horizontal="right"/>
      <protection locked="0"/>
    </xf>
    <xf numFmtId="49" fontId="5" fillId="0" borderId="10" xfId="3" applyNumberFormat="1" applyFont="1" applyFill="1" applyBorder="1" applyAlignment="1" applyProtection="1">
      <alignment horizontal="right"/>
      <protection locked="0"/>
    </xf>
    <xf numFmtId="166" fontId="7" fillId="4" borderId="28" xfId="3" applyNumberFormat="1" applyFont="1" applyFill="1" applyBorder="1" applyAlignment="1" applyProtection="1">
      <alignment horizontal="right"/>
      <protection locked="0"/>
    </xf>
    <xf numFmtId="166" fontId="7" fillId="4" borderId="30" xfId="3" applyNumberFormat="1" applyFont="1" applyFill="1" applyBorder="1" applyAlignment="1" applyProtection="1">
      <alignment horizontal="right"/>
      <protection locked="0"/>
    </xf>
    <xf numFmtId="166" fontId="7" fillId="4" borderId="23" xfId="3" applyNumberFormat="1" applyFont="1" applyFill="1" applyBorder="1" applyAlignment="1" applyProtection="1">
      <alignment horizontal="right"/>
      <protection locked="0"/>
    </xf>
    <xf numFmtId="166" fontId="5" fillId="4" borderId="23" xfId="3" applyNumberFormat="1" applyFont="1" applyFill="1" applyBorder="1" applyAlignment="1" applyProtection="1">
      <alignment horizontal="right"/>
      <protection locked="0"/>
    </xf>
    <xf numFmtId="1" fontId="16" fillId="4" borderId="0" xfId="3" applyNumberFormat="1" applyFont="1" applyFill="1" applyBorder="1" applyAlignment="1" applyProtection="1">
      <alignment horizontal="center"/>
      <protection locked="0"/>
    </xf>
    <xf numFmtId="10" fontId="16" fillId="4" borderId="0" xfId="2" applyNumberFormat="1" applyFont="1" applyFill="1" applyBorder="1" applyAlignment="1" applyProtection="1">
      <alignment horizontal="center"/>
      <protection locked="0"/>
    </xf>
    <xf numFmtId="0" fontId="10" fillId="0" borderId="36" xfId="0" applyFont="1" applyFill="1" applyBorder="1" applyAlignment="1" applyProtection="1">
      <alignment horizontal="left"/>
      <protection locked="0"/>
    </xf>
    <xf numFmtId="0" fontId="10" fillId="0" borderId="37" xfId="0" applyFont="1" applyFill="1" applyBorder="1" applyAlignment="1" applyProtection="1">
      <alignment horizontal="left"/>
      <protection locked="0"/>
    </xf>
    <xf numFmtId="0" fontId="10" fillId="0" borderId="38" xfId="0" applyFont="1" applyFill="1" applyBorder="1" applyAlignment="1" applyProtection="1">
      <protection locked="0"/>
    </xf>
    <xf numFmtId="9" fontId="16" fillId="4" borderId="40" xfId="2" applyNumberFormat="1" applyFont="1" applyFill="1" applyBorder="1" applyAlignment="1" applyProtection="1">
      <alignment horizontal="center"/>
      <protection locked="0"/>
    </xf>
    <xf numFmtId="0" fontId="17" fillId="0" borderId="41" xfId="0" applyFont="1" applyFill="1" applyBorder="1" applyAlignment="1"/>
    <xf numFmtId="0" fontId="10" fillId="0" borderId="8" xfId="0" applyFont="1" applyFill="1" applyBorder="1" applyAlignment="1" applyProtection="1">
      <protection locked="0"/>
    </xf>
    <xf numFmtId="0" fontId="15" fillId="0" borderId="14" xfId="0" applyFont="1" applyFill="1" applyBorder="1" applyAlignment="1"/>
    <xf numFmtId="166" fontId="10" fillId="0" borderId="42" xfId="3" applyNumberFormat="1" applyFont="1" applyFill="1" applyBorder="1" applyAlignment="1" applyProtection="1">
      <alignment horizontal="right"/>
      <protection locked="0"/>
    </xf>
    <xf numFmtId="0" fontId="31" fillId="0" borderId="13" xfId="0" applyFont="1" applyFill="1" applyBorder="1" applyAlignment="1" applyProtection="1">
      <alignment horizontal="center"/>
      <protection locked="0"/>
    </xf>
    <xf numFmtId="0" fontId="10" fillId="4" borderId="13" xfId="3" applyNumberFormat="1" applyFont="1" applyFill="1" applyBorder="1" applyAlignment="1" applyProtection="1">
      <alignment horizontal="center"/>
      <protection locked="0"/>
    </xf>
    <xf numFmtId="0" fontId="13" fillId="0" borderId="0" xfId="0" applyFont="1" applyFill="1" applyBorder="1" applyAlignment="1">
      <alignment horizontal="center" wrapText="1" shrinkToFit="1"/>
    </xf>
    <xf numFmtId="0" fontId="4" fillId="0" borderId="0" xfId="5"/>
    <xf numFmtId="44" fontId="4" fillId="0" borderId="43" xfId="5" applyNumberFormat="1" applyBorder="1"/>
    <xf numFmtId="44" fontId="4" fillId="0" borderId="13" xfId="5" applyNumberFormat="1" applyBorder="1"/>
    <xf numFmtId="44" fontId="4" fillId="0" borderId="12" xfId="5" applyNumberFormat="1" applyBorder="1"/>
    <xf numFmtId="44" fontId="22" fillId="0" borderId="44" xfId="7" applyFont="1" applyBorder="1"/>
    <xf numFmtId="44" fontId="22" fillId="0" borderId="13" xfId="7" applyFont="1" applyBorder="1"/>
    <xf numFmtId="44" fontId="22" fillId="0" borderId="12" xfId="7" applyFont="1" applyBorder="1"/>
    <xf numFmtId="44" fontId="22" fillId="0" borderId="13" xfId="7" applyFont="1" applyFill="1" applyBorder="1"/>
    <xf numFmtId="44" fontId="38" fillId="9" borderId="26" xfId="5" applyNumberFormat="1" applyFont="1" applyFill="1" applyBorder="1"/>
    <xf numFmtId="44" fontId="38" fillId="9" borderId="30" xfId="5" applyNumberFormat="1" applyFont="1" applyFill="1" applyBorder="1"/>
    <xf numFmtId="0" fontId="41" fillId="0" borderId="0" xfId="9" applyBorder="1"/>
    <xf numFmtId="0" fontId="41" fillId="0" borderId="0" xfId="9" applyAlignment="1">
      <alignment horizontal="center"/>
    </xf>
    <xf numFmtId="0" fontId="42" fillId="0" borderId="0" xfId="0" applyFont="1" applyAlignment="1">
      <alignment horizontal="center"/>
    </xf>
    <xf numFmtId="44" fontId="7" fillId="0" borderId="45" xfId="1" applyFont="1" applyFill="1" applyBorder="1" applyAlignment="1">
      <alignment horizontal="center"/>
    </xf>
    <xf numFmtId="44" fontId="7" fillId="0" borderId="46" xfId="1" applyFont="1" applyFill="1" applyBorder="1" applyAlignment="1">
      <alignment horizontal="center"/>
    </xf>
    <xf numFmtId="44" fontId="9" fillId="0" borderId="45" xfId="1" applyFont="1" applyFill="1" applyBorder="1" applyAlignment="1">
      <alignment horizontal="center"/>
    </xf>
    <xf numFmtId="44" fontId="9" fillId="0" borderId="46" xfId="1" applyFont="1" applyFill="1" applyBorder="1" applyAlignment="1">
      <alignment horizontal="center"/>
    </xf>
    <xf numFmtId="44" fontId="27" fillId="0" borderId="39" xfId="1" applyFont="1" applyFill="1" applyBorder="1" applyAlignment="1">
      <alignment horizontal="center"/>
    </xf>
    <xf numFmtId="44" fontId="29" fillId="0" borderId="39" xfId="1" applyFont="1" applyFill="1" applyBorder="1" applyAlignment="1">
      <alignment horizontal="center"/>
    </xf>
    <xf numFmtId="44" fontId="27" fillId="0" borderId="47" xfId="1" applyFont="1" applyFill="1" applyBorder="1" applyAlignment="1">
      <alignment horizontal="center"/>
    </xf>
    <xf numFmtId="44" fontId="29" fillId="0" borderId="47" xfId="1" applyFont="1" applyFill="1" applyBorder="1" applyAlignment="1">
      <alignment horizontal="center"/>
    </xf>
    <xf numFmtId="166" fontId="7" fillId="9" borderId="16" xfId="0" applyNumberFormat="1" applyFont="1" applyFill="1" applyBorder="1" applyAlignment="1" applyProtection="1">
      <alignment horizontal="right"/>
      <protection locked="0"/>
    </xf>
    <xf numFmtId="166" fontId="7" fillId="0" borderId="0" xfId="0" applyNumberFormat="1" applyFont="1" applyBorder="1" applyAlignment="1">
      <alignment wrapText="1"/>
    </xf>
    <xf numFmtId="10" fontId="7" fillId="0" borderId="0" xfId="0" applyNumberFormat="1" applyFont="1" applyBorder="1" applyAlignment="1">
      <alignment horizontal="right"/>
    </xf>
    <xf numFmtId="0" fontId="7" fillId="0" borderId="0" xfId="0" applyFont="1" applyBorder="1" applyAlignment="1">
      <alignment horizontal="right"/>
    </xf>
    <xf numFmtId="0" fontId="7" fillId="0" borderId="5" xfId="0" applyFont="1" applyBorder="1" applyAlignment="1">
      <alignment horizontal="right"/>
    </xf>
    <xf numFmtId="0" fontId="44" fillId="9" borderId="0" xfId="0" applyFont="1" applyFill="1" applyAlignment="1">
      <alignment vertical="center"/>
    </xf>
    <xf numFmtId="0" fontId="48" fillId="9" borderId="0" xfId="0" applyFont="1" applyFill="1" applyAlignment="1">
      <alignment vertical="center"/>
    </xf>
    <xf numFmtId="0" fontId="44" fillId="9" borderId="0" xfId="0" applyFont="1" applyFill="1" applyAlignment="1">
      <alignment horizontal="center" vertical="center"/>
    </xf>
    <xf numFmtId="0" fontId="44" fillId="12" borderId="69" xfId="0" applyFont="1" applyFill="1" applyBorder="1" applyAlignment="1">
      <alignment vertical="center"/>
    </xf>
    <xf numFmtId="0" fontId="44" fillId="12" borderId="70" xfId="0" applyFont="1" applyFill="1" applyBorder="1" applyAlignment="1">
      <alignment vertical="center"/>
    </xf>
    <xf numFmtId="0" fontId="44" fillId="12" borderId="71" xfId="0" applyFont="1" applyFill="1" applyBorder="1" applyAlignment="1">
      <alignment vertical="center"/>
    </xf>
    <xf numFmtId="0" fontId="44" fillId="12" borderId="75" xfId="0" applyFont="1" applyFill="1" applyBorder="1" applyAlignment="1">
      <alignment vertical="center"/>
    </xf>
    <xf numFmtId="0" fontId="44" fillId="12" borderId="0" xfId="0" applyFont="1" applyFill="1" applyBorder="1" applyAlignment="1">
      <alignment vertical="center"/>
    </xf>
    <xf numFmtId="0" fontId="44" fillId="12" borderId="76" xfId="0" applyFont="1" applyFill="1" applyBorder="1" applyAlignment="1">
      <alignment vertical="center"/>
    </xf>
    <xf numFmtId="0" fontId="44" fillId="9" borderId="78" xfId="0" applyFont="1" applyFill="1" applyBorder="1" applyAlignment="1">
      <alignment vertical="center"/>
    </xf>
    <xf numFmtId="0" fontId="44" fillId="9" borderId="83" xfId="0" applyFont="1" applyFill="1" applyBorder="1" applyAlignment="1">
      <alignment vertical="center"/>
    </xf>
    <xf numFmtId="0" fontId="44" fillId="9" borderId="84" xfId="0" applyFont="1" applyFill="1" applyBorder="1" applyAlignment="1">
      <alignment vertical="center"/>
    </xf>
    <xf numFmtId="0" fontId="44" fillId="12" borderId="77" xfId="0" applyFont="1" applyFill="1" applyBorder="1" applyAlignment="1">
      <alignment vertical="center"/>
    </xf>
    <xf numFmtId="0" fontId="44" fillId="12" borderId="85" xfId="0" applyFont="1" applyFill="1" applyBorder="1" applyAlignment="1">
      <alignment vertical="center"/>
    </xf>
    <xf numFmtId="0" fontId="44" fillId="12" borderId="75" xfId="0" applyFont="1" applyFill="1" applyBorder="1" applyAlignment="1">
      <alignment horizontal="right" vertical="center" indent="1"/>
    </xf>
    <xf numFmtId="0" fontId="44" fillId="12" borderId="0" xfId="0" applyFont="1" applyFill="1" applyBorder="1" applyAlignment="1">
      <alignment horizontal="right" vertical="center" indent="1"/>
    </xf>
    <xf numFmtId="0" fontId="44" fillId="12" borderId="0" xfId="0" applyFont="1" applyFill="1" applyBorder="1" applyAlignment="1">
      <alignment vertical="center" wrapText="1"/>
    </xf>
    <xf numFmtId="0" fontId="44" fillId="12" borderId="85" xfId="0" applyFont="1" applyFill="1" applyBorder="1" applyAlignment="1">
      <alignment vertical="center" wrapText="1"/>
    </xf>
    <xf numFmtId="0" fontId="44" fillId="12" borderId="77" xfId="0" applyFont="1" applyFill="1" applyBorder="1" applyAlignment="1">
      <alignment vertical="center" wrapText="1"/>
    </xf>
    <xf numFmtId="0" fontId="44" fillId="12" borderId="97" xfId="0" applyFont="1" applyFill="1" applyBorder="1" applyAlignment="1">
      <alignment vertical="center" wrapText="1"/>
    </xf>
    <xf numFmtId="0" fontId="44" fillId="12" borderId="51" xfId="0" applyFont="1" applyFill="1" applyBorder="1" applyAlignment="1">
      <alignment vertical="center" wrapText="1"/>
    </xf>
    <xf numFmtId="0" fontId="44" fillId="12" borderId="98" xfId="0" applyFont="1" applyFill="1" applyBorder="1" applyAlignment="1">
      <alignment vertical="center" wrapText="1"/>
    </xf>
    <xf numFmtId="0" fontId="44" fillId="12" borderId="99" xfId="0" applyFont="1" applyFill="1" applyBorder="1" applyAlignment="1">
      <alignment vertical="center"/>
    </xf>
    <xf numFmtId="0" fontId="44" fillId="12" borderId="100" xfId="0" applyFont="1" applyFill="1" applyBorder="1" applyAlignment="1">
      <alignment vertical="center"/>
    </xf>
    <xf numFmtId="0" fontId="44" fillId="12" borderId="101" xfId="0" applyFont="1" applyFill="1" applyBorder="1" applyAlignment="1">
      <alignment vertical="center"/>
    </xf>
    <xf numFmtId="0" fontId="7" fillId="0" borderId="102" xfId="0" applyFont="1" applyFill="1" applyBorder="1" applyAlignment="1">
      <alignment horizontal="center" vertical="center"/>
    </xf>
    <xf numFmtId="44" fontId="7" fillId="4" borderId="34" xfId="1" applyFont="1" applyFill="1" applyBorder="1" applyAlignment="1">
      <alignment horizontal="center"/>
    </xf>
    <xf numFmtId="44" fontId="10" fillId="0" borderId="34" xfId="1" applyFont="1" applyBorder="1" applyAlignment="1">
      <alignment horizontal="center"/>
    </xf>
    <xf numFmtId="44" fontId="7" fillId="0" borderId="16" xfId="0" applyNumberFormat="1" applyFont="1" applyFill="1" applyBorder="1" applyAlignment="1">
      <alignment horizontal="center"/>
    </xf>
    <xf numFmtId="44" fontId="0" fillId="0" borderId="34" xfId="0" applyNumberFormat="1" applyFont="1" applyFill="1" applyBorder="1" applyAlignment="1">
      <alignment horizontal="center"/>
    </xf>
    <xf numFmtId="165" fontId="0" fillId="0" borderId="34" xfId="1" applyNumberFormat="1" applyFont="1" applyFill="1" applyBorder="1" applyAlignment="1">
      <alignment horizontal="center"/>
    </xf>
    <xf numFmtId="44" fontId="0" fillId="0" borderId="31" xfId="0" applyNumberFormat="1" applyFont="1" applyFill="1" applyBorder="1" applyAlignment="1">
      <alignment horizontal="center"/>
    </xf>
    <xf numFmtId="44" fontId="30" fillId="10" borderId="2" xfId="1" applyFont="1" applyFill="1" applyBorder="1" applyAlignment="1">
      <alignment horizontal="center"/>
    </xf>
    <xf numFmtId="44" fontId="30" fillId="10" borderId="3" xfId="1" applyFont="1" applyFill="1" applyBorder="1" applyAlignment="1">
      <alignment horizontal="center"/>
    </xf>
    <xf numFmtId="0" fontId="0" fillId="12" borderId="0" xfId="0" applyFont="1" applyFill="1"/>
    <xf numFmtId="0" fontId="11" fillId="12" borderId="0" xfId="0" applyFont="1" applyFill="1" applyBorder="1" applyProtection="1">
      <protection locked="0"/>
    </xf>
    <xf numFmtId="0" fontId="55" fillId="12" borderId="0" xfId="0" applyFont="1" applyFill="1" applyBorder="1" applyProtection="1">
      <protection locked="0"/>
    </xf>
    <xf numFmtId="0" fontId="7" fillId="12" borderId="0" xfId="0" applyFont="1" applyFill="1" applyBorder="1" applyProtection="1">
      <protection locked="0"/>
    </xf>
    <xf numFmtId="0" fontId="0" fillId="12" borderId="0" xfId="0" applyFont="1" applyFill="1" applyBorder="1" applyProtection="1">
      <protection locked="0"/>
    </xf>
    <xf numFmtId="0" fontId="59" fillId="12" borderId="0" xfId="0" applyFont="1" applyFill="1" applyBorder="1" applyAlignment="1" applyProtection="1">
      <protection locked="0"/>
    </xf>
    <xf numFmtId="0" fontId="58" fillId="12" borderId="0" xfId="0" applyFont="1" applyFill="1" applyBorder="1" applyAlignment="1" applyProtection="1">
      <protection locked="0"/>
    </xf>
    <xf numFmtId="0" fontId="55" fillId="12" borderId="0" xfId="0" applyFont="1" applyFill="1" applyBorder="1" applyAlignment="1" applyProtection="1">
      <alignment horizontal="center"/>
      <protection locked="0"/>
    </xf>
    <xf numFmtId="0" fontId="55" fillId="12" borderId="0" xfId="0" applyFont="1" applyFill="1" applyBorder="1" applyAlignment="1" applyProtection="1">
      <protection locked="0"/>
    </xf>
    <xf numFmtId="165" fontId="60" fillId="12" borderId="0" xfId="1" applyNumberFormat="1" applyFont="1" applyFill="1" applyBorder="1" applyAlignment="1" applyProtection="1">
      <protection locked="0"/>
    </xf>
    <xf numFmtId="0" fontId="0" fillId="0" borderId="32" xfId="0" applyFont="1" applyFill="1" applyBorder="1" applyAlignment="1"/>
    <xf numFmtId="0" fontId="63" fillId="0" borderId="103" xfId="0" applyFont="1" applyFill="1" applyBorder="1" applyAlignment="1" applyProtection="1">
      <alignment horizontal="left" indent="1"/>
      <protection locked="0"/>
    </xf>
    <xf numFmtId="0" fontId="63" fillId="0" borderId="104" xfId="0" applyFont="1" applyFill="1" applyBorder="1" applyAlignment="1" applyProtection="1">
      <alignment horizontal="left" indent="1"/>
      <protection locked="0"/>
    </xf>
    <xf numFmtId="0" fontId="63" fillId="0" borderId="0" xfId="0" applyFont="1" applyFill="1" applyBorder="1" applyAlignment="1" applyProtection="1">
      <protection locked="0"/>
    </xf>
    <xf numFmtId="0" fontId="44" fillId="0" borderId="0" xfId="0" applyFont="1" applyFill="1" applyBorder="1" applyProtection="1">
      <protection locked="0"/>
    </xf>
    <xf numFmtId="0" fontId="44" fillId="0" borderId="105" xfId="0" applyFont="1" applyFill="1" applyBorder="1" applyProtection="1">
      <protection locked="0"/>
    </xf>
    <xf numFmtId="0" fontId="64" fillId="0" borderId="106" xfId="0" applyFont="1" applyFill="1" applyBorder="1" applyAlignment="1" applyProtection="1">
      <alignment horizontal="center"/>
      <protection locked="0"/>
    </xf>
    <xf numFmtId="0" fontId="44" fillId="0" borderId="107" xfId="0" applyFont="1" applyFill="1" applyBorder="1" applyAlignment="1" applyProtection="1">
      <protection locked="0"/>
    </xf>
    <xf numFmtId="0" fontId="44" fillId="0" borderId="0" xfId="0" applyFont="1" applyFill="1" applyBorder="1" applyAlignment="1" applyProtection="1">
      <protection locked="0"/>
    </xf>
    <xf numFmtId="0" fontId="44" fillId="0" borderId="0" xfId="0" applyFont="1" applyFill="1" applyBorder="1" applyAlignment="1" applyProtection="1">
      <alignment horizontal="left" indent="1"/>
      <protection locked="0"/>
    </xf>
    <xf numFmtId="167" fontId="44" fillId="0" borderId="5" xfId="0" applyNumberFormat="1" applyFont="1" applyFill="1" applyBorder="1" applyAlignment="1" applyProtection="1">
      <protection locked="0"/>
    </xf>
    <xf numFmtId="0" fontId="44" fillId="0" borderId="0" xfId="0" applyFont="1" applyFill="1" applyBorder="1" applyAlignment="1" applyProtection="1">
      <alignment horizontal="right" indent="2"/>
      <protection locked="0"/>
    </xf>
    <xf numFmtId="167" fontId="44" fillId="0" borderId="0" xfId="0" applyNumberFormat="1" applyFont="1" applyFill="1" applyBorder="1" applyAlignment="1" applyProtection="1">
      <alignment horizontal="left" indent="1"/>
      <protection locked="0"/>
    </xf>
    <xf numFmtId="167" fontId="44" fillId="0" borderId="0" xfId="0" applyNumberFormat="1" applyFont="1" applyFill="1" applyBorder="1" applyProtection="1">
      <protection locked="0"/>
    </xf>
    <xf numFmtId="0" fontId="44" fillId="0" borderId="0" xfId="0" applyFont="1" applyFill="1" applyBorder="1" applyAlignment="1" applyProtection="1">
      <alignment horizontal="right" indent="1"/>
      <protection locked="0"/>
    </xf>
    <xf numFmtId="167" fontId="62" fillId="0" borderId="0" xfId="0" applyNumberFormat="1" applyFont="1" applyFill="1" applyBorder="1" applyAlignment="1" applyProtection="1">
      <protection locked="0"/>
    </xf>
    <xf numFmtId="0" fontId="44" fillId="0" borderId="108" xfId="0" applyFont="1" applyFill="1" applyBorder="1" applyProtection="1">
      <protection locked="0"/>
    </xf>
    <xf numFmtId="0" fontId="44" fillId="0" borderId="109" xfId="0" applyFont="1" applyFill="1" applyBorder="1" applyProtection="1">
      <protection locked="0"/>
    </xf>
    <xf numFmtId="0" fontId="66" fillId="0" borderId="0" xfId="0" applyFont="1" applyFill="1" applyBorder="1" applyAlignment="1" applyProtection="1">
      <protection locked="0"/>
    </xf>
    <xf numFmtId="0" fontId="65" fillId="10" borderId="24" xfId="0" applyFont="1" applyFill="1" applyBorder="1" applyAlignment="1" applyProtection="1">
      <protection locked="0"/>
    </xf>
    <xf numFmtId="0" fontId="65" fillId="10" borderId="34" xfId="0" applyFont="1" applyFill="1" applyBorder="1" applyAlignment="1" applyProtection="1">
      <protection locked="0"/>
    </xf>
    <xf numFmtId="0" fontId="44" fillId="10" borderId="34" xfId="0" applyFont="1" applyFill="1" applyBorder="1" applyProtection="1">
      <protection locked="0"/>
    </xf>
    <xf numFmtId="0" fontId="44" fillId="10" borderId="34" xfId="0" applyFont="1" applyFill="1" applyBorder="1" applyAlignment="1" applyProtection="1">
      <protection locked="0"/>
    </xf>
    <xf numFmtId="0" fontId="44" fillId="10" borderId="34" xfId="0" applyFont="1" applyFill="1" applyBorder="1" applyAlignment="1" applyProtection="1">
      <alignment horizontal="left" indent="1"/>
      <protection locked="0"/>
    </xf>
    <xf numFmtId="0" fontId="63" fillId="10" borderId="34" xfId="0" applyFont="1" applyFill="1" applyBorder="1" applyAlignment="1" applyProtection="1">
      <protection locked="0"/>
    </xf>
    <xf numFmtId="0" fontId="44" fillId="10" borderId="31" xfId="0" applyFont="1" applyFill="1" applyBorder="1" applyAlignment="1" applyProtection="1">
      <alignment horizontal="left" indent="1"/>
      <protection locked="0"/>
    </xf>
    <xf numFmtId="167" fontId="44" fillId="0" borderId="0" xfId="0" applyNumberFormat="1" applyFont="1" applyFill="1" applyBorder="1" applyAlignment="1" applyProtection="1">
      <protection locked="0"/>
    </xf>
    <xf numFmtId="0" fontId="0" fillId="0" borderId="0" xfId="0" applyFill="1" applyBorder="1"/>
    <xf numFmtId="167" fontId="44" fillId="0" borderId="5" xfId="0" applyNumberFormat="1" applyFont="1" applyFill="1" applyBorder="1" applyAlignment="1" applyProtection="1">
      <alignment horizontal="left" indent="1"/>
      <protection locked="0"/>
    </xf>
    <xf numFmtId="3" fontId="58" fillId="12" borderId="0" xfId="4" applyNumberFormat="1" applyFont="1" applyFill="1" applyBorder="1" applyAlignment="1" applyProtection="1">
      <alignment horizontal="center" vertical="center" wrapText="1"/>
      <protection locked="0"/>
    </xf>
    <xf numFmtId="0" fontId="0" fillId="0" borderId="0" xfId="0" applyFont="1" applyFill="1" applyBorder="1" applyAlignment="1"/>
    <xf numFmtId="44" fontId="7" fillId="4" borderId="0" xfId="1" applyFont="1" applyFill="1" applyBorder="1" applyAlignment="1">
      <alignment horizontal="center"/>
    </xf>
    <xf numFmtId="44" fontId="10" fillId="0" borderId="0" xfId="1" applyFont="1" applyBorder="1" applyAlignment="1">
      <alignment horizontal="center"/>
    </xf>
    <xf numFmtId="44" fontId="0" fillId="0" borderId="0" xfId="0" applyNumberFormat="1" applyFont="1" applyFill="1" applyBorder="1" applyAlignment="1">
      <alignment horizontal="center"/>
    </xf>
    <xf numFmtId="165" fontId="0" fillId="0" borderId="0" xfId="1" applyNumberFormat="1" applyFont="1" applyFill="1" applyBorder="1" applyAlignment="1">
      <alignment horizontal="center"/>
    </xf>
    <xf numFmtId="166" fontId="7" fillId="0" borderId="0" xfId="1" applyNumberFormat="1" applyFont="1" applyBorder="1" applyAlignment="1"/>
    <xf numFmtId="169" fontId="68" fillId="12" borderId="113" xfId="0" applyNumberFormat="1" applyFont="1" applyFill="1" applyBorder="1" applyAlignment="1" applyProtection="1">
      <alignment horizontal="center"/>
      <protection locked="0"/>
    </xf>
    <xf numFmtId="0" fontId="68" fillId="12" borderId="121" xfId="0" applyFont="1" applyFill="1" applyBorder="1" applyAlignment="1" applyProtection="1">
      <alignment horizontal="center"/>
      <protection locked="0"/>
    </xf>
    <xf numFmtId="169" fontId="68" fillId="12" borderId="121" xfId="0" applyNumberFormat="1" applyFont="1" applyFill="1" applyBorder="1" applyAlignment="1" applyProtection="1">
      <alignment horizontal="center"/>
      <protection locked="0"/>
    </xf>
    <xf numFmtId="0" fontId="56" fillId="12" borderId="0" xfId="0" applyFont="1" applyFill="1" applyBorder="1" applyAlignment="1" applyProtection="1">
      <protection locked="0"/>
    </xf>
    <xf numFmtId="0" fontId="59" fillId="9" borderId="6" xfId="0" applyFont="1" applyFill="1" applyBorder="1" applyAlignment="1" applyProtection="1">
      <protection locked="0"/>
    </xf>
    <xf numFmtId="0" fontId="59" fillId="9" borderId="32" xfId="0" applyFont="1" applyFill="1" applyBorder="1" applyAlignment="1" applyProtection="1">
      <protection locked="0"/>
    </xf>
    <xf numFmtId="0" fontId="0" fillId="9" borderId="32" xfId="0" applyFont="1" applyFill="1" applyBorder="1" applyProtection="1">
      <protection locked="0"/>
    </xf>
    <xf numFmtId="0" fontId="0" fillId="9" borderId="32" xfId="0" applyFont="1" applyFill="1" applyBorder="1" applyAlignment="1" applyProtection="1">
      <alignment horizontal="right"/>
      <protection locked="0"/>
    </xf>
    <xf numFmtId="1" fontId="0" fillId="9" borderId="32" xfId="0" applyNumberFormat="1" applyFont="1" applyFill="1" applyBorder="1" applyAlignment="1" applyProtection="1">
      <alignment horizontal="left"/>
      <protection locked="0"/>
    </xf>
    <xf numFmtId="0" fontId="55" fillId="9" borderId="32" xfId="0" applyFont="1" applyFill="1" applyBorder="1" applyProtection="1">
      <protection locked="0"/>
    </xf>
    <xf numFmtId="0" fontId="55" fillId="9" borderId="7" xfId="0" applyFont="1" applyFill="1" applyBorder="1" applyProtection="1">
      <protection locked="0"/>
    </xf>
    <xf numFmtId="0" fontId="56" fillId="12" borderId="125" xfId="0" applyFont="1" applyFill="1" applyBorder="1" applyAlignment="1" applyProtection="1">
      <alignment horizontal="center" vertical="center"/>
      <protection locked="0"/>
    </xf>
    <xf numFmtId="0" fontId="74" fillId="12" borderId="0" xfId="0" applyFont="1" applyFill="1" applyBorder="1" applyAlignment="1" applyProtection="1">
      <protection locked="0"/>
    </xf>
    <xf numFmtId="0" fontId="55" fillId="12" borderId="0" xfId="0" applyFont="1" applyFill="1" applyBorder="1" applyAlignment="1" applyProtection="1">
      <alignment horizontal="right"/>
      <protection locked="0"/>
    </xf>
    <xf numFmtId="0" fontId="59" fillId="12" borderId="33" xfId="0" applyFont="1" applyFill="1" applyBorder="1" applyAlignment="1" applyProtection="1">
      <protection locked="0"/>
    </xf>
    <xf numFmtId="0" fontId="0" fillId="12" borderId="0" xfId="0" applyFont="1" applyFill="1" applyBorder="1"/>
    <xf numFmtId="0" fontId="27" fillId="9" borderId="6" xfId="0" applyFont="1" applyFill="1" applyBorder="1" applyAlignment="1" applyProtection="1">
      <alignment vertical="center"/>
      <protection locked="0"/>
    </xf>
    <xf numFmtId="165" fontId="60" fillId="9" borderId="7" xfId="1" applyNumberFormat="1" applyFont="1" applyFill="1" applyBorder="1" applyAlignment="1" applyProtection="1">
      <protection locked="0"/>
    </xf>
    <xf numFmtId="0" fontId="0" fillId="12" borderId="4" xfId="0" applyFont="1" applyFill="1" applyBorder="1"/>
    <xf numFmtId="0" fontId="55" fillId="12" borderId="33" xfId="0" applyFont="1" applyFill="1" applyBorder="1" applyAlignment="1" applyProtection="1">
      <alignment horizontal="right"/>
      <protection locked="0"/>
    </xf>
    <xf numFmtId="44" fontId="81" fillId="12" borderId="33" xfId="1" applyFont="1" applyFill="1" applyBorder="1" applyProtection="1">
      <protection locked="0"/>
    </xf>
    <xf numFmtId="44" fontId="82" fillId="12" borderId="0" xfId="0" applyNumberFormat="1" applyFont="1" applyFill="1" applyBorder="1" applyProtection="1">
      <protection locked="0"/>
    </xf>
    <xf numFmtId="0" fontId="27" fillId="0" borderId="106" xfId="0" applyNumberFormat="1" applyFont="1" applyFill="1" applyBorder="1" applyAlignment="1" applyProtection="1">
      <alignment horizontal="center" vertical="center"/>
      <protection locked="0"/>
    </xf>
    <xf numFmtId="0" fontId="43" fillId="12" borderId="0" xfId="0" applyFont="1" applyFill="1" applyBorder="1" applyProtection="1">
      <protection locked="0"/>
    </xf>
    <xf numFmtId="0" fontId="55" fillId="0" borderId="0" xfId="0" applyFont="1" applyBorder="1"/>
    <xf numFmtId="0" fontId="83" fillId="12" borderId="0" xfId="0" applyFont="1" applyFill="1" applyBorder="1" applyAlignment="1" applyProtection="1">
      <alignment horizontal="right"/>
      <protection locked="0"/>
    </xf>
    <xf numFmtId="0" fontId="58" fillId="9" borderId="128" xfId="0" applyFont="1" applyFill="1" applyBorder="1" applyAlignment="1" applyProtection="1">
      <alignment vertical="center"/>
      <protection locked="0"/>
    </xf>
    <xf numFmtId="0" fontId="58" fillId="9" borderId="111" xfId="0" applyFont="1" applyFill="1" applyBorder="1" applyAlignment="1" applyProtection="1">
      <alignment vertical="center"/>
      <protection locked="0"/>
    </xf>
    <xf numFmtId="0" fontId="0" fillId="9" borderId="111" xfId="0" applyFont="1" applyFill="1" applyBorder="1"/>
    <xf numFmtId="44" fontId="77" fillId="9" borderId="111" xfId="1" applyFont="1" applyFill="1" applyBorder="1" applyAlignment="1" applyProtection="1">
      <alignment vertical="center"/>
      <protection locked="0"/>
    </xf>
    <xf numFmtId="0" fontId="0" fillId="9" borderId="8" xfId="0" applyFont="1" applyFill="1" applyBorder="1" applyProtection="1">
      <protection locked="0"/>
    </xf>
    <xf numFmtId="0" fontId="0" fillId="9" borderId="4" xfId="0" applyFont="1" applyFill="1" applyBorder="1" applyProtection="1">
      <protection locked="0"/>
    </xf>
    <xf numFmtId="44" fontId="77" fillId="9" borderId="4" xfId="1" applyFont="1" applyFill="1" applyBorder="1" applyAlignment="1" applyProtection="1">
      <alignment vertical="center"/>
      <protection locked="0"/>
    </xf>
    <xf numFmtId="0" fontId="59" fillId="9" borderId="111" xfId="0" applyFont="1" applyFill="1" applyBorder="1" applyAlignment="1" applyProtection="1">
      <protection locked="0"/>
    </xf>
    <xf numFmtId="0" fontId="59" fillId="9" borderId="129" xfId="0" applyFont="1" applyFill="1" applyBorder="1" applyAlignment="1" applyProtection="1">
      <protection locked="0"/>
    </xf>
    <xf numFmtId="0" fontId="0" fillId="9" borderId="4" xfId="0" applyFont="1" applyFill="1" applyBorder="1"/>
    <xf numFmtId="0" fontId="0" fillId="9" borderId="9" xfId="0" applyFont="1" applyFill="1" applyBorder="1"/>
    <xf numFmtId="44" fontId="25" fillId="10" borderId="16" xfId="1" applyFont="1" applyFill="1" applyBorder="1" applyAlignment="1">
      <alignment horizontal="center"/>
    </xf>
    <xf numFmtId="44" fontId="25" fillId="10" borderId="2" xfId="1" applyFont="1" applyFill="1" applyBorder="1" applyAlignment="1">
      <alignment horizontal="center"/>
    </xf>
    <xf numFmtId="44" fontId="25" fillId="10" borderId="2" xfId="1" applyFont="1" applyFill="1" applyBorder="1"/>
    <xf numFmtId="0" fontId="89" fillId="12" borderId="0" xfId="11" applyFont="1" applyFill="1" applyBorder="1" applyAlignment="1" applyProtection="1">
      <alignment vertical="center"/>
      <protection locked="0"/>
    </xf>
    <xf numFmtId="0" fontId="2" fillId="12" borderId="0" xfId="11" applyFill="1" applyBorder="1" applyProtection="1">
      <protection locked="0"/>
    </xf>
    <xf numFmtId="0" fontId="2" fillId="0" borderId="0" xfId="11" applyBorder="1" applyProtection="1">
      <protection locked="0"/>
    </xf>
    <xf numFmtId="0" fontId="90" fillId="12" borderId="0" xfId="11" applyFont="1" applyFill="1" applyBorder="1" applyAlignment="1" applyProtection="1">
      <alignment horizontal="right"/>
      <protection locked="0"/>
    </xf>
    <xf numFmtId="0" fontId="38" fillId="3" borderId="0" xfId="11" applyFont="1" applyFill="1" applyBorder="1" applyAlignment="1" applyProtection="1">
      <alignment vertical="center"/>
      <protection locked="0"/>
    </xf>
    <xf numFmtId="0" fontId="2" fillId="3" borderId="0" xfId="11" applyFill="1" applyBorder="1" applyProtection="1">
      <protection locked="0"/>
    </xf>
    <xf numFmtId="0" fontId="2" fillId="12" borderId="0" xfId="11" applyFill="1" applyBorder="1" applyAlignment="1" applyProtection="1">
      <alignment horizontal="left"/>
      <protection locked="0"/>
    </xf>
    <xf numFmtId="0" fontId="2" fillId="12" borderId="0" xfId="11" applyFill="1" applyBorder="1" applyAlignment="1" applyProtection="1">
      <protection locked="0"/>
    </xf>
    <xf numFmtId="0" fontId="2" fillId="12" borderId="0" xfId="11" applyFill="1" applyBorder="1" applyAlignment="1" applyProtection="1">
      <alignment horizontal="right"/>
      <protection locked="0"/>
    </xf>
    <xf numFmtId="0" fontId="92" fillId="12" borderId="0" xfId="11" applyFont="1" applyFill="1" applyBorder="1" applyAlignment="1" applyProtection="1">
      <alignment horizontal="right"/>
      <protection locked="0"/>
    </xf>
    <xf numFmtId="0" fontId="90" fillId="0" borderId="0" xfId="11" applyFont="1" applyBorder="1" applyProtection="1">
      <protection locked="0"/>
    </xf>
    <xf numFmtId="0" fontId="2" fillId="0" borderId="0" xfId="11" applyBorder="1" applyAlignment="1" applyProtection="1">
      <alignment vertical="center"/>
      <protection locked="0"/>
    </xf>
    <xf numFmtId="0" fontId="97" fillId="17" borderId="133" xfId="11" applyFont="1" applyFill="1" applyBorder="1" applyProtection="1">
      <protection locked="0"/>
    </xf>
    <xf numFmtId="0" fontId="98" fillId="17" borderId="134" xfId="11" applyFont="1" applyFill="1" applyBorder="1" applyAlignment="1" applyProtection="1">
      <alignment vertical="center"/>
      <protection locked="0"/>
    </xf>
    <xf numFmtId="0" fontId="97" fillId="17" borderId="134" xfId="11" applyFont="1" applyFill="1" applyBorder="1" applyAlignment="1" applyProtection="1">
      <alignment horizontal="center"/>
      <protection locked="0"/>
    </xf>
    <xf numFmtId="0" fontId="97" fillId="17" borderId="167" xfId="11" applyFont="1" applyFill="1" applyBorder="1" applyProtection="1">
      <protection locked="0"/>
    </xf>
    <xf numFmtId="0" fontId="99" fillId="17" borderId="134" xfId="11" applyFont="1" applyFill="1" applyBorder="1" applyProtection="1">
      <protection locked="0"/>
    </xf>
    <xf numFmtId="174" fontId="97" fillId="17" borderId="135" xfId="11" applyNumberFormat="1" applyFont="1" applyFill="1" applyBorder="1" applyAlignment="1" applyProtection="1">
      <alignment horizontal="center"/>
      <protection locked="0"/>
    </xf>
    <xf numFmtId="0" fontId="2" fillId="12" borderId="0" xfId="11" applyFill="1" applyBorder="1" applyAlignment="1" applyProtection="1">
      <alignment vertical="center"/>
      <protection locked="0"/>
    </xf>
    <xf numFmtId="0" fontId="90" fillId="12" borderId="141" xfId="11" applyFont="1" applyFill="1" applyBorder="1" applyProtection="1">
      <protection locked="0"/>
    </xf>
    <xf numFmtId="166" fontId="90" fillId="12" borderId="0" xfId="11" applyNumberFormat="1" applyFont="1" applyFill="1" applyBorder="1" applyProtection="1"/>
    <xf numFmtId="174" fontId="90" fillId="12" borderId="0" xfId="11" applyNumberFormat="1" applyFont="1" applyFill="1" applyBorder="1" applyProtection="1"/>
    <xf numFmtId="0" fontId="90" fillId="12" borderId="162" xfId="11" applyFont="1" applyFill="1" applyBorder="1" applyProtection="1">
      <protection locked="0"/>
    </xf>
    <xf numFmtId="0" fontId="90" fillId="12" borderId="0" xfId="11" applyFont="1" applyFill="1" applyBorder="1" applyProtection="1">
      <protection locked="0"/>
    </xf>
    <xf numFmtId="174" fontId="90" fillId="12" borderId="142" xfId="11" applyNumberFormat="1" applyFont="1" applyFill="1" applyBorder="1" applyProtection="1"/>
    <xf numFmtId="0" fontId="90" fillId="12" borderId="0" xfId="11" applyFont="1" applyFill="1" applyBorder="1" applyAlignment="1" applyProtection="1">
      <alignment vertical="center"/>
      <protection locked="0"/>
    </xf>
    <xf numFmtId="166" fontId="90" fillId="12" borderId="0" xfId="11" applyNumberFormat="1" applyFont="1" applyFill="1" applyBorder="1" applyAlignment="1" applyProtection="1">
      <alignment vertical="center"/>
    </xf>
    <xf numFmtId="0" fontId="90" fillId="0" borderId="0" xfId="11" applyFont="1" applyBorder="1" applyAlignment="1" applyProtection="1">
      <alignment vertical="center"/>
      <protection locked="0"/>
    </xf>
    <xf numFmtId="0" fontId="90" fillId="12" borderId="5" xfId="11" applyFont="1" applyFill="1" applyBorder="1" applyProtection="1">
      <protection locked="0"/>
    </xf>
    <xf numFmtId="166" fontId="90" fillId="12" borderId="5" xfId="11" applyNumberFormat="1" applyFont="1" applyFill="1" applyBorder="1" applyProtection="1">
      <protection locked="0"/>
    </xf>
    <xf numFmtId="166" fontId="90" fillId="12" borderId="5" xfId="11" applyNumberFormat="1" applyFont="1" applyFill="1" applyBorder="1" applyProtection="1"/>
    <xf numFmtId="174" fontId="90" fillId="12" borderId="168" xfId="11" applyNumberFormat="1" applyFont="1" applyFill="1" applyBorder="1" applyProtection="1"/>
    <xf numFmtId="0" fontId="90" fillId="12" borderId="136" xfId="11" applyFont="1" applyFill="1" applyBorder="1" applyProtection="1">
      <protection locked="0"/>
    </xf>
    <xf numFmtId="0" fontId="92" fillId="12" borderId="131" xfId="11" applyFont="1" applyFill="1" applyBorder="1" applyAlignment="1" applyProtection="1">
      <alignment horizontal="right"/>
      <protection locked="0"/>
    </xf>
    <xf numFmtId="166" fontId="90" fillId="12" borderId="131" xfId="11" applyNumberFormat="1" applyFont="1" applyFill="1" applyBorder="1" applyProtection="1"/>
    <xf numFmtId="174" fontId="90" fillId="12" borderId="131" xfId="11" applyNumberFormat="1" applyFont="1" applyFill="1" applyBorder="1" applyProtection="1"/>
    <xf numFmtId="0" fontId="90" fillId="12" borderId="169" xfId="11" applyFont="1" applyFill="1" applyBorder="1" applyProtection="1">
      <protection locked="0"/>
    </xf>
    <xf numFmtId="174" fontId="90" fillId="12" borderId="137" xfId="11" applyNumberFormat="1" applyFont="1" applyFill="1" applyBorder="1" applyProtection="1"/>
    <xf numFmtId="0" fontId="90" fillId="0" borderId="0" xfId="11" applyFont="1" applyFill="1" applyBorder="1" applyProtection="1">
      <protection locked="0"/>
    </xf>
    <xf numFmtId="0" fontId="90" fillId="0" borderId="138" xfId="11" applyFont="1" applyBorder="1" applyAlignment="1" applyProtection="1">
      <alignment horizontal="center" vertical="center"/>
      <protection locked="0"/>
    </xf>
    <xf numFmtId="3" fontId="90" fillId="0" borderId="138" xfId="11" applyNumberFormat="1" applyFont="1" applyBorder="1" applyAlignment="1" applyProtection="1">
      <alignment horizontal="center" vertical="center"/>
      <protection locked="0"/>
    </xf>
    <xf numFmtId="14" fontId="90" fillId="0" borderId="138" xfId="11" applyNumberFormat="1" applyFont="1" applyBorder="1" applyAlignment="1" applyProtection="1">
      <alignment horizontal="center" vertical="center"/>
      <protection locked="0"/>
    </xf>
    <xf numFmtId="166" fontId="90" fillId="0" borderId="138" xfId="11" applyNumberFormat="1" applyFont="1" applyBorder="1" applyAlignment="1" applyProtection="1">
      <alignment horizontal="center" vertical="center"/>
      <protection locked="0"/>
    </xf>
    <xf numFmtId="0" fontId="2" fillId="0" borderId="0" xfId="11" applyFill="1" applyBorder="1" applyProtection="1">
      <protection locked="0"/>
    </xf>
    <xf numFmtId="0" fontId="90" fillId="0" borderId="0" xfId="11" applyFont="1" applyFill="1" applyBorder="1" applyAlignment="1" applyProtection="1">
      <alignment vertical="center"/>
      <protection locked="0"/>
    </xf>
    <xf numFmtId="0" fontId="95" fillId="0" borderId="0" xfId="11" applyFont="1" applyFill="1" applyBorder="1" applyAlignment="1" applyProtection="1">
      <alignment vertical="top" wrapText="1"/>
      <protection locked="0"/>
    </xf>
    <xf numFmtId="0" fontId="93" fillId="0" borderId="0" xfId="11" applyFont="1" applyFill="1" applyBorder="1" applyAlignment="1" applyProtection="1">
      <alignment wrapText="1"/>
      <protection locked="0"/>
    </xf>
    <xf numFmtId="3" fontId="0" fillId="4" borderId="0" xfId="0" applyNumberFormat="1" applyFont="1" applyFill="1" applyBorder="1" applyAlignment="1">
      <alignment horizontal="center"/>
    </xf>
    <xf numFmtId="3" fontId="0" fillId="4" borderId="5" xfId="0" applyNumberFormat="1" applyFont="1" applyFill="1" applyBorder="1" applyAlignment="1">
      <alignment horizontal="center"/>
    </xf>
    <xf numFmtId="0" fontId="101" fillId="2" borderId="1" xfId="0" applyFont="1" applyFill="1" applyBorder="1" applyAlignment="1"/>
    <xf numFmtId="0" fontId="101" fillId="2" borderId="6" xfId="0" applyFont="1" applyFill="1" applyBorder="1" applyAlignment="1">
      <alignment horizontal="left"/>
    </xf>
    <xf numFmtId="0" fontId="0" fillId="0" borderId="0" xfId="0" applyFill="1" applyAlignment="1"/>
    <xf numFmtId="44" fontId="0" fillId="0" borderId="34" xfId="1" applyFont="1" applyFill="1" applyBorder="1" applyAlignment="1">
      <alignment horizontal="center"/>
    </xf>
    <xf numFmtId="44" fontId="7" fillId="0" borderId="0" xfId="1" applyFont="1" applyFill="1" applyBorder="1" applyAlignment="1">
      <alignment horizontal="center"/>
    </xf>
    <xf numFmtId="166" fontId="7" fillId="0" borderId="0" xfId="0" applyNumberFormat="1" applyFont="1" applyBorder="1" applyAlignment="1">
      <alignment horizontal="left"/>
    </xf>
    <xf numFmtId="0" fontId="0" fillId="7" borderId="25" xfId="0" applyFont="1" applyFill="1" applyBorder="1" applyAlignment="1" applyProtection="1">
      <alignment horizontal="right"/>
      <protection locked="0"/>
    </xf>
    <xf numFmtId="0" fontId="0" fillId="7" borderId="10" xfId="0" applyFont="1" applyFill="1" applyBorder="1" applyAlignment="1" applyProtection="1">
      <alignment horizontal="right"/>
      <protection locked="0"/>
    </xf>
    <xf numFmtId="0" fontId="0" fillId="7" borderId="10" xfId="0" applyNumberFormat="1" applyFont="1" applyFill="1" applyBorder="1" applyAlignment="1" applyProtection="1">
      <alignment horizontal="right"/>
      <protection locked="0"/>
    </xf>
    <xf numFmtId="0" fontId="0" fillId="0" borderId="25" xfId="0" applyFont="1" applyFill="1" applyBorder="1" applyAlignment="1" applyProtection="1">
      <alignment horizontal="right"/>
      <protection locked="0"/>
    </xf>
    <xf numFmtId="0" fontId="0" fillId="0" borderId="10" xfId="0" applyFont="1" applyFill="1" applyBorder="1" applyAlignment="1" applyProtection="1">
      <alignment horizontal="right"/>
      <protection locked="0"/>
    </xf>
    <xf numFmtId="0" fontId="0" fillId="0" borderId="5" xfId="0" applyFont="1" applyFill="1" applyBorder="1" applyAlignment="1" applyProtection="1">
      <alignment horizontal="right"/>
      <protection locked="0"/>
    </xf>
    <xf numFmtId="0" fontId="0" fillId="0" borderId="35" xfId="0" applyFont="1" applyFill="1" applyBorder="1" applyAlignment="1" applyProtection="1">
      <alignment horizontal="right"/>
      <protection locked="0"/>
    </xf>
    <xf numFmtId="0" fontId="0" fillId="0" borderId="11" xfId="0" applyFont="1" applyFill="1" applyBorder="1" applyAlignment="1" applyProtection="1">
      <alignment horizontal="right"/>
      <protection locked="0"/>
    </xf>
    <xf numFmtId="0" fontId="7" fillId="0" borderId="1" xfId="0" applyFont="1" applyFill="1" applyBorder="1" applyAlignment="1">
      <alignment horizontal="center"/>
    </xf>
    <xf numFmtId="0" fontId="0" fillId="0" borderId="12" xfId="0" applyFill="1" applyBorder="1"/>
    <xf numFmtId="10" fontId="102" fillId="16" borderId="12" xfId="2" applyNumberFormat="1" applyFont="1" applyFill="1" applyBorder="1" applyAlignment="1">
      <alignment horizontal="center"/>
    </xf>
    <xf numFmtId="10" fontId="102" fillId="16" borderId="12" xfId="2" applyNumberFormat="1" applyFont="1" applyFill="1" applyBorder="1" applyAlignment="1">
      <alignment horizontal="center" vertical="center"/>
    </xf>
    <xf numFmtId="0" fontId="0" fillId="0" borderId="0" xfId="0" applyFont="1" applyFill="1" applyBorder="1" applyAlignment="1">
      <alignment horizontal="right"/>
    </xf>
    <xf numFmtId="0" fontId="101" fillId="2" borderId="1" xfId="0" applyFont="1" applyFill="1" applyBorder="1" applyAlignment="1">
      <alignment horizontal="left"/>
    </xf>
    <xf numFmtId="0" fontId="26" fillId="7" borderId="17" xfId="0" applyFont="1" applyFill="1" applyBorder="1" applyAlignment="1"/>
    <xf numFmtId="0" fontId="26" fillId="7" borderId="25" xfId="0" applyFont="1" applyFill="1" applyBorder="1" applyAlignment="1"/>
    <xf numFmtId="166" fontId="26" fillId="7" borderId="25" xfId="0" applyNumberFormat="1" applyFont="1" applyFill="1" applyBorder="1" applyAlignment="1"/>
    <xf numFmtId="0" fontId="26" fillId="7" borderId="25" xfId="0" applyFont="1" applyFill="1" applyBorder="1" applyAlignment="1">
      <alignment horizontal="left"/>
    </xf>
    <xf numFmtId="14" fontId="26" fillId="7" borderId="19" xfId="0" applyNumberFormat="1" applyFont="1" applyFill="1" applyBorder="1" applyAlignment="1">
      <alignment horizontal="center"/>
    </xf>
    <xf numFmtId="0" fontId="26" fillId="11" borderId="20" xfId="0" applyFont="1" applyFill="1" applyBorder="1" applyAlignment="1"/>
    <xf numFmtId="0" fontId="26" fillId="11" borderId="10" xfId="0" applyFont="1" applyFill="1" applyBorder="1" applyAlignment="1"/>
    <xf numFmtId="166" fontId="26" fillId="11" borderId="23" xfId="0" applyNumberFormat="1" applyFont="1" applyFill="1" applyBorder="1" applyAlignment="1"/>
    <xf numFmtId="166" fontId="26" fillId="11" borderId="10" xfId="0" applyNumberFormat="1" applyFont="1" applyFill="1" applyBorder="1" applyAlignment="1"/>
    <xf numFmtId="0" fontId="26" fillId="11" borderId="10" xfId="0" applyFont="1" applyFill="1" applyBorder="1" applyAlignment="1">
      <alignment horizontal="left"/>
    </xf>
    <xf numFmtId="167" fontId="26" fillId="11" borderId="23" xfId="0" applyNumberFormat="1" applyFont="1" applyFill="1" applyBorder="1" applyAlignment="1"/>
    <xf numFmtId="0" fontId="26" fillId="7" borderId="20" xfId="0" applyFont="1" applyFill="1" applyBorder="1" applyAlignment="1"/>
    <xf numFmtId="0" fontId="26" fillId="7" borderId="10" xfId="0" applyFont="1" applyFill="1" applyBorder="1" applyAlignment="1"/>
    <xf numFmtId="166" fontId="26" fillId="7" borderId="23" xfId="0" applyNumberFormat="1" applyFont="1" applyFill="1" applyBorder="1" applyAlignment="1"/>
    <xf numFmtId="166" fontId="26" fillId="7" borderId="10" xfId="0" applyNumberFormat="1" applyFont="1" applyFill="1" applyBorder="1" applyAlignment="1"/>
    <xf numFmtId="0" fontId="26" fillId="7" borderId="10" xfId="0" applyFont="1" applyFill="1" applyBorder="1" applyAlignment="1">
      <alignment horizontal="left"/>
    </xf>
    <xf numFmtId="10" fontId="26" fillId="7" borderId="23" xfId="2" applyNumberFormat="1" applyFont="1" applyFill="1" applyBorder="1" applyAlignment="1">
      <alignment horizontal="right"/>
    </xf>
    <xf numFmtId="10" fontId="26" fillId="11" borderId="23" xfId="2" applyNumberFormat="1" applyFont="1" applyFill="1" applyBorder="1" applyAlignment="1">
      <alignment horizontal="right"/>
    </xf>
    <xf numFmtId="0" fontId="7" fillId="0" borderId="0" xfId="0" applyFont="1" applyFill="1" applyBorder="1" applyAlignment="1">
      <alignment horizontal="center"/>
    </xf>
    <xf numFmtId="0" fontId="0" fillId="0" borderId="0" xfId="0" applyFill="1" applyBorder="1" applyAlignment="1">
      <alignment horizontal="center"/>
    </xf>
    <xf numFmtId="0" fontId="6" fillId="0" borderId="0" xfId="0" applyFont="1" applyFill="1" applyBorder="1" applyAlignment="1">
      <alignment horizontal="center"/>
    </xf>
    <xf numFmtId="0" fontId="0" fillId="0" borderId="0" xfId="0" applyFill="1" applyBorder="1" applyAlignment="1"/>
    <xf numFmtId="44" fontId="7" fillId="0" borderId="0" xfId="0" applyNumberFormat="1" applyFont="1" applyFill="1" applyBorder="1" applyAlignment="1"/>
    <xf numFmtId="44" fontId="7" fillId="0" borderId="1" xfId="1" applyFont="1" applyFill="1" applyBorder="1" applyAlignment="1">
      <alignment horizontal="right"/>
    </xf>
    <xf numFmtId="0" fontId="0" fillId="0" borderId="0" xfId="0" applyFont="1" applyFill="1" applyBorder="1" applyAlignment="1">
      <alignment horizontal="center"/>
    </xf>
    <xf numFmtId="0" fontId="5" fillId="0" borderId="0" xfId="0" applyFont="1" applyFill="1" applyBorder="1" applyAlignment="1">
      <alignment horizontal="center"/>
    </xf>
    <xf numFmtId="44" fontId="0" fillId="0" borderId="0" xfId="2" applyNumberFormat="1" applyFont="1" applyFill="1" applyBorder="1" applyAlignment="1">
      <alignment horizontal="center"/>
    </xf>
    <xf numFmtId="44" fontId="0" fillId="0" borderId="0" xfId="0" applyNumberFormat="1" applyFill="1" applyBorder="1" applyAlignment="1">
      <alignment horizontal="center"/>
    </xf>
    <xf numFmtId="0" fontId="7" fillId="0" borderId="7" xfId="0" applyFont="1" applyFill="1" applyBorder="1" applyAlignment="1">
      <alignment horizontal="center"/>
    </xf>
    <xf numFmtId="44" fontId="7" fillId="0" borderId="16" xfId="1" applyFont="1" applyFill="1" applyBorder="1" applyAlignment="1"/>
    <xf numFmtId="0" fontId="7" fillId="0" borderId="24" xfId="0" applyFont="1" applyFill="1" applyBorder="1" applyAlignment="1">
      <alignment horizontal="center"/>
    </xf>
    <xf numFmtId="9" fontId="7" fillId="4" borderId="13" xfId="2" applyFont="1" applyFill="1" applyBorder="1" applyAlignment="1">
      <alignment horizontal="center"/>
    </xf>
    <xf numFmtId="9" fontId="7" fillId="4" borderId="9" xfId="2" applyFont="1" applyFill="1" applyBorder="1" applyAlignment="1">
      <alignment horizontal="center"/>
    </xf>
    <xf numFmtId="0" fontId="7" fillId="0" borderId="8" xfId="0" applyFont="1" applyFill="1" applyBorder="1" applyAlignment="1">
      <alignment horizontal="right"/>
    </xf>
    <xf numFmtId="0" fontId="7" fillId="0" borderId="1" xfId="0" applyFont="1" applyFill="1" applyBorder="1" applyAlignment="1">
      <alignment horizontal="center" vertical="center"/>
    </xf>
    <xf numFmtId="44" fontId="7" fillId="4" borderId="12" xfId="1" applyFont="1" applyFill="1" applyBorder="1" applyAlignment="1">
      <alignment horizontal="center"/>
    </xf>
    <xf numFmtId="44" fontId="0" fillId="0" borderId="12" xfId="1" applyFont="1" applyFill="1" applyBorder="1" applyAlignment="1">
      <alignment horizontal="center"/>
    </xf>
    <xf numFmtId="0" fontId="0" fillId="3" borderId="0" xfId="0" applyFont="1" applyFill="1" applyBorder="1" applyAlignment="1">
      <alignment horizontal="center"/>
    </xf>
    <xf numFmtId="0" fontId="0" fillId="3" borderId="6" xfId="0" applyFont="1" applyFill="1" applyBorder="1" applyAlignment="1">
      <alignment horizontal="center"/>
    </xf>
    <xf numFmtId="0" fontId="0" fillId="3" borderId="7" xfId="0" applyFont="1" applyFill="1" applyBorder="1" applyAlignment="1">
      <alignment horizontal="center"/>
    </xf>
    <xf numFmtId="0" fontId="0" fillId="3" borderId="12" xfId="0" applyFont="1" applyFill="1" applyBorder="1" applyAlignment="1">
      <alignment horizontal="center"/>
    </xf>
    <xf numFmtId="0" fontId="0" fillId="3" borderId="13" xfId="0" applyFont="1" applyFill="1" applyBorder="1" applyAlignment="1">
      <alignment horizontal="center"/>
    </xf>
    <xf numFmtId="0" fontId="0" fillId="3" borderId="13" xfId="0" applyFill="1" applyBorder="1"/>
    <xf numFmtId="0" fontId="0" fillId="3" borderId="9" xfId="0" applyFill="1" applyBorder="1" applyAlignment="1"/>
    <xf numFmtId="0" fontId="0" fillId="0" borderId="4" xfId="0" applyFill="1" applyBorder="1" applyAlignment="1">
      <alignment horizontal="center"/>
    </xf>
    <xf numFmtId="0" fontId="0" fillId="3" borderId="4" xfId="0" applyFill="1" applyBorder="1" applyAlignment="1"/>
    <xf numFmtId="0" fontId="7" fillId="0" borderId="171" xfId="0" applyFont="1" applyFill="1" applyBorder="1" applyAlignment="1">
      <alignment horizontal="right"/>
    </xf>
    <xf numFmtId="44" fontId="5" fillId="4" borderId="21" xfId="1" applyFont="1" applyFill="1" applyBorder="1" applyAlignment="1"/>
    <xf numFmtId="0" fontId="7" fillId="0" borderId="172" xfId="0" applyFont="1" applyFill="1" applyBorder="1" applyAlignment="1">
      <alignment horizontal="right"/>
    </xf>
    <xf numFmtId="9" fontId="72" fillId="2" borderId="29" xfId="2" applyFont="1" applyFill="1" applyBorder="1" applyAlignment="1">
      <alignment horizontal="center" vertical="center"/>
    </xf>
    <xf numFmtId="44" fontId="7" fillId="0" borderId="12" xfId="1" applyFont="1" applyFill="1" applyBorder="1" applyAlignment="1">
      <alignment horizontal="right"/>
    </xf>
    <xf numFmtId="9" fontId="7" fillId="0" borderId="13" xfId="2" applyFont="1" applyFill="1" applyBorder="1" applyAlignment="1">
      <alignment horizontal="center"/>
    </xf>
    <xf numFmtId="44" fontId="7" fillId="0" borderId="4" xfId="0" applyNumberFormat="1" applyFont="1" applyFill="1" applyBorder="1" applyAlignment="1"/>
    <xf numFmtId="9" fontId="7" fillId="0" borderId="9" xfId="2" applyFont="1" applyFill="1" applyBorder="1" applyAlignment="1">
      <alignment horizontal="center"/>
    </xf>
    <xf numFmtId="0" fontId="0" fillId="2" borderId="3" xfId="0" applyFill="1" applyBorder="1" applyAlignment="1"/>
    <xf numFmtId="0" fontId="75" fillId="0" borderId="21" xfId="0" applyFont="1" applyFill="1" applyBorder="1" applyAlignment="1" applyProtection="1">
      <alignment horizontal="center" vertical="center" wrapText="1"/>
      <protection locked="0"/>
    </xf>
    <xf numFmtId="14" fontId="9" fillId="4" borderId="0" xfId="3" applyNumberFormat="1" applyFont="1" applyFill="1" applyBorder="1" applyAlignment="1" applyProtection="1">
      <alignment horizontal="center"/>
      <protection locked="0"/>
    </xf>
    <xf numFmtId="166" fontId="5" fillId="4" borderId="173" xfId="3" applyNumberFormat="1" applyFont="1" applyFill="1" applyBorder="1" applyAlignment="1" applyProtection="1">
      <alignment horizontal="center"/>
      <protection locked="0"/>
    </xf>
    <xf numFmtId="166" fontId="5" fillId="4" borderId="174" xfId="3" applyNumberFormat="1" applyFont="1" applyFill="1" applyBorder="1" applyAlignment="1" applyProtection="1">
      <alignment horizontal="center"/>
      <protection locked="0"/>
    </xf>
    <xf numFmtId="166" fontId="7" fillId="4" borderId="175" xfId="3" applyNumberFormat="1" applyFont="1" applyFill="1" applyBorder="1" applyAlignment="1" applyProtection="1">
      <alignment horizontal="center"/>
      <protection locked="0"/>
    </xf>
    <xf numFmtId="166" fontId="15" fillId="9" borderId="176" xfId="3" applyNumberFormat="1" applyFont="1" applyFill="1" applyBorder="1" applyAlignment="1" applyProtection="1">
      <alignment horizontal="center"/>
      <protection locked="0"/>
    </xf>
    <xf numFmtId="2" fontId="10" fillId="4" borderId="177" xfId="4" applyNumberFormat="1" applyFont="1" applyFill="1" applyBorder="1" applyAlignment="1" applyProtection="1">
      <alignment horizontal="center"/>
      <protection locked="0"/>
    </xf>
    <xf numFmtId="2" fontId="10" fillId="4" borderId="178" xfId="4" applyNumberFormat="1" applyFont="1" applyFill="1" applyBorder="1" applyAlignment="1" applyProtection="1">
      <alignment horizontal="center"/>
      <protection locked="0"/>
    </xf>
    <xf numFmtId="2" fontId="5" fillId="0" borderId="179" xfId="3" applyNumberFormat="1" applyFont="1" applyFill="1" applyBorder="1" applyAlignment="1" applyProtection="1">
      <alignment horizontal="center"/>
      <protection locked="0"/>
    </xf>
    <xf numFmtId="166" fontId="11" fillId="0" borderId="180" xfId="0" applyNumberFormat="1" applyFont="1" applyFill="1" applyBorder="1" applyAlignment="1" applyProtection="1">
      <alignment horizontal="center"/>
      <protection locked="0"/>
    </xf>
    <xf numFmtId="166" fontId="11" fillId="8" borderId="176" xfId="3" applyNumberFormat="1" applyFont="1" applyFill="1" applyBorder="1" applyAlignment="1" applyProtection="1">
      <alignment horizontal="center"/>
      <protection locked="0"/>
    </xf>
    <xf numFmtId="166" fontId="10" fillId="0" borderId="181" xfId="3" applyNumberFormat="1" applyFont="1" applyFill="1" applyBorder="1" applyAlignment="1" applyProtection="1">
      <alignment horizontal="center"/>
    </xf>
    <xf numFmtId="166" fontId="10" fillId="0" borderId="176" xfId="0" applyNumberFormat="1" applyFont="1" applyFill="1" applyBorder="1" applyAlignment="1">
      <alignment horizontal="center"/>
    </xf>
    <xf numFmtId="166" fontId="10" fillId="0" borderId="182" xfId="0" applyNumberFormat="1" applyFont="1" applyFill="1" applyBorder="1" applyAlignment="1">
      <alignment horizontal="center"/>
    </xf>
    <xf numFmtId="166" fontId="5" fillId="4" borderId="179" xfId="3" applyNumberFormat="1" applyFont="1" applyFill="1" applyBorder="1" applyAlignment="1" applyProtection="1">
      <alignment horizontal="center"/>
      <protection locked="0"/>
    </xf>
    <xf numFmtId="166" fontId="7" fillId="9" borderId="180" xfId="0" applyNumberFormat="1" applyFont="1" applyFill="1" applyBorder="1" applyAlignment="1" applyProtection="1">
      <alignment horizontal="center"/>
      <protection locked="0"/>
    </xf>
    <xf numFmtId="166" fontId="9" fillId="9" borderId="6" xfId="0" applyNumberFormat="1" applyFont="1" applyFill="1" applyBorder="1" applyAlignment="1" applyProtection="1">
      <protection locked="0"/>
    </xf>
    <xf numFmtId="166" fontId="5" fillId="9" borderId="12" xfId="3" applyNumberFormat="1" applyFont="1" applyFill="1" applyBorder="1" applyAlignment="1" applyProtection="1">
      <alignment horizontal="center"/>
      <protection locked="0"/>
    </xf>
    <xf numFmtId="166" fontId="5" fillId="9" borderId="13" xfId="3" applyNumberFormat="1" applyFont="1" applyFill="1" applyBorder="1" applyAlignment="1" applyProtection="1">
      <alignment horizontal="center"/>
      <protection locked="0"/>
    </xf>
    <xf numFmtId="166" fontId="7" fillId="9" borderId="12" xfId="3" applyNumberFormat="1" applyFont="1" applyFill="1" applyBorder="1" applyAlignment="1" applyProtection="1">
      <alignment horizontal="center"/>
      <protection locked="0"/>
    </xf>
    <xf numFmtId="166" fontId="7" fillId="9" borderId="13" xfId="3" applyNumberFormat="1" applyFont="1" applyFill="1" applyBorder="1" applyAlignment="1" applyProtection="1">
      <alignment horizontal="center"/>
      <protection locked="0"/>
    </xf>
    <xf numFmtId="166" fontId="15" fillId="9" borderId="12" xfId="3" applyNumberFormat="1" applyFont="1" applyFill="1" applyBorder="1" applyAlignment="1" applyProtection="1">
      <alignment horizontal="center"/>
      <protection locked="0"/>
    </xf>
    <xf numFmtId="166" fontId="15" fillId="9" borderId="13" xfId="3" applyNumberFormat="1" applyFont="1" applyFill="1" applyBorder="1" applyAlignment="1" applyProtection="1">
      <alignment horizontal="center"/>
      <protection locked="0"/>
    </xf>
    <xf numFmtId="2" fontId="10" fillId="9" borderId="12" xfId="4" applyNumberFormat="1" applyFont="1" applyFill="1" applyBorder="1" applyAlignment="1" applyProtection="1">
      <alignment horizontal="center"/>
      <protection locked="0"/>
    </xf>
    <xf numFmtId="2" fontId="10" fillId="9" borderId="13" xfId="4" applyNumberFormat="1" applyFont="1" applyFill="1" applyBorder="1" applyAlignment="1" applyProtection="1">
      <alignment horizontal="center"/>
      <protection locked="0"/>
    </xf>
    <xf numFmtId="2" fontId="5" fillId="9" borderId="12" xfId="3" applyNumberFormat="1" applyFont="1" applyFill="1" applyBorder="1" applyAlignment="1" applyProtection="1">
      <alignment horizontal="center"/>
      <protection locked="0"/>
    </xf>
    <xf numFmtId="2" fontId="5" fillId="9" borderId="13" xfId="3" applyNumberFormat="1" applyFont="1" applyFill="1" applyBorder="1" applyAlignment="1" applyProtection="1">
      <alignment horizontal="center"/>
      <protection locked="0"/>
    </xf>
    <xf numFmtId="166" fontId="11" fillId="9" borderId="12" xfId="0" applyNumberFormat="1" applyFont="1" applyFill="1" applyBorder="1" applyAlignment="1" applyProtection="1">
      <alignment horizontal="center"/>
      <protection locked="0"/>
    </xf>
    <xf numFmtId="166" fontId="11" fillId="9" borderId="13" xfId="0" applyNumberFormat="1" applyFont="1" applyFill="1" applyBorder="1" applyAlignment="1" applyProtection="1">
      <alignment horizontal="center"/>
      <protection locked="0"/>
    </xf>
    <xf numFmtId="166" fontId="11" fillId="9" borderId="12" xfId="3" applyNumberFormat="1" applyFont="1" applyFill="1" applyBorder="1" applyAlignment="1" applyProtection="1">
      <alignment horizontal="center"/>
      <protection locked="0"/>
    </xf>
    <xf numFmtId="166" fontId="11" fillId="9" borderId="13" xfId="3" applyNumberFormat="1" applyFont="1" applyFill="1" applyBorder="1" applyAlignment="1" applyProtection="1">
      <alignment horizontal="center"/>
      <protection locked="0"/>
    </xf>
    <xf numFmtId="166" fontId="10" fillId="9" borderId="12" xfId="3" applyNumberFormat="1" applyFont="1" applyFill="1" applyBorder="1" applyAlignment="1" applyProtection="1">
      <alignment horizontal="center"/>
    </xf>
    <xf numFmtId="166" fontId="10" fillId="9" borderId="13" xfId="3" applyNumberFormat="1" applyFont="1" applyFill="1" applyBorder="1" applyAlignment="1" applyProtection="1">
      <alignment horizontal="center"/>
    </xf>
    <xf numFmtId="166" fontId="10" fillId="9" borderId="12" xfId="0" applyNumberFormat="1" applyFont="1" applyFill="1" applyBorder="1" applyAlignment="1">
      <alignment horizontal="center"/>
    </xf>
    <xf numFmtId="166" fontId="10" fillId="9" borderId="13" xfId="0" applyNumberFormat="1" applyFont="1" applyFill="1" applyBorder="1" applyAlignment="1">
      <alignment horizontal="center"/>
    </xf>
    <xf numFmtId="166" fontId="7" fillId="9" borderId="8" xfId="0" applyNumberFormat="1" applyFont="1" applyFill="1" applyBorder="1" applyAlignment="1" applyProtection="1">
      <alignment horizontal="center"/>
      <protection locked="0"/>
    </xf>
    <xf numFmtId="166" fontId="7" fillId="9" borderId="9" xfId="0" applyNumberFormat="1" applyFont="1" applyFill="1" applyBorder="1" applyAlignment="1" applyProtection="1">
      <alignment horizontal="center"/>
      <protection locked="0"/>
    </xf>
    <xf numFmtId="0" fontId="101" fillId="2" borderId="6" xfId="0" applyFont="1" applyFill="1" applyBorder="1" applyAlignment="1" applyProtection="1">
      <alignment horizontal="left"/>
      <protection locked="0"/>
    </xf>
    <xf numFmtId="0" fontId="101" fillId="2" borderId="32" xfId="0" applyFont="1" applyFill="1" applyBorder="1" applyAlignment="1" applyProtection="1">
      <protection locked="0"/>
    </xf>
    <xf numFmtId="166" fontId="101" fillId="2" borderId="32" xfId="0" applyNumberFormat="1" applyFont="1" applyFill="1" applyBorder="1" applyAlignment="1" applyProtection="1">
      <protection locked="0"/>
    </xf>
    <xf numFmtId="0" fontId="106" fillId="6" borderId="12" xfId="0" applyFont="1" applyFill="1" applyBorder="1" applyAlignment="1">
      <alignment horizontal="left"/>
    </xf>
    <xf numFmtId="0" fontId="106" fillId="6" borderId="0" xfId="0" applyFont="1" applyFill="1" applyBorder="1" applyAlignment="1"/>
    <xf numFmtId="0" fontId="101" fillId="2" borderId="4" xfId="0" applyFont="1" applyFill="1" applyBorder="1" applyAlignment="1" applyProtection="1">
      <alignment horizontal="left"/>
      <protection locked="0"/>
    </xf>
    <xf numFmtId="0" fontId="101" fillId="2" borderId="4" xfId="0" applyFont="1" applyFill="1" applyBorder="1" applyAlignment="1" applyProtection="1">
      <alignment horizontal="center"/>
      <protection locked="0"/>
    </xf>
    <xf numFmtId="166" fontId="101" fillId="2" borderId="31" xfId="0" applyNumberFormat="1" applyFont="1" applyFill="1" applyBorder="1" applyAlignment="1" applyProtection="1">
      <alignment horizontal="center"/>
      <protection locked="0"/>
    </xf>
    <xf numFmtId="44" fontId="7" fillId="0" borderId="0" xfId="1" applyFont="1" applyBorder="1"/>
    <xf numFmtId="44" fontId="7" fillId="0" borderId="0" xfId="0" applyNumberFormat="1" applyFont="1" applyBorder="1"/>
    <xf numFmtId="9" fontId="7" fillId="4" borderId="0" xfId="2" applyFont="1" applyFill="1" applyBorder="1"/>
    <xf numFmtId="166" fontId="7" fillId="0" borderId="0" xfId="1" applyNumberFormat="1" applyFont="1" applyBorder="1"/>
    <xf numFmtId="9" fontId="7" fillId="0" borderId="0" xfId="0" applyNumberFormat="1" applyFont="1" applyBorder="1" applyAlignment="1">
      <alignment horizontal="center" vertical="center"/>
    </xf>
    <xf numFmtId="0" fontId="7" fillId="0" borderId="0" xfId="0" applyFont="1" applyBorder="1" applyAlignment="1">
      <alignment horizontal="center" vertical="center"/>
    </xf>
    <xf numFmtId="44" fontId="7" fillId="0" borderId="33" xfId="1" applyFont="1" applyBorder="1"/>
    <xf numFmtId="9" fontId="7" fillId="4" borderId="33" xfId="2" applyFont="1" applyFill="1" applyBorder="1"/>
    <xf numFmtId="0" fontId="7" fillId="0" borderId="33" xfId="0" applyFont="1" applyBorder="1"/>
    <xf numFmtId="10" fontId="108" fillId="16" borderId="12" xfId="0" applyNumberFormat="1" applyFont="1" applyFill="1" applyBorder="1" applyAlignment="1">
      <alignment horizontal="center" vertical="center"/>
    </xf>
    <xf numFmtId="10" fontId="107" fillId="16" borderId="34" xfId="2" applyNumberFormat="1" applyFont="1" applyFill="1" applyBorder="1" applyAlignment="1">
      <alignment horizontal="center"/>
    </xf>
    <xf numFmtId="0" fontId="108" fillId="16" borderId="170" xfId="0" applyFont="1" applyFill="1" applyBorder="1" applyAlignment="1">
      <alignment horizontal="right"/>
    </xf>
    <xf numFmtId="44" fontId="109" fillId="16" borderId="18" xfId="1" applyFont="1" applyFill="1" applyBorder="1" applyAlignment="1">
      <alignment horizontal="center"/>
    </xf>
    <xf numFmtId="10" fontId="7" fillId="4" borderId="183" xfId="2" applyNumberFormat="1" applyFont="1" applyFill="1" applyBorder="1" applyAlignment="1">
      <alignment horizontal="center"/>
    </xf>
    <xf numFmtId="44" fontId="0" fillId="0" borderId="184" xfId="1" applyFont="1" applyFill="1" applyBorder="1" applyAlignment="1">
      <alignment horizontal="center"/>
    </xf>
    <xf numFmtId="167" fontId="7" fillId="0" borderId="0" xfId="1" applyNumberFormat="1" applyFont="1" applyBorder="1"/>
    <xf numFmtId="167" fontId="7" fillId="0" borderId="0" xfId="0" applyNumberFormat="1" applyFont="1" applyBorder="1"/>
    <xf numFmtId="167" fontId="7" fillId="0" borderId="0" xfId="0" applyNumberFormat="1" applyFont="1" applyFill="1" applyBorder="1"/>
    <xf numFmtId="166" fontId="72" fillId="2" borderId="0" xfId="3" applyNumberFormat="1" applyFont="1" applyFill="1" applyBorder="1" applyAlignment="1" applyProtection="1">
      <alignment horizontal="right"/>
      <protection locked="0"/>
    </xf>
    <xf numFmtId="9" fontId="72" fillId="2" borderId="176" xfId="2" applyFont="1" applyFill="1" applyBorder="1" applyAlignment="1" applyProtection="1">
      <alignment horizontal="center"/>
      <protection locked="0"/>
    </xf>
    <xf numFmtId="49" fontId="15" fillId="2" borderId="12" xfId="3" applyNumberFormat="1" applyFont="1" applyFill="1" applyBorder="1" applyAlignment="1" applyProtection="1">
      <alignment horizontal="left"/>
      <protection locked="0"/>
    </xf>
    <xf numFmtId="0" fontId="88" fillId="16" borderId="4" xfId="10" applyFont="1" applyFill="1" applyBorder="1" applyAlignment="1" applyProtection="1">
      <alignment horizontal="left" vertical="center"/>
      <protection locked="0"/>
    </xf>
    <xf numFmtId="0" fontId="55" fillId="16" borderId="4" xfId="0" applyFont="1" applyFill="1" applyBorder="1" applyProtection="1">
      <protection locked="0"/>
    </xf>
    <xf numFmtId="0" fontId="55" fillId="16" borderId="9" xfId="0" applyFont="1" applyFill="1" applyBorder="1" applyProtection="1">
      <protection locked="0"/>
    </xf>
    <xf numFmtId="0" fontId="1" fillId="16" borderId="4" xfId="10" applyFont="1" applyFill="1" applyBorder="1" applyAlignment="1" applyProtection="1">
      <alignment vertical="center"/>
      <protection locked="0"/>
    </xf>
    <xf numFmtId="0" fontId="55" fillId="16" borderId="4" xfId="0" applyFont="1" applyFill="1" applyBorder="1"/>
    <xf numFmtId="0" fontId="113" fillId="12" borderId="0" xfId="10" applyFont="1" applyFill="1" applyBorder="1" applyProtection="1">
      <protection locked="0"/>
    </xf>
    <xf numFmtId="0" fontId="113" fillId="0" borderId="0" xfId="10" applyFont="1" applyBorder="1" applyProtection="1">
      <protection locked="0"/>
    </xf>
    <xf numFmtId="0" fontId="113" fillId="0" borderId="0" xfId="10" applyFont="1" applyFill="1" applyProtection="1">
      <protection locked="0"/>
    </xf>
    <xf numFmtId="0" fontId="113" fillId="0" borderId="0" xfId="10" applyFont="1" applyProtection="1">
      <protection locked="0"/>
    </xf>
    <xf numFmtId="0" fontId="114" fillId="12" borderId="0" xfId="10" applyFont="1" applyFill="1" applyBorder="1" applyAlignment="1" applyProtection="1">
      <alignment horizontal="right"/>
    </xf>
    <xf numFmtId="0" fontId="116" fillId="3" borderId="0" xfId="10" applyFont="1" applyFill="1" applyBorder="1" applyAlignment="1" applyProtection="1">
      <alignment vertical="center"/>
      <protection locked="0"/>
    </xf>
    <xf numFmtId="0" fontId="113" fillId="3" borderId="0" xfId="10" applyFont="1" applyFill="1" applyProtection="1">
      <protection locked="0"/>
    </xf>
    <xf numFmtId="3" fontId="115" fillId="12" borderId="131" xfId="10" applyNumberFormat="1" applyFont="1" applyFill="1" applyBorder="1" applyAlignment="1" applyProtection="1">
      <alignment horizontal="center"/>
    </xf>
    <xf numFmtId="0" fontId="113" fillId="12" borderId="0" xfId="10" applyFont="1" applyFill="1" applyBorder="1" applyProtection="1"/>
    <xf numFmtId="0" fontId="113" fillId="12" borderId="0" xfId="10" applyFont="1" applyFill="1" applyBorder="1" applyAlignment="1" applyProtection="1">
      <alignment horizontal="right"/>
    </xf>
    <xf numFmtId="0" fontId="113" fillId="12" borderId="133" xfId="10" applyFont="1" applyFill="1" applyBorder="1" applyAlignment="1" applyProtection="1">
      <alignment vertical="top"/>
    </xf>
    <xf numFmtId="0" fontId="113" fillId="12" borderId="134" xfId="10" applyFont="1" applyFill="1" applyBorder="1" applyAlignment="1" applyProtection="1">
      <alignment vertical="center"/>
    </xf>
    <xf numFmtId="0" fontId="113" fillId="12" borderId="134" xfId="10" applyFont="1" applyFill="1" applyBorder="1" applyAlignment="1" applyProtection="1">
      <alignment vertical="top"/>
    </xf>
    <xf numFmtId="0" fontId="113" fillId="0" borderId="0" xfId="10" applyFont="1" applyBorder="1" applyAlignment="1" applyProtection="1">
      <alignment vertical="center"/>
      <protection locked="0"/>
    </xf>
    <xf numFmtId="0" fontId="113" fillId="0" borderId="0" xfId="10" applyFont="1" applyFill="1" applyBorder="1" applyAlignment="1" applyProtection="1">
      <alignment vertical="center"/>
      <protection locked="0"/>
    </xf>
    <xf numFmtId="0" fontId="113" fillId="12" borderId="136" xfId="10" applyFont="1" applyFill="1" applyBorder="1" applyAlignment="1" applyProtection="1">
      <alignment vertical="top"/>
    </xf>
    <xf numFmtId="0" fontId="113" fillId="12" borderId="131" xfId="10" applyFont="1" applyFill="1" applyBorder="1" applyAlignment="1" applyProtection="1">
      <alignment vertical="top"/>
    </xf>
    <xf numFmtId="0" fontId="113" fillId="0" borderId="0" xfId="10" applyFont="1" applyBorder="1" applyAlignment="1" applyProtection="1">
      <alignment vertical="top"/>
      <protection locked="0"/>
    </xf>
    <xf numFmtId="0" fontId="113" fillId="0" borderId="0" xfId="10" applyFont="1" applyFill="1" applyBorder="1" applyAlignment="1" applyProtection="1">
      <alignment vertical="top"/>
      <protection locked="0"/>
    </xf>
    <xf numFmtId="0" fontId="114" fillId="0" borderId="0" xfId="10" applyFont="1" applyFill="1" applyBorder="1" applyProtection="1">
      <protection locked="0"/>
    </xf>
    <xf numFmtId="0" fontId="114" fillId="0" borderId="0" xfId="10" applyFont="1" applyFill="1" applyProtection="1">
      <protection locked="0"/>
    </xf>
    <xf numFmtId="0" fontId="114" fillId="0" borderId="0" xfId="10" applyFont="1" applyProtection="1">
      <protection locked="0"/>
    </xf>
    <xf numFmtId="0" fontId="114" fillId="4" borderId="138" xfId="10" applyFont="1" applyFill="1" applyBorder="1" applyProtection="1">
      <protection locked="0"/>
    </xf>
    <xf numFmtId="0" fontId="114" fillId="12" borderId="138" xfId="10" applyFont="1" applyFill="1" applyBorder="1" applyAlignment="1" applyProtection="1">
      <alignment horizontal="center"/>
      <protection locked="0"/>
    </xf>
    <xf numFmtId="8" fontId="114" fillId="12" borderId="138" xfId="10" applyNumberFormat="1" applyFont="1" applyFill="1" applyBorder="1" applyProtection="1">
      <protection locked="0"/>
    </xf>
    <xf numFmtId="0" fontId="113" fillId="0" borderId="0" xfId="10" applyFont="1" applyFill="1" applyBorder="1" applyAlignment="1" applyProtection="1">
      <alignment horizontal="left"/>
      <protection locked="0"/>
    </xf>
    <xf numFmtId="166" fontId="120" fillId="0" borderId="0" xfId="10" applyNumberFormat="1" applyFont="1" applyFill="1" applyBorder="1" applyAlignment="1" applyProtection="1">
      <alignment horizontal="left"/>
      <protection locked="0"/>
    </xf>
    <xf numFmtId="0" fontId="113" fillId="4" borderId="138" xfId="10" applyFont="1" applyFill="1" applyBorder="1" applyProtection="1">
      <protection locked="0"/>
    </xf>
    <xf numFmtId="0" fontId="113" fillId="0" borderId="0" xfId="10" applyFont="1" applyFill="1" applyBorder="1" applyProtection="1">
      <protection locked="0"/>
    </xf>
    <xf numFmtId="0" fontId="114" fillId="4" borderId="138" xfId="10" applyFont="1" applyFill="1" applyBorder="1" applyAlignment="1" applyProtection="1">
      <alignment vertical="center"/>
      <protection locked="0"/>
    </xf>
    <xf numFmtId="2" fontId="114" fillId="4" borderId="138" xfId="10" applyNumberFormat="1" applyFont="1" applyFill="1" applyBorder="1" applyAlignment="1" applyProtection="1">
      <alignment vertical="center"/>
      <protection locked="0"/>
    </xf>
    <xf numFmtId="0" fontId="114" fillId="0" borderId="0" xfId="10" applyFont="1" applyFill="1" applyBorder="1" applyAlignment="1" applyProtection="1">
      <alignment vertical="center"/>
      <protection locked="0"/>
    </xf>
    <xf numFmtId="0" fontId="121" fillId="0" borderId="0" xfId="10" applyFont="1" applyFill="1" applyBorder="1" applyAlignment="1" applyProtection="1">
      <alignment horizontal="center" vertical="center" wrapText="1"/>
      <protection locked="0"/>
    </xf>
    <xf numFmtId="0" fontId="114" fillId="0" borderId="0" xfId="10" applyFont="1" applyAlignment="1" applyProtection="1">
      <alignment vertical="center"/>
      <protection locked="0"/>
    </xf>
    <xf numFmtId="0" fontId="123" fillId="0" borderId="0" xfId="10" applyFont="1" applyFill="1" applyBorder="1" applyAlignment="1" applyProtection="1">
      <alignment horizontal="center" vertical="center"/>
      <protection locked="0"/>
    </xf>
    <xf numFmtId="0" fontId="114" fillId="0" borderId="0" xfId="10" applyFont="1" applyBorder="1" applyProtection="1">
      <protection locked="0"/>
    </xf>
    <xf numFmtId="0" fontId="121" fillId="0" borderId="0" xfId="10" applyFont="1" applyFill="1" applyBorder="1" applyAlignment="1" applyProtection="1">
      <alignment horizontal="left" vertical="center" wrapText="1"/>
      <protection locked="0"/>
    </xf>
    <xf numFmtId="0" fontId="118" fillId="0" borderId="0" xfId="10" applyFont="1" applyFill="1" applyProtection="1">
      <protection locked="0"/>
    </xf>
    <xf numFmtId="0" fontId="121" fillId="0" borderId="0" xfId="10" applyFont="1" applyBorder="1" applyAlignment="1" applyProtection="1">
      <alignment horizontal="center" vertical="center" wrapText="1"/>
      <protection locked="0"/>
    </xf>
    <xf numFmtId="0" fontId="118" fillId="12" borderId="0" xfId="10" applyFont="1" applyFill="1" applyBorder="1" applyProtection="1">
      <protection locked="0"/>
    </xf>
    <xf numFmtId="0" fontId="114" fillId="0" borderId="134" xfId="10" applyFont="1" applyBorder="1" applyProtection="1">
      <protection locked="0"/>
    </xf>
    <xf numFmtId="0" fontId="114" fillId="12" borderId="134" xfId="10" applyFont="1" applyFill="1" applyBorder="1" applyAlignment="1" applyProtection="1">
      <alignment horizontal="center"/>
      <protection locked="0"/>
    </xf>
    <xf numFmtId="8" fontId="114" fillId="12" borderId="134" xfId="10" applyNumberFormat="1" applyFont="1" applyFill="1" applyBorder="1" applyProtection="1">
      <protection locked="0"/>
    </xf>
    <xf numFmtId="0" fontId="114" fillId="12" borderId="0" xfId="10" applyFont="1" applyFill="1" applyBorder="1" applyProtection="1">
      <protection locked="0"/>
    </xf>
    <xf numFmtId="0" fontId="114" fillId="12" borderId="0" xfId="10" applyFont="1" applyFill="1" applyBorder="1" applyAlignment="1" applyProtection="1">
      <alignment horizontal="center"/>
      <protection locked="0"/>
    </xf>
    <xf numFmtId="8" fontId="114" fillId="12" borderId="0" xfId="10" applyNumberFormat="1" applyFont="1" applyFill="1" applyBorder="1" applyProtection="1">
      <protection locked="0"/>
    </xf>
    <xf numFmtId="166" fontId="114" fillId="12" borderId="0" xfId="10" applyNumberFormat="1" applyFont="1" applyFill="1" applyBorder="1" applyProtection="1"/>
    <xf numFmtId="0" fontId="118" fillId="0" borderId="0" xfId="10" applyFont="1" applyFill="1" applyBorder="1" applyProtection="1">
      <protection locked="0"/>
    </xf>
    <xf numFmtId="0" fontId="114" fillId="0" borderId="0" xfId="10" applyFont="1" applyFill="1" applyBorder="1" applyAlignment="1" applyProtection="1">
      <alignment horizontal="center"/>
      <protection locked="0"/>
    </xf>
    <xf numFmtId="8" fontId="114" fillId="0" borderId="0" xfId="10" applyNumberFormat="1" applyFont="1" applyFill="1" applyBorder="1" applyProtection="1">
      <protection locked="0"/>
    </xf>
    <xf numFmtId="166" fontId="114" fillId="0" borderId="0" xfId="10" applyNumberFormat="1" applyFont="1" applyFill="1" applyBorder="1" applyProtection="1"/>
    <xf numFmtId="0" fontId="120" fillId="12" borderId="0" xfId="10" applyFont="1" applyFill="1" applyBorder="1" applyProtection="1">
      <protection locked="0"/>
    </xf>
    <xf numFmtId="166" fontId="113" fillId="12" borderId="0" xfId="10" applyNumberFormat="1" applyFont="1" applyFill="1" applyBorder="1" applyProtection="1">
      <protection locked="0"/>
    </xf>
    <xf numFmtId="0" fontId="114" fillId="4" borderId="143" xfId="10" applyFont="1" applyFill="1" applyBorder="1" applyProtection="1">
      <protection locked="0"/>
    </xf>
    <xf numFmtId="0" fontId="114" fillId="12" borderId="143" xfId="10" applyFont="1" applyFill="1" applyBorder="1" applyAlignment="1" applyProtection="1">
      <alignment horizontal="center"/>
      <protection locked="0"/>
    </xf>
    <xf numFmtId="8" fontId="114" fillId="12" borderId="143" xfId="10" applyNumberFormat="1" applyFont="1" applyFill="1" applyBorder="1" applyProtection="1">
      <protection locked="0"/>
    </xf>
    <xf numFmtId="0" fontId="114" fillId="4" borderId="146" xfId="10" applyFont="1" applyFill="1" applyBorder="1" applyProtection="1">
      <protection locked="0"/>
    </xf>
    <xf numFmtId="0" fontId="114" fillId="12" borderId="146" xfId="10" applyFont="1" applyFill="1" applyBorder="1" applyAlignment="1" applyProtection="1">
      <alignment horizontal="center"/>
      <protection locked="0"/>
    </xf>
    <xf numFmtId="8" fontId="114" fillId="12" borderId="146" xfId="10" applyNumberFormat="1" applyFont="1" applyFill="1" applyBorder="1" applyProtection="1">
      <protection locked="0"/>
    </xf>
    <xf numFmtId="0" fontId="114" fillId="4" borderId="152" xfId="10" applyFont="1" applyFill="1" applyBorder="1" applyProtection="1">
      <protection locked="0"/>
    </xf>
    <xf numFmtId="0" fontId="114" fillId="12" borderId="152" xfId="10" applyFont="1" applyFill="1" applyBorder="1" applyAlignment="1" applyProtection="1">
      <alignment horizontal="center"/>
      <protection locked="0"/>
    </xf>
    <xf numFmtId="8" fontId="114" fillId="12" borderId="152" xfId="10" applyNumberFormat="1" applyFont="1" applyFill="1" applyBorder="1" applyProtection="1">
      <protection locked="0"/>
    </xf>
    <xf numFmtId="0" fontId="114" fillId="4" borderId="139" xfId="10" applyFont="1" applyFill="1" applyBorder="1" applyProtection="1">
      <protection locked="0"/>
    </xf>
    <xf numFmtId="0" fontId="114" fillId="12" borderId="132" xfId="10" applyFont="1" applyFill="1" applyBorder="1" applyAlignment="1" applyProtection="1">
      <alignment horizontal="center"/>
      <protection locked="0"/>
    </xf>
    <xf numFmtId="0" fontId="114" fillId="4" borderId="132" xfId="10" applyFont="1" applyFill="1" applyBorder="1" applyAlignment="1" applyProtection="1">
      <alignment horizontal="center"/>
      <protection locked="0"/>
    </xf>
    <xf numFmtId="0" fontId="127" fillId="12" borderId="138" xfId="10" applyFont="1" applyFill="1" applyBorder="1" applyAlignment="1" applyProtection="1">
      <alignment horizontal="center"/>
      <protection locked="0"/>
    </xf>
    <xf numFmtId="8" fontId="130" fillId="12" borderId="0" xfId="10" applyNumberFormat="1" applyFont="1" applyFill="1" applyBorder="1" applyAlignment="1" applyProtection="1">
      <alignment horizontal="right" vertical="center"/>
      <protection locked="0"/>
    </xf>
    <xf numFmtId="0" fontId="114" fillId="0" borderId="138" xfId="10" applyFont="1" applyBorder="1" applyProtection="1">
      <protection locked="0"/>
    </xf>
    <xf numFmtId="0" fontId="116" fillId="12" borderId="0" xfId="10" applyFont="1" applyFill="1" applyBorder="1" applyAlignment="1" applyProtection="1">
      <protection locked="0"/>
    </xf>
    <xf numFmtId="0" fontId="120" fillId="17" borderId="159" xfId="10" applyFont="1" applyFill="1" applyBorder="1" applyAlignment="1" applyProtection="1">
      <alignment horizontal="left" vertical="center"/>
      <protection locked="0"/>
    </xf>
    <xf numFmtId="0" fontId="120" fillId="17" borderId="160" xfId="10" applyFont="1" applyFill="1" applyBorder="1" applyAlignment="1" applyProtection="1">
      <alignment horizontal="left" vertical="center"/>
      <protection locked="0"/>
    </xf>
    <xf numFmtId="0" fontId="113" fillId="17" borderId="160" xfId="10" applyFont="1" applyFill="1" applyBorder="1" applyAlignment="1" applyProtection="1">
      <alignment vertical="center"/>
      <protection locked="0"/>
    </xf>
    <xf numFmtId="44" fontId="113" fillId="17" borderId="160" xfId="1" applyFont="1" applyFill="1" applyBorder="1" applyAlignment="1" applyProtection="1">
      <alignment vertical="center"/>
    </xf>
    <xf numFmtId="44" fontId="113" fillId="0" borderId="0" xfId="10" applyNumberFormat="1" applyFont="1" applyFill="1" applyBorder="1" applyProtection="1">
      <protection locked="0"/>
    </xf>
    <xf numFmtId="0" fontId="120" fillId="17" borderId="162" xfId="10" applyFont="1" applyFill="1" applyBorder="1" applyAlignment="1" applyProtection="1">
      <alignment horizontal="left" vertical="center"/>
      <protection locked="0"/>
    </xf>
    <xf numFmtId="0" fontId="120" fillId="17" borderId="0" xfId="10" applyFont="1" applyFill="1" applyBorder="1" applyAlignment="1" applyProtection="1">
      <alignment horizontal="left" vertical="center"/>
      <protection locked="0"/>
    </xf>
    <xf numFmtId="0" fontId="113" fillId="17" borderId="0" xfId="10" applyFont="1" applyFill="1" applyBorder="1" applyAlignment="1" applyProtection="1">
      <alignment vertical="center"/>
      <protection locked="0"/>
    </xf>
    <xf numFmtId="44" fontId="113" fillId="17" borderId="0" xfId="1" applyFont="1" applyFill="1" applyBorder="1" applyAlignment="1" applyProtection="1">
      <alignment vertical="center"/>
    </xf>
    <xf numFmtId="0" fontId="113" fillId="17" borderId="165" xfId="10" applyFont="1" applyFill="1" applyBorder="1" applyProtection="1">
      <protection locked="0"/>
    </xf>
    <xf numFmtId="166" fontId="113" fillId="0" borderId="0" xfId="10" applyNumberFormat="1" applyFont="1" applyFill="1" applyBorder="1" applyProtection="1">
      <protection locked="0"/>
    </xf>
    <xf numFmtId="166" fontId="113" fillId="0" borderId="0" xfId="10" applyNumberFormat="1" applyFont="1" applyBorder="1" applyProtection="1">
      <protection locked="0"/>
    </xf>
    <xf numFmtId="0" fontId="113" fillId="0" borderId="141" xfId="10" applyFont="1" applyBorder="1" applyProtection="1">
      <protection locked="0"/>
    </xf>
    <xf numFmtId="0" fontId="122" fillId="12" borderId="0" xfId="10" applyFont="1" applyFill="1" applyBorder="1" applyProtection="1">
      <protection locked="0"/>
    </xf>
    <xf numFmtId="0" fontId="13" fillId="6" borderId="32" xfId="0" applyFont="1" applyFill="1" applyBorder="1" applyAlignment="1">
      <alignment horizontal="center"/>
    </xf>
    <xf numFmtId="0" fontId="7" fillId="6" borderId="4" xfId="0" applyFont="1" applyFill="1" applyBorder="1" applyAlignment="1"/>
    <xf numFmtId="166" fontId="26" fillId="16" borderId="6" xfId="0" applyNumberFormat="1" applyFont="1" applyFill="1" applyBorder="1" applyAlignment="1"/>
    <xf numFmtId="166" fontId="26" fillId="16" borderId="7" xfId="0" applyNumberFormat="1" applyFont="1" applyFill="1" applyBorder="1" applyAlignment="1"/>
    <xf numFmtId="9" fontId="26" fillId="16" borderId="12" xfId="2" applyFont="1" applyFill="1" applyBorder="1" applyAlignment="1"/>
    <xf numFmtId="166" fontId="26" fillId="16" borderId="13" xfId="0" applyNumberFormat="1" applyFont="1" applyFill="1" applyBorder="1" applyAlignment="1"/>
    <xf numFmtId="166" fontId="26" fillId="16" borderId="12" xfId="0" applyNumberFormat="1" applyFont="1" applyFill="1" applyBorder="1" applyAlignment="1"/>
    <xf numFmtId="166" fontId="26" fillId="16" borderId="8" xfId="0" applyNumberFormat="1" applyFont="1" applyFill="1" applyBorder="1" applyAlignment="1"/>
    <xf numFmtId="166" fontId="26" fillId="16" borderId="9" xfId="0" applyNumberFormat="1" applyFont="1" applyFill="1" applyBorder="1" applyAlignment="1"/>
    <xf numFmtId="0" fontId="8" fillId="16" borderId="8" xfId="10" applyFont="1" applyFill="1" applyBorder="1" applyAlignment="1" applyProtection="1">
      <alignment horizontal="left" vertical="center"/>
      <protection locked="0"/>
    </xf>
    <xf numFmtId="44" fontId="1" fillId="0" borderId="4" xfId="1" applyFont="1" applyFill="1" applyBorder="1" applyAlignment="1" applyProtection="1">
      <alignment vertical="center"/>
    </xf>
    <xf numFmtId="0" fontId="8" fillId="16" borderId="17" xfId="10" applyFont="1" applyFill="1" applyBorder="1" applyAlignment="1" applyProtection="1">
      <alignment horizontal="left" vertical="center"/>
      <protection locked="0"/>
    </xf>
    <xf numFmtId="0" fontId="88" fillId="16" borderId="25" xfId="10" applyFont="1" applyFill="1" applyBorder="1" applyAlignment="1" applyProtection="1">
      <alignment horizontal="left" vertical="center"/>
      <protection locked="0"/>
    </xf>
    <xf numFmtId="0" fontId="1" fillId="16" borderId="25" xfId="10" applyFont="1" applyFill="1" applyBorder="1" applyAlignment="1" applyProtection="1">
      <alignment vertical="center"/>
      <protection locked="0"/>
    </xf>
    <xf numFmtId="44" fontId="1" fillId="0" borderId="25" xfId="1" applyFont="1" applyFill="1" applyBorder="1" applyAlignment="1" applyProtection="1">
      <alignment vertical="center"/>
    </xf>
    <xf numFmtId="0" fontId="55" fillId="16" borderId="25" xfId="0" applyFont="1" applyFill="1" applyBorder="1"/>
    <xf numFmtId="0" fontId="55" fillId="16" borderId="25" xfId="0" applyFont="1" applyFill="1" applyBorder="1" applyProtection="1">
      <protection locked="0"/>
    </xf>
    <xf numFmtId="0" fontId="55" fillId="16" borderId="19" xfId="0" applyFont="1" applyFill="1" applyBorder="1" applyProtection="1">
      <protection locked="0"/>
    </xf>
    <xf numFmtId="10" fontId="103" fillId="16" borderId="25" xfId="2" applyNumberFormat="1" applyFont="1" applyFill="1" applyBorder="1" applyAlignment="1" applyProtection="1">
      <alignment horizontal="left" vertical="center"/>
      <protection locked="0"/>
    </xf>
    <xf numFmtId="10" fontId="103" fillId="16" borderId="4" xfId="2" applyNumberFormat="1" applyFont="1" applyFill="1" applyBorder="1" applyAlignment="1" applyProtection="1">
      <alignment horizontal="left" vertical="center"/>
      <protection locked="0"/>
    </xf>
    <xf numFmtId="10" fontId="75" fillId="16" borderId="25" xfId="2" applyNumberFormat="1" applyFont="1" applyFill="1" applyBorder="1" applyAlignment="1">
      <alignment horizontal="left" vertical="center"/>
    </xf>
    <xf numFmtId="10" fontId="75" fillId="16" borderId="4" xfId="2" applyNumberFormat="1" applyFont="1" applyFill="1" applyBorder="1" applyAlignment="1">
      <alignment horizontal="left" vertical="center"/>
    </xf>
    <xf numFmtId="49" fontId="0" fillId="4" borderId="0" xfId="0" applyNumberFormat="1" applyFont="1" applyFill="1" applyBorder="1" applyAlignment="1">
      <alignment horizontal="center"/>
    </xf>
    <xf numFmtId="44" fontId="0" fillId="4" borderId="0" xfId="1" applyFont="1" applyFill="1" applyBorder="1" applyAlignment="1"/>
    <xf numFmtId="44" fontId="114" fillId="0" borderId="0" xfId="1" applyFont="1" applyFill="1" applyProtection="1">
      <protection locked="0"/>
    </xf>
    <xf numFmtId="0" fontId="114" fillId="0" borderId="0" xfId="10" applyFont="1" applyFill="1" applyAlignment="1" applyProtection="1">
      <alignment horizontal="right"/>
      <protection locked="0"/>
    </xf>
    <xf numFmtId="9" fontId="114" fillId="4" borderId="0" xfId="2" applyFont="1" applyFill="1" applyProtection="1">
      <protection locked="0"/>
    </xf>
    <xf numFmtId="44" fontId="114" fillId="0" borderId="0" xfId="10" applyNumberFormat="1" applyFont="1" applyProtection="1">
      <protection locked="0"/>
    </xf>
    <xf numFmtId="44" fontId="136" fillId="0" borderId="0" xfId="10" applyNumberFormat="1" applyFont="1" applyProtection="1">
      <protection locked="0"/>
    </xf>
    <xf numFmtId="44" fontId="136" fillId="0" borderId="0" xfId="1" applyFont="1" applyFill="1" applyProtection="1">
      <protection locked="0"/>
    </xf>
    <xf numFmtId="0" fontId="118" fillId="0" borderId="0" xfId="10" applyFont="1" applyFill="1" applyAlignment="1" applyProtection="1">
      <alignment horizontal="right"/>
      <protection locked="0"/>
    </xf>
    <xf numFmtId="3" fontId="16" fillId="0" borderId="0" xfId="0" applyNumberFormat="1" applyFont="1" applyBorder="1" applyAlignment="1">
      <alignment horizontal="right" wrapText="1"/>
    </xf>
    <xf numFmtId="0" fontId="137" fillId="0" borderId="0" xfId="0" applyFont="1" applyBorder="1" applyAlignment="1">
      <alignment horizontal="right" wrapText="1"/>
    </xf>
    <xf numFmtId="0" fontId="16" fillId="0" borderId="0" xfId="0" applyFont="1" applyBorder="1" applyAlignment="1">
      <alignment horizontal="right" wrapText="1"/>
    </xf>
    <xf numFmtId="0" fontId="16" fillId="0" borderId="0" xfId="0" applyFont="1" applyAlignment="1">
      <alignment horizontal="right" vertical="top"/>
    </xf>
    <xf numFmtId="0" fontId="16" fillId="0" borderId="0" xfId="0" applyFont="1" applyBorder="1" applyAlignment="1">
      <alignment horizontal="right" vertical="top"/>
    </xf>
    <xf numFmtId="0" fontId="16" fillId="0" borderId="0" xfId="0" applyFont="1" applyAlignment="1">
      <alignment wrapText="1"/>
    </xf>
    <xf numFmtId="0" fontId="137" fillId="0" borderId="0" xfId="0" applyFont="1" applyAlignment="1">
      <alignment horizontal="right" wrapText="1"/>
    </xf>
    <xf numFmtId="0" fontId="139" fillId="0" borderId="0" xfId="12" applyAlignment="1" applyProtection="1">
      <alignment wrapText="1"/>
    </xf>
    <xf numFmtId="167" fontId="0" fillId="20" borderId="0" xfId="0" applyNumberFormat="1" applyFill="1" applyBorder="1"/>
    <xf numFmtId="0" fontId="0" fillId="0" borderId="5" xfId="0" applyBorder="1"/>
    <xf numFmtId="44" fontId="0" fillId="0" borderId="5" xfId="1" applyFont="1" applyBorder="1"/>
    <xf numFmtId="0" fontId="0" fillId="0" borderId="5" xfId="0" applyBorder="1" applyAlignment="1">
      <alignment horizontal="right"/>
    </xf>
    <xf numFmtId="0" fontId="0" fillId="4" borderId="5" xfId="0" applyFill="1" applyBorder="1"/>
    <xf numFmtId="0" fontId="114" fillId="23" borderId="138" xfId="10" applyFont="1" applyFill="1" applyBorder="1" applyProtection="1">
      <protection locked="0"/>
    </xf>
    <xf numFmtId="0" fontId="114" fillId="23" borderId="138" xfId="10" applyFont="1" applyFill="1" applyBorder="1" applyAlignment="1" applyProtection="1">
      <alignment horizontal="center"/>
      <protection locked="0"/>
    </xf>
    <xf numFmtId="8" fontId="114" fillId="23" borderId="138" xfId="10" applyNumberFormat="1" applyFont="1" applyFill="1" applyBorder="1" applyProtection="1">
      <protection locked="0"/>
    </xf>
    <xf numFmtId="8" fontId="114" fillId="23" borderId="138" xfId="10" applyNumberFormat="1" applyFont="1" applyFill="1" applyBorder="1" applyProtection="1"/>
    <xf numFmtId="8" fontId="142" fillId="24" borderId="138" xfId="10" applyNumberFormat="1" applyFont="1" applyFill="1" applyBorder="1" applyProtection="1">
      <protection locked="0"/>
    </xf>
    <xf numFmtId="0" fontId="0" fillId="0" borderId="5" xfId="0" applyBorder="1" applyAlignment="1">
      <alignment horizontal="center"/>
    </xf>
    <xf numFmtId="0" fontId="0" fillId="0" borderId="6" xfId="0" applyBorder="1"/>
    <xf numFmtId="0" fontId="0" fillId="0" borderId="32" xfId="0" applyBorder="1"/>
    <xf numFmtId="0" fontId="0" fillId="0" borderId="12" xfId="0" applyFont="1" applyBorder="1" applyAlignment="1">
      <alignment horizontal="right"/>
    </xf>
    <xf numFmtId="0" fontId="0" fillId="0" borderId="7" xfId="0" applyFont="1" applyFill="1" applyBorder="1" applyAlignment="1"/>
    <xf numFmtId="0" fontId="0" fillId="0" borderId="13" xfId="0" applyFont="1" applyFill="1" applyBorder="1" applyAlignment="1"/>
    <xf numFmtId="0" fontId="0" fillId="0" borderId="0" xfId="0" applyFont="1" applyBorder="1" applyAlignment="1">
      <alignment horizontal="center"/>
    </xf>
    <xf numFmtId="44" fontId="0" fillId="0" borderId="0" xfId="1" applyFont="1" applyBorder="1" applyAlignment="1">
      <alignment horizontal="center"/>
    </xf>
    <xf numFmtId="0" fontId="0" fillId="0" borderId="13" xfId="0" applyFont="1" applyBorder="1" applyAlignment="1">
      <alignment horizontal="center"/>
    </xf>
    <xf numFmtId="0" fontId="0" fillId="0" borderId="12" xfId="0" applyBorder="1"/>
    <xf numFmtId="0" fontId="0" fillId="0" borderId="0" xfId="0" applyFont="1" applyBorder="1"/>
    <xf numFmtId="0" fontId="7" fillId="3" borderId="8" xfId="0" applyFont="1" applyFill="1" applyBorder="1" applyAlignment="1">
      <alignment horizontal="center" vertical="center"/>
    </xf>
    <xf numFmtId="44" fontId="7" fillId="3" borderId="9" xfId="1" applyFont="1" applyFill="1" applyBorder="1" applyAlignment="1">
      <alignment horizontal="center" vertical="center"/>
    </xf>
    <xf numFmtId="0" fontId="0" fillId="0" borderId="12" xfId="0" applyFont="1" applyBorder="1" applyAlignment="1">
      <alignment horizontal="center" vertical="center"/>
    </xf>
    <xf numFmtId="44" fontId="0" fillId="9" borderId="13" xfId="1" applyFont="1" applyFill="1" applyBorder="1" applyAlignment="1">
      <alignment horizontal="center"/>
    </xf>
    <xf numFmtId="0" fontId="0" fillId="0" borderId="183" xfId="0" applyFont="1" applyBorder="1" applyAlignment="1">
      <alignment horizontal="center" vertical="center"/>
    </xf>
    <xf numFmtId="0" fontId="0" fillId="9" borderId="28" xfId="1" applyNumberFormat="1" applyFont="1" applyFill="1" applyBorder="1" applyAlignment="1">
      <alignment horizontal="center"/>
    </xf>
    <xf numFmtId="0" fontId="0" fillId="0" borderId="12" xfId="0" applyFont="1" applyBorder="1"/>
    <xf numFmtId="44" fontId="0" fillId="0" borderId="13" xfId="1" applyFont="1" applyBorder="1" applyAlignment="1">
      <alignment horizontal="center"/>
    </xf>
    <xf numFmtId="0" fontId="0" fillId="4" borderId="13" xfId="0" applyFont="1" applyFill="1" applyBorder="1" applyAlignment="1">
      <alignment horizontal="center"/>
    </xf>
    <xf numFmtId="44" fontId="0" fillId="0" borderId="28" xfId="1" applyFont="1" applyBorder="1" applyAlignment="1">
      <alignment horizontal="center"/>
    </xf>
    <xf numFmtId="44" fontId="0" fillId="4" borderId="13" xfId="1" applyFont="1" applyFill="1" applyBorder="1" applyAlignment="1">
      <alignment horizontal="center"/>
    </xf>
    <xf numFmtId="0" fontId="0" fillId="0" borderId="13" xfId="0" applyFont="1" applyFill="1" applyBorder="1" applyAlignment="1">
      <alignment horizontal="center"/>
    </xf>
    <xf numFmtId="0" fontId="0" fillId="0" borderId="8" xfId="0" applyFont="1" applyBorder="1"/>
    <xf numFmtId="44" fontId="9" fillId="0" borderId="13" xfId="0" applyNumberFormat="1" applyFont="1" applyBorder="1" applyAlignment="1">
      <alignment horizontal="center"/>
    </xf>
    <xf numFmtId="0" fontId="0" fillId="0" borderId="12" xfId="0" applyFont="1" applyFill="1" applyBorder="1"/>
    <xf numFmtId="44" fontId="0" fillId="0" borderId="0" xfId="1" applyFont="1" applyFill="1" applyBorder="1" applyAlignment="1">
      <alignment horizontal="center"/>
    </xf>
    <xf numFmtId="0" fontId="0" fillId="0" borderId="13" xfId="0" applyFill="1" applyBorder="1" applyAlignment="1">
      <alignment horizontal="center"/>
    </xf>
    <xf numFmtId="0" fontId="43" fillId="0" borderId="13" xfId="0" applyFont="1" applyFill="1" applyBorder="1" applyAlignment="1">
      <alignment horizontal="right"/>
    </xf>
    <xf numFmtId="0" fontId="10" fillId="4" borderId="185" xfId="0" applyFont="1" applyFill="1" applyBorder="1" applyAlignment="1" applyProtection="1">
      <protection locked="0"/>
    </xf>
    <xf numFmtId="0" fontId="10" fillId="0" borderId="12" xfId="0" applyFont="1" applyFill="1" applyBorder="1" applyAlignment="1" applyProtection="1">
      <protection locked="0"/>
    </xf>
    <xf numFmtId="0" fontId="10" fillId="0" borderId="12" xfId="0" applyFont="1" applyFill="1" applyBorder="1" applyAlignment="1"/>
    <xf numFmtId="0" fontId="10" fillId="0" borderId="186" xfId="0" applyFont="1" applyFill="1" applyBorder="1" applyAlignment="1"/>
    <xf numFmtId="0" fontId="10" fillId="0" borderId="185" xfId="0" applyFont="1" applyFill="1" applyBorder="1" applyAlignment="1" applyProtection="1">
      <protection locked="0"/>
    </xf>
    <xf numFmtId="0" fontId="10" fillId="0" borderId="12" xfId="0" applyNumberFormat="1" applyFont="1" applyFill="1" applyBorder="1" applyAlignment="1" applyProtection="1">
      <protection locked="0"/>
    </xf>
    <xf numFmtId="0" fontId="0" fillId="0" borderId="7" xfId="0" applyBorder="1"/>
    <xf numFmtId="0" fontId="0" fillId="0" borderId="0" xfId="0" applyBorder="1"/>
    <xf numFmtId="0" fontId="0" fillId="0" borderId="13" xfId="0" applyBorder="1"/>
    <xf numFmtId="0" fontId="0" fillId="0" borderId="0" xfId="0" applyBorder="1" applyAlignment="1">
      <alignment horizontal="center"/>
    </xf>
    <xf numFmtId="0" fontId="0" fillId="0" borderId="13" xfId="0" applyBorder="1" applyAlignment="1">
      <alignment horizontal="center"/>
    </xf>
    <xf numFmtId="0" fontId="7" fillId="0" borderId="8" xfId="0" applyFont="1" applyBorder="1" applyAlignment="1"/>
    <xf numFmtId="0" fontId="7" fillId="0" borderId="4" xfId="0" applyFont="1" applyBorder="1" applyAlignment="1"/>
    <xf numFmtId="7" fontId="7" fillId="0" borderId="4" xfId="0" applyNumberFormat="1" applyFont="1" applyBorder="1" applyAlignment="1"/>
    <xf numFmtId="168" fontId="7" fillId="0" borderId="4" xfId="0" applyNumberFormat="1" applyFont="1" applyBorder="1" applyAlignment="1">
      <alignment horizontal="left"/>
    </xf>
    <xf numFmtId="0" fontId="7" fillId="0" borderId="9" xfId="0" applyFont="1" applyBorder="1" applyAlignment="1"/>
    <xf numFmtId="0" fontId="0" fillId="0" borderId="0" xfId="0" applyBorder="1" applyAlignment="1">
      <alignment horizontal="right" vertical="center"/>
    </xf>
    <xf numFmtId="9" fontId="0" fillId="4" borderId="0" xfId="2" applyFont="1" applyFill="1" applyBorder="1"/>
    <xf numFmtId="0" fontId="0" fillId="0" borderId="0" xfId="0" applyBorder="1" applyAlignment="1">
      <alignment horizontal="right"/>
    </xf>
    <xf numFmtId="0" fontId="7" fillId="0" borderId="183" xfId="0" applyFont="1" applyBorder="1"/>
    <xf numFmtId="0" fontId="0" fillId="0" borderId="28" xfId="0" applyBorder="1"/>
    <xf numFmtId="44" fontId="0" fillId="0" borderId="0" xfId="1" applyFont="1" applyBorder="1"/>
    <xf numFmtId="0" fontId="0" fillId="0" borderId="183" xfId="0" applyBorder="1"/>
    <xf numFmtId="0" fontId="0" fillId="0" borderId="8" xfId="0" applyBorder="1"/>
    <xf numFmtId="0" fontId="0" fillId="0" borderId="4" xfId="0" applyBorder="1"/>
    <xf numFmtId="0" fontId="0" fillId="0" borderId="9" xfId="0" applyBorder="1"/>
    <xf numFmtId="0" fontId="0" fillId="20" borderId="12" xfId="0" applyFill="1" applyBorder="1"/>
    <xf numFmtId="0" fontId="140" fillId="0" borderId="0" xfId="0" applyFont="1" applyBorder="1"/>
    <xf numFmtId="0" fontId="16" fillId="0" borderId="0" xfId="0" applyFont="1" applyBorder="1"/>
    <xf numFmtId="0" fontId="137" fillId="0" borderId="13" xfId="0" applyFont="1" applyBorder="1" applyAlignment="1">
      <alignment horizontal="right" wrapText="1"/>
    </xf>
    <xf numFmtId="0" fontId="7" fillId="0" borderId="0" xfId="0" applyFont="1" applyBorder="1" applyAlignment="1">
      <alignment horizontal="center"/>
    </xf>
    <xf numFmtId="167" fontId="138" fillId="20" borderId="0" xfId="0" applyNumberFormat="1" applyFont="1" applyFill="1" applyBorder="1" applyAlignment="1">
      <alignment horizontal="center"/>
    </xf>
    <xf numFmtId="0" fontId="0" fillId="20" borderId="0" xfId="0" applyFill="1" applyBorder="1" applyAlignment="1">
      <alignment horizontal="center"/>
    </xf>
    <xf numFmtId="167" fontId="0" fillId="0" borderId="0" xfId="0" applyNumberFormat="1" applyBorder="1" applyAlignment="1">
      <alignment horizontal="center"/>
    </xf>
    <xf numFmtId="167" fontId="0" fillId="0" borderId="0" xfId="0" applyNumberFormat="1" applyBorder="1"/>
    <xf numFmtId="167" fontId="15" fillId="22" borderId="0" xfId="0" applyNumberFormat="1" applyFont="1" applyFill="1" applyBorder="1" applyAlignment="1">
      <alignment horizontal="center"/>
    </xf>
    <xf numFmtId="167" fontId="0" fillId="8" borderId="0" xfId="0" applyNumberFormat="1" applyFill="1" applyBorder="1" applyAlignment="1">
      <alignment horizontal="center"/>
    </xf>
    <xf numFmtId="0" fontId="7" fillId="0" borderId="12" xfId="0" applyFont="1" applyBorder="1"/>
    <xf numFmtId="167" fontId="15" fillId="22" borderId="0" xfId="0" applyNumberFormat="1" applyFont="1" applyFill="1" applyBorder="1"/>
    <xf numFmtId="10" fontId="7" fillId="0" borderId="0" xfId="0" applyNumberFormat="1" applyFont="1" applyBorder="1"/>
    <xf numFmtId="0" fontId="75" fillId="0" borderId="0" xfId="0" applyFont="1" applyBorder="1"/>
    <xf numFmtId="0" fontId="5" fillId="0" borderId="0" xfId="0" applyFont="1" applyBorder="1"/>
    <xf numFmtId="167" fontId="5" fillId="0" borderId="0" xfId="0" applyNumberFormat="1" applyFont="1" applyBorder="1"/>
    <xf numFmtId="167" fontId="0" fillId="20" borderId="0" xfId="0" applyNumberFormat="1" applyFill="1" applyBorder="1" applyAlignment="1">
      <alignment horizontal="center"/>
    </xf>
    <xf numFmtId="0" fontId="0" fillId="21" borderId="12" xfId="0" applyFill="1" applyBorder="1"/>
    <xf numFmtId="167" fontId="0" fillId="21" borderId="0" xfId="0" applyNumberFormat="1" applyFill="1" applyBorder="1"/>
    <xf numFmtId="0" fontId="13" fillId="6" borderId="12" xfId="0" applyFont="1" applyFill="1" applyBorder="1"/>
    <xf numFmtId="167" fontId="13" fillId="6" borderId="0" xfId="0" applyNumberFormat="1" applyFont="1" applyFill="1" applyBorder="1"/>
    <xf numFmtId="0" fontId="7" fillId="0" borderId="12" xfId="0" applyFont="1" applyBorder="1" applyAlignment="1">
      <alignment horizontal="center"/>
    </xf>
    <xf numFmtId="167" fontId="0" fillId="20" borderId="12" xfId="0" applyNumberFormat="1" applyFill="1" applyBorder="1" applyAlignment="1">
      <alignment horizontal="center"/>
    </xf>
    <xf numFmtId="8" fontId="0" fillId="20" borderId="0" xfId="0" applyNumberFormat="1" applyFill="1" applyBorder="1" applyAlignment="1">
      <alignment horizontal="center"/>
    </xf>
    <xf numFmtId="49" fontId="0" fillId="20" borderId="0" xfId="0" applyNumberFormat="1" applyFill="1" applyBorder="1" applyAlignment="1">
      <alignment horizontal="center"/>
    </xf>
    <xf numFmtId="7" fontId="0" fillId="20" borderId="0" xfId="0" applyNumberFormat="1" applyFill="1" applyBorder="1" applyAlignment="1">
      <alignment horizontal="center"/>
    </xf>
    <xf numFmtId="0" fontId="0" fillId="0" borderId="12" xfId="0" applyBorder="1" applyAlignment="1">
      <alignment horizontal="center" vertical="center" wrapText="1"/>
    </xf>
    <xf numFmtId="8"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7" fontId="7" fillId="0" borderId="0" xfId="0" applyNumberFormat="1" applyFont="1" applyBorder="1" applyAlignment="1">
      <alignment horizontal="center" vertical="center"/>
    </xf>
    <xf numFmtId="0" fontId="0" fillId="0" borderId="12" xfId="0" applyBorder="1" applyAlignment="1">
      <alignment horizontal="center"/>
    </xf>
    <xf numFmtId="8" fontId="0" fillId="0" borderId="0" xfId="0" applyNumberFormat="1" applyBorder="1" applyAlignment="1">
      <alignment horizontal="center"/>
    </xf>
    <xf numFmtId="7" fontId="7" fillId="8" borderId="0" xfId="0" applyNumberFormat="1" applyFont="1" applyFill="1" applyBorder="1" applyAlignment="1">
      <alignment horizontal="center"/>
    </xf>
    <xf numFmtId="0" fontId="113" fillId="0" borderId="6" xfId="10" applyFont="1" applyBorder="1" applyProtection="1">
      <protection locked="0"/>
    </xf>
    <xf numFmtId="0" fontId="113" fillId="12" borderId="32" xfId="10" applyFont="1" applyFill="1" applyBorder="1" applyProtection="1">
      <protection locked="0"/>
    </xf>
    <xf numFmtId="0" fontId="113" fillId="12" borderId="7" xfId="10" applyFont="1" applyFill="1" applyBorder="1" applyProtection="1">
      <protection locked="0"/>
    </xf>
    <xf numFmtId="0" fontId="113" fillId="0" borderId="12" xfId="10" applyFont="1" applyBorder="1" applyProtection="1">
      <protection locked="0"/>
    </xf>
    <xf numFmtId="164" fontId="115" fillId="12" borderId="187" xfId="10" applyNumberFormat="1" applyFont="1" applyFill="1" applyBorder="1" applyAlignment="1" applyProtection="1">
      <alignment horizontal="left"/>
      <protection locked="0"/>
    </xf>
    <xf numFmtId="0" fontId="113" fillId="0" borderId="12" xfId="10" applyFont="1" applyBorder="1" applyAlignment="1" applyProtection="1">
      <alignment vertical="center"/>
      <protection locked="0"/>
    </xf>
    <xf numFmtId="0" fontId="113" fillId="12" borderId="188" xfId="10" applyFont="1" applyFill="1" applyBorder="1" applyAlignment="1" applyProtection="1">
      <alignment vertical="top"/>
    </xf>
    <xf numFmtId="0" fontId="113" fillId="0" borderId="12" xfId="10" applyFont="1" applyBorder="1" applyAlignment="1" applyProtection="1">
      <alignment vertical="top"/>
      <protection locked="0"/>
    </xf>
    <xf numFmtId="0" fontId="113" fillId="12" borderId="187" xfId="10" applyFont="1" applyFill="1" applyBorder="1" applyAlignment="1" applyProtection="1">
      <alignment vertical="top"/>
    </xf>
    <xf numFmtId="0" fontId="114" fillId="0" borderId="12" xfId="10" applyFont="1" applyBorder="1" applyProtection="1">
      <protection locked="0"/>
    </xf>
    <xf numFmtId="166" fontId="118" fillId="17" borderId="13" xfId="10" applyNumberFormat="1" applyFont="1" applyFill="1" applyBorder="1" applyAlignment="1" applyProtection="1">
      <alignment horizontal="center" vertical="center" wrapText="1"/>
      <protection locked="0"/>
    </xf>
    <xf numFmtId="166" fontId="114" fillId="12" borderId="189" xfId="10" applyNumberFormat="1" applyFont="1" applyFill="1" applyBorder="1" applyProtection="1"/>
    <xf numFmtId="0" fontId="114" fillId="0" borderId="12" xfId="10" applyFont="1" applyBorder="1" applyAlignment="1" applyProtection="1">
      <alignment vertical="center"/>
      <protection locked="0"/>
    </xf>
    <xf numFmtId="166" fontId="114" fillId="12" borderId="188" xfId="10" applyNumberFormat="1" applyFont="1" applyFill="1" applyBorder="1" applyProtection="1"/>
    <xf numFmtId="0" fontId="114" fillId="0" borderId="8" xfId="10" applyFont="1" applyBorder="1" applyProtection="1">
      <protection locked="0"/>
    </xf>
    <xf numFmtId="0" fontId="118" fillId="12" borderId="4" xfId="10" applyFont="1" applyFill="1" applyBorder="1" applyProtection="1">
      <protection locked="0"/>
    </xf>
    <xf numFmtId="0" fontId="114" fillId="0" borderId="4" xfId="10" applyFont="1" applyBorder="1" applyProtection="1">
      <protection locked="0"/>
    </xf>
    <xf numFmtId="0" fontId="114" fillId="12" borderId="4" xfId="10" applyFont="1" applyFill="1" applyBorder="1" applyProtection="1">
      <protection locked="0"/>
    </xf>
    <xf numFmtId="0" fontId="114" fillId="12" borderId="4" xfId="10" applyFont="1" applyFill="1" applyBorder="1" applyAlignment="1" applyProtection="1">
      <alignment horizontal="center"/>
      <protection locked="0"/>
    </xf>
    <xf numFmtId="8" fontId="114" fillId="12" borderId="4" xfId="10" applyNumberFormat="1" applyFont="1" applyFill="1" applyBorder="1" applyProtection="1">
      <protection locked="0"/>
    </xf>
    <xf numFmtId="166" fontId="114" fillId="12" borderId="9" xfId="10" applyNumberFormat="1" applyFont="1" applyFill="1" applyBorder="1" applyProtection="1"/>
    <xf numFmtId="0" fontId="113" fillId="0" borderId="13" xfId="10" applyFont="1" applyBorder="1" applyProtection="1">
      <protection locked="0"/>
    </xf>
    <xf numFmtId="0" fontId="122" fillId="12" borderId="13" xfId="10" applyFont="1" applyFill="1" applyBorder="1" applyProtection="1">
      <protection locked="0"/>
    </xf>
    <xf numFmtId="0" fontId="114" fillId="12" borderId="9" xfId="10" applyFont="1" applyFill="1" applyBorder="1" applyProtection="1">
      <protection locked="0"/>
    </xf>
    <xf numFmtId="0" fontId="114" fillId="0" borderId="6" xfId="10" applyFont="1" applyBorder="1" applyProtection="1">
      <protection locked="0"/>
    </xf>
    <xf numFmtId="0" fontId="114" fillId="12" borderId="32" xfId="10" applyFont="1" applyFill="1" applyBorder="1" applyProtection="1">
      <protection locked="0"/>
    </xf>
    <xf numFmtId="0" fontId="114" fillId="12" borderId="7" xfId="10" applyFont="1" applyFill="1" applyBorder="1" applyProtection="1">
      <protection locked="0"/>
    </xf>
    <xf numFmtId="0" fontId="114" fillId="12" borderId="13" xfId="10" applyFont="1" applyFill="1" applyBorder="1" applyProtection="1">
      <protection locked="0"/>
    </xf>
    <xf numFmtId="0" fontId="114" fillId="0" borderId="13" xfId="10" applyFont="1" applyFill="1" applyBorder="1" applyProtection="1">
      <protection locked="0"/>
    </xf>
    <xf numFmtId="166" fontId="114" fillId="12" borderId="191" xfId="10" applyNumberFormat="1" applyFont="1" applyFill="1" applyBorder="1" applyProtection="1"/>
    <xf numFmtId="166" fontId="114" fillId="12" borderId="192" xfId="10" applyNumberFormat="1" applyFont="1" applyFill="1" applyBorder="1" applyProtection="1"/>
    <xf numFmtId="166" fontId="114" fillId="12" borderId="193" xfId="10" applyNumberFormat="1" applyFont="1" applyFill="1" applyBorder="1" applyProtection="1"/>
    <xf numFmtId="0" fontId="114" fillId="12" borderId="190" xfId="10" applyFont="1" applyFill="1" applyBorder="1" applyAlignment="1" applyProtection="1">
      <alignment horizontal="center"/>
    </xf>
    <xf numFmtId="166" fontId="114" fillId="12" borderId="13" xfId="10" applyNumberFormat="1" applyFont="1" applyFill="1" applyBorder="1" applyProtection="1"/>
    <xf numFmtId="0" fontId="113" fillId="12" borderId="13" xfId="10" applyFont="1" applyFill="1" applyBorder="1" applyProtection="1">
      <protection locked="0"/>
    </xf>
    <xf numFmtId="166" fontId="114" fillId="23" borderId="189" xfId="10" applyNumberFormat="1" applyFont="1" applyFill="1" applyBorder="1" applyProtection="1"/>
    <xf numFmtId="0" fontId="116" fillId="12" borderId="13" xfId="10" applyFont="1" applyFill="1" applyBorder="1" applyAlignment="1" applyProtection="1">
      <protection locked="0"/>
    </xf>
    <xf numFmtId="0" fontId="113" fillId="0" borderId="8" xfId="10" applyFont="1" applyBorder="1" applyProtection="1">
      <protection locked="0"/>
    </xf>
    <xf numFmtId="0" fontId="113" fillId="12" borderId="4" xfId="10" applyFont="1" applyFill="1" applyBorder="1" applyProtection="1">
      <protection locked="0"/>
    </xf>
    <xf numFmtId="0" fontId="113" fillId="12" borderId="9" xfId="10" applyFont="1" applyFill="1" applyBorder="1" applyProtection="1">
      <protection locked="0"/>
    </xf>
    <xf numFmtId="0" fontId="112" fillId="12" borderId="32" xfId="10" applyFont="1" applyFill="1" applyBorder="1" applyAlignment="1" applyProtection="1">
      <alignment horizontal="left" vertical="center"/>
      <protection locked="0"/>
    </xf>
    <xf numFmtId="0" fontId="0" fillId="0" borderId="6" xfId="0" applyFont="1" applyBorder="1"/>
    <xf numFmtId="0" fontId="0" fillId="0" borderId="32" xfId="0" applyFont="1" applyBorder="1"/>
    <xf numFmtId="0" fontId="0" fillId="0" borderId="7" xfId="0" applyFont="1" applyBorder="1"/>
    <xf numFmtId="0" fontId="0" fillId="0" borderId="13" xfId="0" applyFont="1" applyBorder="1"/>
    <xf numFmtId="0" fontId="0" fillId="12" borderId="12" xfId="0" applyFont="1" applyFill="1" applyBorder="1"/>
    <xf numFmtId="0" fontId="0" fillId="12" borderId="13" xfId="0" applyFont="1" applyFill="1" applyBorder="1"/>
    <xf numFmtId="0" fontId="55" fillId="12" borderId="12" xfId="0" applyFont="1" applyFill="1" applyBorder="1" applyProtection="1">
      <protection locked="0"/>
    </xf>
    <xf numFmtId="0" fontId="55" fillId="12" borderId="13" xfId="0" applyFont="1" applyFill="1" applyBorder="1" applyProtection="1">
      <protection locked="0"/>
    </xf>
    <xf numFmtId="0" fontId="59" fillId="12" borderId="12" xfId="0" applyFont="1" applyFill="1" applyBorder="1" applyAlignment="1" applyProtection="1">
      <protection locked="0"/>
    </xf>
    <xf numFmtId="9" fontId="0" fillId="12" borderId="0" xfId="2" applyFont="1" applyFill="1" applyBorder="1" applyProtection="1">
      <protection locked="0"/>
    </xf>
    <xf numFmtId="44" fontId="0" fillId="12" borderId="0" xfId="0" applyNumberFormat="1" applyFont="1" applyFill="1" applyBorder="1" applyProtection="1">
      <protection locked="0"/>
    </xf>
    <xf numFmtId="0" fontId="56" fillId="12" borderId="12" xfId="0" applyFont="1" applyFill="1" applyBorder="1" applyAlignment="1" applyProtection="1">
      <protection locked="0"/>
    </xf>
    <xf numFmtId="0" fontId="58" fillId="12" borderId="12" xfId="0" applyFont="1" applyFill="1" applyBorder="1" applyAlignment="1" applyProtection="1">
      <protection locked="0"/>
    </xf>
    <xf numFmtId="44" fontId="81" fillId="12" borderId="0" xfId="1" applyFont="1" applyFill="1" applyBorder="1" applyProtection="1">
      <protection locked="0"/>
    </xf>
    <xf numFmtId="0" fontId="57" fillId="12" borderId="12" xfId="0" applyFont="1" applyFill="1" applyBorder="1" applyAlignment="1" applyProtection="1">
      <protection locked="0"/>
    </xf>
    <xf numFmtId="0" fontId="0" fillId="12" borderId="12" xfId="0" applyFont="1" applyFill="1" applyBorder="1" applyProtection="1">
      <protection locked="0"/>
    </xf>
    <xf numFmtId="0" fontId="55" fillId="12" borderId="0" xfId="0" applyFont="1" applyFill="1" applyBorder="1"/>
    <xf numFmtId="44" fontId="0" fillId="12" borderId="0" xfId="0" applyNumberFormat="1" applyFont="1" applyFill="1" applyBorder="1"/>
    <xf numFmtId="0" fontId="0" fillId="0" borderId="9" xfId="0" applyFont="1" applyBorder="1"/>
    <xf numFmtId="0" fontId="0" fillId="0" borderId="6" xfId="0" applyFill="1" applyBorder="1"/>
    <xf numFmtId="0" fontId="0" fillId="0" borderId="32" xfId="0" applyFill="1" applyBorder="1"/>
    <xf numFmtId="0" fontId="0" fillId="0" borderId="7" xfId="0" applyFill="1" applyBorder="1"/>
    <xf numFmtId="0" fontId="0" fillId="0" borderId="13" xfId="0" applyFill="1" applyBorder="1"/>
    <xf numFmtId="0" fontId="44" fillId="0" borderId="12" xfId="0" applyFont="1" applyFill="1" applyBorder="1" applyProtection="1">
      <protection locked="0"/>
    </xf>
    <xf numFmtId="0" fontId="44" fillId="0" borderId="13" xfId="0" applyFont="1" applyFill="1" applyBorder="1" applyProtection="1">
      <protection locked="0"/>
    </xf>
    <xf numFmtId="0" fontId="64" fillId="0" borderId="171" xfId="0" applyFont="1" applyFill="1" applyBorder="1" applyAlignment="1" applyProtection="1">
      <alignment horizontal="center"/>
      <protection locked="0"/>
    </xf>
    <xf numFmtId="0" fontId="44" fillId="0" borderId="13" xfId="0" applyFont="1" applyFill="1" applyBorder="1" applyAlignment="1" applyProtection="1">
      <protection locked="0"/>
    </xf>
    <xf numFmtId="0" fontId="44" fillId="0" borderId="13" xfId="0" applyFont="1" applyFill="1" applyBorder="1" applyAlignment="1" applyProtection="1">
      <alignment horizontal="left" indent="1"/>
      <protection locked="0"/>
    </xf>
    <xf numFmtId="167" fontId="44" fillId="0" borderId="28" xfId="0" applyNumberFormat="1" applyFont="1" applyFill="1" applyBorder="1" applyAlignment="1" applyProtection="1">
      <protection locked="0"/>
    </xf>
    <xf numFmtId="0" fontId="63" fillId="0" borderId="12" xfId="0" applyFont="1" applyFill="1" applyBorder="1" applyAlignment="1" applyProtection="1">
      <protection locked="0"/>
    </xf>
    <xf numFmtId="0" fontId="44" fillId="0" borderId="12" xfId="0" applyFont="1" applyFill="1" applyBorder="1" applyAlignment="1" applyProtection="1">
      <alignment horizontal="right" indent="2"/>
      <protection locked="0"/>
    </xf>
    <xf numFmtId="167" fontId="44" fillId="0" borderId="13" xfId="0" applyNumberFormat="1" applyFont="1" applyFill="1" applyBorder="1" applyProtection="1">
      <protection locked="0"/>
    </xf>
    <xf numFmtId="0" fontId="44" fillId="0" borderId="8" xfId="0" applyFont="1" applyFill="1" applyBorder="1" applyProtection="1">
      <protection locked="0"/>
    </xf>
    <xf numFmtId="0" fontId="44" fillId="0" borderId="4" xfId="0" applyFont="1" applyFill="1" applyBorder="1" applyAlignment="1" applyProtection="1">
      <alignment horizontal="left" indent="1"/>
      <protection locked="0"/>
    </xf>
    <xf numFmtId="0" fontId="44" fillId="0" borderId="4" xfId="0" applyFont="1" applyFill="1" applyBorder="1" applyProtection="1">
      <protection locked="0"/>
    </xf>
    <xf numFmtId="0" fontId="44" fillId="0" borderId="9" xfId="0" applyFont="1" applyFill="1" applyBorder="1" applyProtection="1">
      <protection locked="0"/>
    </xf>
    <xf numFmtId="0" fontId="38" fillId="9" borderId="17" xfId="5" applyFont="1" applyFill="1" applyBorder="1" applyAlignment="1">
      <alignment horizontal="center"/>
    </xf>
    <xf numFmtId="9" fontId="0" fillId="4" borderId="12" xfId="8" applyFont="1" applyFill="1" applyBorder="1"/>
    <xf numFmtId="0" fontId="40" fillId="0" borderId="12" xfId="5" applyFont="1" applyBorder="1" applyAlignment="1">
      <alignment horizontal="right"/>
    </xf>
    <xf numFmtId="0" fontId="38" fillId="9" borderId="26" xfId="5" applyFont="1" applyFill="1" applyBorder="1" applyAlignment="1">
      <alignment horizontal="right"/>
    </xf>
    <xf numFmtId="0" fontId="4" fillId="0" borderId="6" xfId="5" applyBorder="1"/>
    <xf numFmtId="0" fontId="4" fillId="0" borderId="32" xfId="5" applyBorder="1"/>
    <xf numFmtId="0" fontId="4" fillId="0" borderId="7" xfId="5" applyBorder="1"/>
    <xf numFmtId="0" fontId="4" fillId="0" borderId="12" xfId="5" applyBorder="1"/>
    <xf numFmtId="0" fontId="4" fillId="0" borderId="0" xfId="5" applyBorder="1"/>
    <xf numFmtId="0" fontId="4" fillId="0" borderId="13" xfId="5" applyBorder="1"/>
    <xf numFmtId="0" fontId="38" fillId="0" borderId="12" xfId="5" applyFont="1" applyBorder="1"/>
    <xf numFmtId="6" fontId="4" fillId="0" borderId="0" xfId="5" applyNumberFormat="1" applyBorder="1"/>
    <xf numFmtId="3" fontId="4" fillId="0" borderId="12" xfId="5" applyNumberFormat="1" applyBorder="1"/>
    <xf numFmtId="0" fontId="4" fillId="0" borderId="8" xfId="5" applyBorder="1"/>
    <xf numFmtId="0" fontId="4" fillId="0" borderId="4" xfId="5" applyBorder="1"/>
    <xf numFmtId="0" fontId="4" fillId="0" borderId="9" xfId="5" applyBorder="1"/>
    <xf numFmtId="0" fontId="143" fillId="12" borderId="32" xfId="10" applyFont="1" applyFill="1" applyBorder="1" applyAlignment="1" applyProtection="1">
      <alignment vertical="center"/>
      <protection locked="0"/>
    </xf>
    <xf numFmtId="0" fontId="7" fillId="0" borderId="5" xfId="0" applyFont="1" applyBorder="1" applyAlignment="1">
      <alignment horizontal="left"/>
    </xf>
    <xf numFmtId="3" fontId="10" fillId="0" borderId="0" xfId="3" applyNumberFormat="1" applyFont="1" applyFill="1" applyBorder="1" applyAlignment="1" applyProtection="1">
      <alignment horizontal="center"/>
      <protection locked="0"/>
    </xf>
    <xf numFmtId="0" fontId="10" fillId="4" borderId="0" xfId="0" applyNumberFormat="1" applyFont="1" applyFill="1" applyBorder="1" applyAlignment="1" applyProtection="1">
      <alignment horizontal="center"/>
      <protection locked="0"/>
    </xf>
    <xf numFmtId="0" fontId="16" fillId="0" borderId="0" xfId="0" applyFont="1" applyBorder="1" applyAlignment="1">
      <alignment horizontal="center" wrapText="1"/>
    </xf>
    <xf numFmtId="0" fontId="137" fillId="0" borderId="0" xfId="0" applyFont="1" applyBorder="1" applyAlignment="1">
      <alignment horizontal="center" vertical="top" wrapText="1"/>
    </xf>
    <xf numFmtId="0" fontId="137" fillId="0" borderId="0" xfId="0" applyFont="1" applyBorder="1" applyAlignment="1">
      <alignment horizontal="center" wrapText="1"/>
    </xf>
    <xf numFmtId="0" fontId="115" fillId="12" borderId="131" xfId="10" applyFont="1" applyFill="1" applyBorder="1" applyAlignment="1" applyProtection="1">
      <alignment horizontal="center"/>
      <protection locked="0"/>
    </xf>
    <xf numFmtId="0" fontId="114" fillId="12" borderId="139" xfId="10" applyFont="1" applyFill="1" applyBorder="1" applyProtection="1">
      <protection locked="0"/>
    </xf>
    <xf numFmtId="0" fontId="114" fillId="12" borderId="132" xfId="10" applyFont="1" applyFill="1" applyBorder="1" applyProtection="1">
      <protection locked="0"/>
    </xf>
    <xf numFmtId="0" fontId="114" fillId="12" borderId="140" xfId="10" applyFont="1" applyFill="1" applyBorder="1" applyProtection="1">
      <protection locked="0"/>
    </xf>
    <xf numFmtId="0" fontId="119" fillId="12" borderId="141" xfId="10" applyFont="1" applyFill="1" applyBorder="1" applyAlignment="1" applyProtection="1">
      <alignment horizontal="left" vertical="top" wrapText="1"/>
      <protection locked="0"/>
    </xf>
    <xf numFmtId="0" fontId="119" fillId="12" borderId="142" xfId="10" applyFont="1" applyFill="1" applyBorder="1" applyAlignment="1" applyProtection="1">
      <alignment horizontal="left" vertical="top" wrapText="1"/>
      <protection locked="0"/>
    </xf>
    <xf numFmtId="0" fontId="118" fillId="12" borderId="141" xfId="10" applyFont="1" applyFill="1" applyBorder="1" applyProtection="1">
      <protection locked="0"/>
    </xf>
    <xf numFmtId="0" fontId="118" fillId="12" borderId="142" xfId="10" applyFont="1" applyFill="1" applyBorder="1" applyProtection="1">
      <protection locked="0"/>
    </xf>
    <xf numFmtId="0" fontId="118" fillId="12" borderId="133" xfId="10" applyFont="1" applyFill="1" applyBorder="1" applyProtection="1">
      <protection locked="0"/>
    </xf>
    <xf numFmtId="0" fontId="118" fillId="12" borderId="135" xfId="10" applyFont="1" applyFill="1" applyBorder="1" applyProtection="1">
      <protection locked="0"/>
    </xf>
    <xf numFmtId="0" fontId="118" fillId="12" borderId="136" xfId="10" applyFont="1" applyFill="1" applyBorder="1" applyProtection="1">
      <protection locked="0"/>
    </xf>
    <xf numFmtId="0" fontId="118" fillId="12" borderId="137" xfId="10" applyFont="1" applyFill="1" applyBorder="1" applyProtection="1">
      <protection locked="0"/>
    </xf>
    <xf numFmtId="0" fontId="114" fillId="12" borderId="134" xfId="10" applyFont="1" applyFill="1" applyBorder="1" applyProtection="1">
      <protection locked="0"/>
    </xf>
    <xf numFmtId="0" fontId="118" fillId="17" borderId="0" xfId="10" applyFont="1" applyFill="1" applyBorder="1" applyAlignment="1" applyProtection="1">
      <alignment horizontal="center" vertical="center" wrapText="1"/>
      <protection locked="0"/>
    </xf>
    <xf numFmtId="166" fontId="130" fillId="17" borderId="165" xfId="10" applyNumberFormat="1" applyFont="1" applyFill="1" applyBorder="1" applyAlignment="1" applyProtection="1">
      <alignment vertical="center"/>
    </xf>
    <xf numFmtId="0" fontId="57" fillId="12" borderId="0" xfId="0" applyFont="1" applyFill="1" applyBorder="1" applyAlignment="1" applyProtection="1">
      <alignment horizontal="right" vertical="center" wrapText="1"/>
      <protection locked="0"/>
    </xf>
    <xf numFmtId="0" fontId="72" fillId="2" borderId="115" xfId="0" applyFont="1" applyFill="1" applyBorder="1" applyAlignment="1" applyProtection="1">
      <alignment horizontal="center" vertical="center"/>
      <protection locked="0"/>
    </xf>
    <xf numFmtId="0" fontId="68" fillId="12" borderId="113" xfId="0" applyFont="1" applyFill="1" applyBorder="1" applyAlignment="1" applyProtection="1">
      <alignment horizontal="center"/>
      <protection locked="0"/>
    </xf>
    <xf numFmtId="166" fontId="8" fillId="16" borderId="25" xfId="10" applyNumberFormat="1" applyFont="1" applyFill="1" applyBorder="1" applyAlignment="1" applyProtection="1">
      <alignment vertical="center"/>
    </xf>
    <xf numFmtId="166" fontId="8" fillId="16" borderId="4" xfId="10" applyNumberFormat="1" applyFont="1" applyFill="1" applyBorder="1" applyAlignment="1" applyProtection="1">
      <alignment vertical="center"/>
    </xf>
    <xf numFmtId="0" fontId="90" fillId="12" borderId="0" xfId="11" applyFont="1" applyFill="1" applyBorder="1" applyAlignment="1" applyProtection="1">
      <alignment horizontal="left"/>
      <protection locked="0"/>
    </xf>
    <xf numFmtId="0" fontId="92" fillId="17" borderId="138" xfId="11" applyFont="1" applyFill="1" applyBorder="1" applyAlignment="1" applyProtection="1">
      <alignment horizontal="center" vertical="center"/>
      <protection locked="0"/>
    </xf>
    <xf numFmtId="0" fontId="90" fillId="0" borderId="138" xfId="11" applyFont="1" applyFill="1" applyBorder="1" applyAlignment="1" applyProtection="1">
      <alignment horizontal="center" vertical="center"/>
      <protection locked="0"/>
    </xf>
    <xf numFmtId="0" fontId="38" fillId="12" borderId="0" xfId="11" applyFont="1" applyFill="1" applyBorder="1" applyAlignment="1" applyProtection="1">
      <alignment horizontal="left"/>
      <protection locked="0"/>
    </xf>
    <xf numFmtId="0" fontId="100" fillId="17" borderId="138" xfId="11" applyFont="1" applyFill="1" applyBorder="1" applyAlignment="1" applyProtection="1">
      <alignment horizontal="center" vertical="center"/>
      <protection locked="0"/>
    </xf>
    <xf numFmtId="0" fontId="13" fillId="6" borderId="1" xfId="0" applyFont="1" applyFill="1" applyBorder="1" applyAlignment="1">
      <alignment horizontal="center"/>
    </xf>
    <xf numFmtId="0" fontId="13" fillId="6" borderId="2" xfId="0" applyFont="1" applyFill="1" applyBorder="1" applyAlignment="1">
      <alignment horizontal="center"/>
    </xf>
    <xf numFmtId="0" fontId="13" fillId="6" borderId="3" xfId="0" applyFont="1" applyFill="1" applyBorder="1" applyAlignment="1">
      <alignment horizontal="center"/>
    </xf>
    <xf numFmtId="0" fontId="11" fillId="0" borderId="1" xfId="0" applyFont="1" applyFill="1" applyBorder="1" applyAlignment="1" applyProtection="1">
      <alignment horizontal="right"/>
      <protection locked="0"/>
    </xf>
    <xf numFmtId="0" fontId="11" fillId="0" borderId="2" xfId="0" applyFont="1" applyFill="1" applyBorder="1" applyAlignment="1" applyProtection="1">
      <alignment horizontal="right"/>
      <protection locked="0"/>
    </xf>
    <xf numFmtId="0" fontId="11" fillId="0" borderId="3" xfId="0" applyFont="1" applyFill="1" applyBorder="1" applyAlignment="1" applyProtection="1">
      <alignment horizontal="right"/>
      <protection locked="0"/>
    </xf>
    <xf numFmtId="0" fontId="10" fillId="0" borderId="0" xfId="0" applyFont="1" applyFill="1" applyBorder="1" applyAlignment="1" applyProtection="1">
      <alignment horizontal="center"/>
      <protection locked="0"/>
    </xf>
    <xf numFmtId="0" fontId="10" fillId="0" borderId="13" xfId="0" applyFont="1" applyFill="1" applyBorder="1" applyAlignment="1" applyProtection="1">
      <alignment horizontal="center"/>
      <protection locked="0"/>
    </xf>
    <xf numFmtId="3" fontId="10" fillId="0" borderId="0" xfId="3" applyNumberFormat="1" applyFont="1" applyFill="1" applyBorder="1" applyAlignment="1" applyProtection="1">
      <alignment horizontal="center"/>
      <protection locked="0"/>
    </xf>
    <xf numFmtId="0" fontId="10" fillId="4" borderId="0" xfId="0" applyNumberFormat="1" applyFont="1" applyFill="1" applyBorder="1" applyAlignment="1" applyProtection="1">
      <alignment horizontal="center"/>
      <protection locked="0"/>
    </xf>
    <xf numFmtId="0" fontId="10" fillId="9" borderId="34" xfId="0" applyFont="1" applyFill="1" applyBorder="1" applyAlignment="1" applyProtection="1">
      <alignment horizontal="right" vertical="center"/>
      <protection locked="0"/>
    </xf>
    <xf numFmtId="0" fontId="10" fillId="9" borderId="31" xfId="0" applyFont="1" applyFill="1" applyBorder="1" applyAlignment="1" applyProtection="1">
      <alignment horizontal="right" vertical="center"/>
      <protection locked="0"/>
    </xf>
    <xf numFmtId="0" fontId="10" fillId="4" borderId="32"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0" fontId="10" fillId="4" borderId="0"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4"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8" fillId="8" borderId="1" xfId="0" applyFont="1" applyFill="1" applyBorder="1" applyAlignment="1">
      <alignment horizontal="center" vertical="center"/>
    </xf>
    <xf numFmtId="0" fontId="18" fillId="8" borderId="2" xfId="0" applyFont="1" applyFill="1" applyBorder="1" applyAlignment="1">
      <alignment horizontal="center" vertical="center"/>
    </xf>
    <xf numFmtId="0" fontId="18" fillId="8" borderId="3" xfId="0" applyFont="1" applyFill="1" applyBorder="1" applyAlignment="1">
      <alignment horizontal="center" vertical="center"/>
    </xf>
    <xf numFmtId="0" fontId="7" fillId="9" borderId="2" xfId="0" applyFont="1" applyFill="1" applyBorder="1" applyAlignment="1" applyProtection="1">
      <alignment horizontal="right"/>
      <protection locked="0"/>
    </xf>
    <xf numFmtId="0" fontId="7" fillId="9" borderId="3" xfId="0" applyFont="1" applyFill="1" applyBorder="1" applyAlignment="1" applyProtection="1">
      <alignment horizontal="right"/>
      <protection locked="0"/>
    </xf>
    <xf numFmtId="0" fontId="7" fillId="9" borderId="1" xfId="0" applyFont="1" applyFill="1" applyBorder="1" applyAlignment="1" applyProtection="1">
      <alignment horizontal="right"/>
      <protection locked="0"/>
    </xf>
    <xf numFmtId="0" fontId="13" fillId="6" borderId="1"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3" xfId="0" applyFont="1" applyFill="1" applyBorder="1" applyAlignment="1">
      <alignment horizontal="center" vertical="center"/>
    </xf>
    <xf numFmtId="0" fontId="16" fillId="0" borderId="0" xfId="0" applyFont="1" applyBorder="1" applyAlignment="1">
      <alignment horizontal="center" wrapText="1"/>
    </xf>
    <xf numFmtId="0" fontId="7" fillId="0" borderId="6" xfId="0" applyFont="1" applyBorder="1" applyAlignment="1"/>
    <xf numFmtId="0" fontId="0" fillId="0" borderId="32" xfId="0" applyBorder="1" applyAlignment="1"/>
    <xf numFmtId="0" fontId="137" fillId="0" borderId="0" xfId="0" applyFont="1" applyBorder="1" applyAlignment="1">
      <alignment horizontal="center" vertical="top" wrapText="1"/>
    </xf>
    <xf numFmtId="0" fontId="137" fillId="0" borderId="0" xfId="0" applyFont="1" applyBorder="1" applyAlignment="1">
      <alignment horizontal="center" wrapText="1"/>
    </xf>
    <xf numFmtId="0" fontId="75" fillId="0" borderId="0" xfId="0" applyFont="1" applyBorder="1" applyAlignment="1"/>
    <xf numFmtId="166" fontId="130" fillId="17" borderId="164" xfId="10" applyNumberFormat="1" applyFont="1" applyFill="1" applyBorder="1" applyAlignment="1" applyProtection="1">
      <alignment horizontal="right" vertical="center"/>
    </xf>
    <xf numFmtId="166" fontId="130" fillId="17" borderId="165" xfId="10" applyNumberFormat="1" applyFont="1" applyFill="1" applyBorder="1" applyAlignment="1" applyProtection="1">
      <alignment horizontal="right" vertical="center"/>
    </xf>
    <xf numFmtId="0" fontId="130" fillId="17" borderId="165" xfId="10" applyFont="1" applyFill="1" applyBorder="1" applyAlignment="1" applyProtection="1">
      <alignment horizontal="right" vertical="center"/>
      <protection locked="0"/>
    </xf>
    <xf numFmtId="166" fontId="130" fillId="17" borderId="165" xfId="10" applyNumberFormat="1" applyFont="1" applyFill="1" applyBorder="1" applyAlignment="1" applyProtection="1">
      <alignment vertical="center"/>
    </xf>
    <xf numFmtId="166" fontId="130" fillId="17" borderId="166" xfId="10" applyNumberFormat="1" applyFont="1" applyFill="1" applyBorder="1" applyAlignment="1" applyProtection="1">
      <alignment vertical="center"/>
    </xf>
    <xf numFmtId="0" fontId="131" fillId="12" borderId="0" xfId="10" applyFont="1" applyFill="1" applyBorder="1" applyAlignment="1" applyProtection="1">
      <alignment horizontal="left" vertical="top" wrapText="1"/>
      <protection locked="0"/>
    </xf>
    <xf numFmtId="0" fontId="131" fillId="12" borderId="13" xfId="10" applyFont="1" applyFill="1" applyBorder="1" applyAlignment="1" applyProtection="1">
      <alignment horizontal="left" vertical="top" wrapText="1"/>
      <protection locked="0"/>
    </xf>
    <xf numFmtId="166" fontId="130" fillId="17" borderId="158" xfId="10" applyNumberFormat="1" applyFont="1" applyFill="1" applyBorder="1" applyAlignment="1" applyProtection="1">
      <alignment horizontal="right" vertical="center" indent="1"/>
    </xf>
    <xf numFmtId="166" fontId="130" fillId="17" borderId="194" xfId="10" applyNumberFormat="1" applyFont="1" applyFill="1" applyBorder="1" applyAlignment="1" applyProtection="1">
      <alignment horizontal="right" vertical="center" indent="1"/>
    </xf>
    <xf numFmtId="0" fontId="116" fillId="12" borderId="0" xfId="10" applyFont="1" applyFill="1" applyBorder="1" applyAlignment="1" applyProtection="1">
      <alignment horizontal="center"/>
      <protection locked="0"/>
    </xf>
    <xf numFmtId="166" fontId="120" fillId="17" borderId="160" xfId="10" applyNumberFormat="1" applyFont="1" applyFill="1" applyBorder="1" applyAlignment="1" applyProtection="1">
      <alignment vertical="center"/>
    </xf>
    <xf numFmtId="44" fontId="113" fillId="17" borderId="160" xfId="1" applyFont="1" applyFill="1" applyBorder="1" applyAlignment="1" applyProtection="1">
      <alignment horizontal="right" vertical="center"/>
    </xf>
    <xf numFmtId="44" fontId="113" fillId="17" borderId="161" xfId="1" applyFont="1" applyFill="1" applyBorder="1" applyAlignment="1" applyProtection="1">
      <alignment horizontal="right" vertical="center"/>
    </xf>
    <xf numFmtId="166" fontId="120" fillId="17" borderId="0" xfId="10" applyNumberFormat="1" applyFont="1" applyFill="1" applyBorder="1" applyAlignment="1" applyProtection="1">
      <alignment vertical="center"/>
    </xf>
    <xf numFmtId="44" fontId="113" fillId="17" borderId="0" xfId="1" applyFont="1" applyFill="1" applyBorder="1" applyAlignment="1" applyProtection="1">
      <alignment horizontal="right" vertical="center"/>
    </xf>
    <xf numFmtId="44" fontId="113" fillId="17" borderId="163" xfId="1" applyFont="1" applyFill="1" applyBorder="1" applyAlignment="1" applyProtection="1">
      <alignment horizontal="right" vertical="center"/>
    </xf>
    <xf numFmtId="0" fontId="114" fillId="12" borderId="139" xfId="10" applyFont="1" applyFill="1" applyBorder="1" applyAlignment="1" applyProtection="1">
      <protection locked="0"/>
    </xf>
    <xf numFmtId="0" fontId="114" fillId="12" borderId="132" xfId="10" applyFont="1" applyFill="1" applyBorder="1" applyAlignment="1" applyProtection="1">
      <protection locked="0"/>
    </xf>
    <xf numFmtId="0" fontId="114" fillId="12" borderId="140" xfId="10" applyFont="1" applyFill="1" applyBorder="1" applyAlignment="1" applyProtection="1">
      <protection locked="0"/>
    </xf>
    <xf numFmtId="0" fontId="118" fillId="12" borderId="138" xfId="10" applyFont="1" applyFill="1" applyBorder="1" applyAlignment="1" applyProtection="1">
      <protection locked="0"/>
    </xf>
    <xf numFmtId="0" fontId="114" fillId="12" borderId="138" xfId="10" applyFont="1" applyFill="1" applyBorder="1" applyAlignment="1" applyProtection="1">
      <protection locked="0"/>
    </xf>
    <xf numFmtId="0" fontId="118" fillId="12" borderId="136" xfId="10" applyFont="1" applyFill="1" applyBorder="1" applyAlignment="1" applyProtection="1">
      <protection locked="0"/>
    </xf>
    <xf numFmtId="0" fontId="118" fillId="12" borderId="137" xfId="10" applyFont="1" applyFill="1" applyBorder="1" applyAlignment="1" applyProtection="1">
      <protection locked="0"/>
    </xf>
    <xf numFmtId="0" fontId="118" fillId="12" borderId="133" xfId="10" applyFont="1" applyFill="1" applyBorder="1" applyAlignment="1" applyProtection="1">
      <protection locked="0"/>
    </xf>
    <xf numFmtId="0" fontId="118" fillId="12" borderId="135" xfId="10" applyFont="1" applyFill="1" applyBorder="1" applyAlignment="1" applyProtection="1">
      <protection locked="0"/>
    </xf>
    <xf numFmtId="0" fontId="124" fillId="18" borderId="141" xfId="10" applyFont="1" applyFill="1" applyBorder="1" applyAlignment="1" applyProtection="1">
      <alignment horizontal="left" vertical="top" wrapText="1"/>
      <protection locked="0"/>
    </xf>
    <xf numFmtId="0" fontId="124" fillId="18" borderId="142" xfId="10" applyFont="1" applyFill="1" applyBorder="1" applyAlignment="1" applyProtection="1">
      <alignment horizontal="left" vertical="top" wrapText="1"/>
      <protection locked="0"/>
    </xf>
    <xf numFmtId="0" fontId="118" fillId="12" borderId="141" xfId="10" applyFont="1" applyFill="1" applyBorder="1" applyAlignment="1" applyProtection="1">
      <protection locked="0"/>
    </xf>
    <xf numFmtId="0" fontId="118" fillId="12" borderId="142" xfId="10" applyFont="1" applyFill="1" applyBorder="1" applyAlignment="1" applyProtection="1">
      <protection locked="0"/>
    </xf>
    <xf numFmtId="0" fontId="114" fillId="23" borderId="139" xfId="10" applyFont="1" applyFill="1" applyBorder="1" applyAlignment="1" applyProtection="1">
      <protection locked="0"/>
    </xf>
    <xf numFmtId="0" fontId="114" fillId="23" borderId="132" xfId="10" applyFont="1" applyFill="1" applyBorder="1" applyAlignment="1" applyProtection="1">
      <protection locked="0"/>
    </xf>
    <xf numFmtId="0" fontId="114" fillId="23" borderId="140" xfId="10" applyFont="1" applyFill="1" applyBorder="1" applyAlignment="1" applyProtection="1">
      <protection locked="0"/>
    </xf>
    <xf numFmtId="0" fontId="124" fillId="18" borderId="156" xfId="10" applyFont="1" applyFill="1" applyBorder="1" applyAlignment="1" applyProtection="1">
      <alignment horizontal="left" vertical="top" wrapText="1"/>
      <protection locked="0"/>
    </xf>
    <xf numFmtId="0" fontId="124" fillId="18" borderId="157" xfId="10" applyFont="1" applyFill="1" applyBorder="1" applyAlignment="1" applyProtection="1">
      <alignment horizontal="left" vertical="top" wrapText="1"/>
      <protection locked="0"/>
    </xf>
    <xf numFmtId="0" fontId="124" fillId="18" borderId="137" xfId="10" applyFont="1" applyFill="1" applyBorder="1" applyAlignment="1" applyProtection="1">
      <alignment horizontal="left" vertical="top" wrapText="1"/>
      <protection locked="0"/>
    </xf>
    <xf numFmtId="0" fontId="114" fillId="19" borderId="139" xfId="10" applyFont="1" applyFill="1" applyBorder="1" applyAlignment="1" applyProtection="1">
      <protection locked="0"/>
    </xf>
    <xf numFmtId="0" fontId="114" fillId="19" borderId="132" xfId="10" applyFont="1" applyFill="1" applyBorder="1" applyAlignment="1" applyProtection="1">
      <protection locked="0"/>
    </xf>
    <xf numFmtId="0" fontId="114" fillId="19" borderId="140" xfId="10" applyFont="1" applyFill="1" applyBorder="1" applyAlignment="1" applyProtection="1">
      <protection locked="0"/>
    </xf>
    <xf numFmtId="0" fontId="116" fillId="12" borderId="13" xfId="10" applyFont="1" applyFill="1" applyBorder="1" applyAlignment="1" applyProtection="1">
      <alignment horizontal="center"/>
      <protection locked="0"/>
    </xf>
    <xf numFmtId="0" fontId="118" fillId="17" borderId="0" xfId="10" applyFont="1" applyFill="1" applyBorder="1" applyAlignment="1" applyProtection="1">
      <alignment horizontal="center" vertical="center" wrapText="1"/>
      <protection locked="0"/>
    </xf>
    <xf numFmtId="0" fontId="128" fillId="12" borderId="141" xfId="10" applyFont="1" applyFill="1" applyBorder="1" applyAlignment="1" applyProtection="1">
      <protection locked="0"/>
    </xf>
    <xf numFmtId="0" fontId="128" fillId="12" borderId="142" xfId="10" applyFont="1" applyFill="1" applyBorder="1" applyAlignment="1" applyProtection="1">
      <protection locked="0"/>
    </xf>
    <xf numFmtId="0" fontId="120" fillId="12" borderId="132" xfId="10" applyFont="1" applyFill="1" applyBorder="1" applyAlignment="1" applyProtection="1">
      <protection locked="0"/>
    </xf>
    <xf numFmtId="0" fontId="120" fillId="12" borderId="190" xfId="10" applyFont="1" applyFill="1" applyBorder="1" applyAlignment="1" applyProtection="1">
      <protection locked="0"/>
    </xf>
    <xf numFmtId="0" fontId="120" fillId="12" borderId="0" xfId="10" applyFont="1" applyFill="1" applyBorder="1" applyAlignment="1" applyProtection="1">
      <alignment horizontal="center"/>
      <protection locked="0"/>
    </xf>
    <xf numFmtId="0" fontId="120" fillId="12" borderId="13" xfId="10" applyFont="1" applyFill="1" applyBorder="1" applyAlignment="1" applyProtection="1">
      <alignment horizontal="center"/>
      <protection locked="0"/>
    </xf>
    <xf numFmtId="0" fontId="120" fillId="12" borderId="131" xfId="10" applyFont="1" applyFill="1" applyBorder="1" applyAlignment="1" applyProtection="1">
      <protection locked="0"/>
    </xf>
    <xf numFmtId="0" fontId="120" fillId="12" borderId="187" xfId="10" applyFont="1" applyFill="1" applyBorder="1" applyAlignment="1" applyProtection="1">
      <protection locked="0"/>
    </xf>
    <xf numFmtId="0" fontId="127" fillId="12" borderId="139" xfId="10" applyFont="1" applyFill="1" applyBorder="1" applyAlignment="1" applyProtection="1">
      <protection locked="0"/>
    </xf>
    <xf numFmtId="0" fontId="127" fillId="12" borderId="132" xfId="10" applyFont="1" applyFill="1" applyBorder="1" applyAlignment="1" applyProtection="1">
      <protection locked="0"/>
    </xf>
    <xf numFmtId="0" fontId="127" fillId="12" borderId="140" xfId="10" applyFont="1" applyFill="1" applyBorder="1" applyAlignment="1" applyProtection="1">
      <protection locked="0"/>
    </xf>
    <xf numFmtId="0" fontId="126" fillId="12" borderId="139" xfId="10" applyFont="1" applyFill="1" applyBorder="1" applyAlignment="1" applyProtection="1">
      <protection locked="0"/>
    </xf>
    <xf numFmtId="0" fontId="126" fillId="12" borderId="132" xfId="10" applyFont="1" applyFill="1" applyBorder="1" applyAlignment="1" applyProtection="1">
      <protection locked="0"/>
    </xf>
    <xf numFmtId="0" fontId="126" fillId="12" borderId="140" xfId="10" applyFont="1" applyFill="1" applyBorder="1" applyAlignment="1" applyProtection="1">
      <protection locked="0"/>
    </xf>
    <xf numFmtId="0" fontId="118" fillId="12" borderId="150" xfId="10" applyFont="1" applyFill="1" applyBorder="1" applyAlignment="1" applyProtection="1">
      <protection locked="0"/>
    </xf>
    <xf numFmtId="0" fontId="118" fillId="12" borderId="151" xfId="10" applyFont="1" applyFill="1" applyBorder="1" applyAlignment="1" applyProtection="1">
      <protection locked="0"/>
    </xf>
    <xf numFmtId="0" fontId="114" fillId="12" borderId="153" xfId="10" applyFont="1" applyFill="1" applyBorder="1" applyAlignment="1" applyProtection="1">
      <protection locked="0"/>
    </xf>
    <xf numFmtId="0" fontId="114" fillId="12" borderId="154" xfId="10" applyFont="1" applyFill="1" applyBorder="1" applyAlignment="1" applyProtection="1">
      <protection locked="0"/>
    </xf>
    <xf numFmtId="0" fontId="114" fillId="12" borderId="155" xfId="10" applyFont="1" applyFill="1" applyBorder="1" applyAlignment="1" applyProtection="1">
      <protection locked="0"/>
    </xf>
    <xf numFmtId="0" fontId="116" fillId="12" borderId="32" xfId="10" applyFont="1" applyFill="1" applyBorder="1" applyAlignment="1" applyProtection="1">
      <alignment horizontal="center"/>
      <protection locked="0"/>
    </xf>
    <xf numFmtId="0" fontId="116" fillId="12" borderId="7" xfId="10" applyFont="1" applyFill="1" applyBorder="1" applyAlignment="1" applyProtection="1">
      <alignment horizontal="center"/>
      <protection locked="0"/>
    </xf>
    <xf numFmtId="0" fontId="118" fillId="17" borderId="131" xfId="10" applyFont="1" applyFill="1" applyBorder="1" applyAlignment="1" applyProtection="1">
      <alignment horizontal="center" vertical="center" wrapText="1"/>
      <protection locked="0"/>
    </xf>
    <xf numFmtId="0" fontId="118" fillId="12" borderId="144" xfId="10" applyFont="1" applyFill="1" applyBorder="1" applyAlignment="1" applyProtection="1">
      <alignment vertical="center"/>
      <protection locked="0"/>
    </xf>
    <xf numFmtId="0" fontId="118" fillId="12" borderId="145" xfId="10" applyFont="1" applyFill="1" applyBorder="1" applyAlignment="1" applyProtection="1">
      <alignment vertical="center"/>
      <protection locked="0"/>
    </xf>
    <xf numFmtId="0" fontId="114" fillId="12" borderId="147" xfId="10" applyFont="1" applyFill="1" applyBorder="1" applyAlignment="1" applyProtection="1">
      <protection locked="0"/>
    </xf>
    <xf numFmtId="0" fontId="114" fillId="12" borderId="148" xfId="10" applyFont="1" applyFill="1" applyBorder="1" applyAlignment="1" applyProtection="1">
      <protection locked="0"/>
    </xf>
    <xf numFmtId="0" fontId="114" fillId="12" borderId="149" xfId="10" applyFont="1" applyFill="1" applyBorder="1" applyAlignment="1" applyProtection="1">
      <protection locked="0"/>
    </xf>
    <xf numFmtId="0" fontId="125" fillId="12" borderId="141" xfId="10" applyFont="1" applyFill="1" applyBorder="1" applyAlignment="1" applyProtection="1">
      <alignment horizontal="left" vertical="top" wrapText="1"/>
      <protection locked="0"/>
    </xf>
    <xf numFmtId="0" fontId="125" fillId="12" borderId="142" xfId="10" applyFont="1" applyFill="1" applyBorder="1" applyAlignment="1" applyProtection="1">
      <alignment horizontal="left" vertical="top" wrapText="1"/>
      <protection locked="0"/>
    </xf>
    <xf numFmtId="0" fontId="125" fillId="12" borderId="136" xfId="10" applyFont="1" applyFill="1" applyBorder="1" applyAlignment="1" applyProtection="1">
      <alignment horizontal="left" vertical="top" wrapText="1"/>
      <protection locked="0"/>
    </xf>
    <xf numFmtId="0" fontId="125" fillId="12" borderId="137" xfId="10" applyFont="1" applyFill="1" applyBorder="1" applyAlignment="1" applyProtection="1">
      <alignment horizontal="left" vertical="top" wrapText="1"/>
      <protection locked="0"/>
    </xf>
    <xf numFmtId="0" fontId="119" fillId="12" borderId="141" xfId="10" applyFont="1" applyFill="1" applyBorder="1" applyAlignment="1" applyProtection="1">
      <alignment horizontal="left" vertical="top" wrapText="1"/>
      <protection locked="0"/>
    </xf>
    <xf numFmtId="0" fontId="119" fillId="12" borderId="142" xfId="10" applyFont="1" applyFill="1" applyBorder="1" applyAlignment="1" applyProtection="1">
      <alignment horizontal="left" vertical="top" wrapText="1"/>
      <protection locked="0"/>
    </xf>
    <xf numFmtId="0" fontId="119" fillId="12" borderId="136" xfId="10" applyFont="1" applyFill="1" applyBorder="1" applyAlignment="1" applyProtection="1">
      <alignment horizontal="left" vertical="top" wrapText="1"/>
      <protection locked="0"/>
    </xf>
    <xf numFmtId="0" fontId="119" fillId="12" borderId="137" xfId="10" applyFont="1" applyFill="1" applyBorder="1" applyAlignment="1" applyProtection="1">
      <alignment horizontal="left" vertical="top" wrapText="1"/>
      <protection locked="0"/>
    </xf>
    <xf numFmtId="0" fontId="114" fillId="12" borderId="133" xfId="10" applyFont="1" applyFill="1" applyBorder="1" applyAlignment="1" applyProtection="1">
      <protection locked="0"/>
    </xf>
    <xf numFmtId="0" fontId="114" fillId="12" borderId="134" xfId="10" applyFont="1" applyFill="1" applyBorder="1" applyAlignment="1" applyProtection="1">
      <protection locked="0"/>
    </xf>
    <xf numFmtId="0" fontId="114" fillId="12" borderId="135" xfId="10" applyFont="1" applyFill="1" applyBorder="1" applyAlignment="1" applyProtection="1">
      <protection locked="0"/>
    </xf>
    <xf numFmtId="0" fontId="118" fillId="12" borderId="144" xfId="10" applyFont="1" applyFill="1" applyBorder="1" applyAlignment="1" applyProtection="1">
      <alignment wrapText="1"/>
      <protection locked="0"/>
    </xf>
    <xf numFmtId="0" fontId="118" fillId="12" borderId="145" xfId="10" applyFont="1" applyFill="1" applyBorder="1" applyAlignment="1" applyProtection="1">
      <alignment wrapText="1"/>
      <protection locked="0"/>
    </xf>
    <xf numFmtId="0" fontId="132" fillId="12" borderId="132" xfId="10" applyFont="1" applyFill="1" applyBorder="1" applyAlignment="1" applyProtection="1">
      <protection locked="0"/>
    </xf>
    <xf numFmtId="0" fontId="132" fillId="12" borderId="190" xfId="10" applyFont="1" applyFill="1" applyBorder="1" applyAlignment="1" applyProtection="1">
      <protection locked="0"/>
    </xf>
    <xf numFmtId="0" fontId="124" fillId="18" borderId="136" xfId="10" applyFont="1" applyFill="1" applyBorder="1" applyAlignment="1" applyProtection="1">
      <alignment horizontal="left" vertical="top" wrapText="1"/>
      <protection locked="0"/>
    </xf>
    <xf numFmtId="0" fontId="132" fillId="12" borderId="131" xfId="10" applyFont="1" applyFill="1" applyBorder="1" applyAlignment="1" applyProtection="1">
      <protection locked="0"/>
    </xf>
    <xf numFmtId="0" fontId="132" fillId="12" borderId="187" xfId="10" applyFont="1" applyFill="1" applyBorder="1" applyAlignment="1" applyProtection="1">
      <protection locked="0"/>
    </xf>
    <xf numFmtId="0" fontId="119" fillId="12" borderId="137" xfId="10" applyFont="1" applyFill="1" applyBorder="1" applyAlignment="1" applyProtection="1">
      <alignment horizontal="left" vertical="top"/>
      <protection locked="0"/>
    </xf>
    <xf numFmtId="0" fontId="115" fillId="12" borderId="131" xfId="10" applyFont="1" applyFill="1" applyBorder="1" applyAlignment="1" applyProtection="1">
      <alignment horizontal="center"/>
    </xf>
    <xf numFmtId="0" fontId="115" fillId="12" borderId="131" xfId="10" applyFont="1" applyFill="1" applyBorder="1" applyAlignment="1" applyProtection="1">
      <alignment horizontal="center"/>
      <protection locked="0"/>
    </xf>
    <xf numFmtId="0" fontId="115" fillId="12" borderId="132" xfId="10" applyFont="1" applyFill="1" applyBorder="1" applyAlignment="1" applyProtection="1">
      <alignment horizontal="center"/>
      <protection locked="0"/>
    </xf>
    <xf numFmtId="167" fontId="115" fillId="12" borderId="131" xfId="10" applyNumberFormat="1" applyFont="1" applyFill="1" applyBorder="1" applyAlignment="1" applyProtection="1">
      <alignment horizontal="center"/>
      <protection locked="0"/>
    </xf>
    <xf numFmtId="0" fontId="115" fillId="12" borderId="187" xfId="10" applyFont="1" applyFill="1" applyBorder="1" applyAlignment="1" applyProtection="1">
      <alignment horizontal="center"/>
      <protection locked="0"/>
    </xf>
    <xf numFmtId="0" fontId="117" fillId="12" borderId="0" xfId="10" applyFont="1" applyFill="1" applyBorder="1" applyAlignment="1" applyProtection="1">
      <alignment horizontal="center"/>
    </xf>
    <xf numFmtId="0" fontId="117" fillId="12" borderId="13" xfId="10" applyFont="1" applyFill="1" applyBorder="1" applyAlignment="1" applyProtection="1">
      <alignment horizontal="center"/>
    </xf>
    <xf numFmtId="0" fontId="116" fillId="12" borderId="0" xfId="10" applyFont="1" applyFill="1" applyBorder="1" applyAlignment="1" applyProtection="1">
      <alignment horizontal="center"/>
    </xf>
    <xf numFmtId="0" fontId="116" fillId="12" borderId="13" xfId="10" applyFont="1" applyFill="1" applyBorder="1" applyAlignment="1" applyProtection="1">
      <alignment horizontal="center"/>
    </xf>
    <xf numFmtId="0" fontId="11" fillId="10" borderId="126" xfId="0" applyFont="1" applyFill="1" applyBorder="1" applyAlignment="1" applyProtection="1">
      <alignment horizontal="center"/>
      <protection locked="0"/>
    </xf>
    <xf numFmtId="0" fontId="11" fillId="10" borderId="127" xfId="0" applyFont="1" applyFill="1" applyBorder="1" applyAlignment="1" applyProtection="1">
      <alignment horizontal="center"/>
      <protection locked="0"/>
    </xf>
    <xf numFmtId="0" fontId="11" fillId="10" borderId="15" xfId="0" applyFont="1" applyFill="1" applyBorder="1" applyAlignment="1" applyProtection="1">
      <alignment horizontal="center"/>
      <protection locked="0"/>
    </xf>
    <xf numFmtId="0" fontId="68" fillId="12" borderId="117" xfId="0" applyFont="1" applyFill="1" applyBorder="1" applyAlignment="1" applyProtection="1">
      <alignment horizontal="center" vertical="center"/>
      <protection locked="0"/>
    </xf>
    <xf numFmtId="0" fontId="68" fillId="12" borderId="113" xfId="0" applyFont="1" applyFill="1" applyBorder="1" applyAlignment="1" applyProtection="1">
      <alignment horizontal="center" vertical="center"/>
      <protection locked="0"/>
    </xf>
    <xf numFmtId="0" fontId="68" fillId="12" borderId="113" xfId="0" applyFont="1" applyFill="1" applyBorder="1" applyAlignment="1" applyProtection="1">
      <alignment horizontal="center"/>
      <protection locked="0"/>
    </xf>
    <xf numFmtId="44" fontId="1" fillId="0" borderId="25" xfId="1" applyFont="1" applyFill="1" applyBorder="1" applyAlignment="1" applyProtection="1">
      <alignment horizontal="right" vertical="center"/>
    </xf>
    <xf numFmtId="44" fontId="1" fillId="0" borderId="4" xfId="1" applyFont="1" applyFill="1" applyBorder="1" applyAlignment="1" applyProtection="1">
      <alignment horizontal="right" vertical="center"/>
    </xf>
    <xf numFmtId="0" fontId="110" fillId="2" borderId="12" xfId="10" applyFont="1" applyFill="1" applyBorder="1" applyAlignment="1" applyProtection="1">
      <alignment horizontal="center"/>
      <protection locked="0"/>
    </xf>
    <xf numFmtId="0" fontId="110" fillId="2" borderId="0" xfId="10" applyFont="1" applyFill="1" applyBorder="1" applyAlignment="1" applyProtection="1">
      <alignment horizontal="center"/>
      <protection locked="0"/>
    </xf>
    <xf numFmtId="0" fontId="110" fillId="2" borderId="13" xfId="10" applyFont="1" applyFill="1" applyBorder="1" applyAlignment="1" applyProtection="1">
      <alignment horizontal="center"/>
      <protection locked="0"/>
    </xf>
    <xf numFmtId="166" fontId="8" fillId="16" borderId="25" xfId="10" applyNumberFormat="1" applyFont="1" applyFill="1" applyBorder="1" applyAlignment="1" applyProtection="1">
      <alignment vertical="center"/>
    </xf>
    <xf numFmtId="166" fontId="8" fillId="16" borderId="4" xfId="10" applyNumberFormat="1" applyFont="1" applyFill="1" applyBorder="1" applyAlignment="1" applyProtection="1">
      <alignment vertical="center"/>
    </xf>
    <xf numFmtId="170" fontId="68" fillId="12" borderId="121" xfId="1" applyNumberFormat="1" applyFont="1" applyFill="1" applyBorder="1" applyAlignment="1" applyProtection="1">
      <alignment horizontal="center"/>
      <protection locked="0"/>
    </xf>
    <xf numFmtId="170" fontId="68" fillId="12" borderId="113" xfId="1" applyNumberFormat="1" applyFont="1" applyFill="1" applyBorder="1" applyAlignment="1" applyProtection="1">
      <alignment horizontal="center"/>
      <protection locked="0"/>
    </xf>
    <xf numFmtId="165" fontId="71" fillId="12" borderId="113" xfId="1" applyNumberFormat="1" applyFont="1" applyFill="1" applyBorder="1" applyAlignment="1" applyProtection="1">
      <alignment horizontal="center"/>
      <protection locked="0"/>
    </xf>
    <xf numFmtId="0" fontId="68" fillId="12" borderId="118" xfId="0" applyFont="1" applyFill="1" applyBorder="1" applyAlignment="1" applyProtection="1">
      <alignment horizontal="center" vertical="center"/>
      <protection locked="0"/>
    </xf>
    <xf numFmtId="0" fontId="68" fillId="12" borderId="50" xfId="0" applyFont="1" applyFill="1" applyBorder="1" applyAlignment="1" applyProtection="1">
      <alignment horizontal="center" vertical="center"/>
      <protection locked="0"/>
    </xf>
    <xf numFmtId="0" fontId="68" fillId="12" borderId="50" xfId="0" applyFont="1" applyFill="1" applyBorder="1" applyAlignment="1" applyProtection="1">
      <alignment horizontal="center"/>
      <protection locked="0"/>
    </xf>
    <xf numFmtId="0" fontId="68" fillId="12" borderId="119" xfId="0" applyFont="1" applyFill="1" applyBorder="1" applyAlignment="1" applyProtection="1">
      <alignment horizontal="center" vertical="center"/>
      <protection locked="0"/>
    </xf>
    <xf numFmtId="0" fontId="68" fillId="12" borderId="120" xfId="0" applyFont="1" applyFill="1" applyBorder="1" applyAlignment="1" applyProtection="1">
      <alignment horizontal="center" vertical="center"/>
      <protection locked="0"/>
    </xf>
    <xf numFmtId="0" fontId="68" fillId="12" borderId="120" xfId="0" applyFont="1" applyFill="1" applyBorder="1" applyAlignment="1" applyProtection="1">
      <alignment horizontal="center"/>
      <protection locked="0"/>
    </xf>
    <xf numFmtId="165" fontId="71" fillId="12" borderId="121" xfId="1" applyNumberFormat="1" applyFont="1" applyFill="1" applyBorder="1" applyAlignment="1" applyProtection="1">
      <alignment horizontal="center"/>
      <protection locked="0"/>
    </xf>
    <xf numFmtId="0" fontId="75" fillId="12" borderId="12" xfId="0" applyFont="1" applyFill="1" applyBorder="1" applyAlignment="1" applyProtection="1">
      <alignment horizontal="left" vertical="center" wrapText="1"/>
      <protection locked="0"/>
    </xf>
    <xf numFmtId="0" fontId="75" fillId="12" borderId="0" xfId="0" applyFont="1" applyFill="1" applyBorder="1" applyAlignment="1" applyProtection="1">
      <alignment horizontal="left" vertical="center" wrapText="1"/>
      <protection locked="0"/>
    </xf>
    <xf numFmtId="0" fontId="75" fillId="12" borderId="13" xfId="0" applyFont="1" applyFill="1" applyBorder="1" applyAlignment="1" applyProtection="1">
      <alignment horizontal="left" vertical="center" wrapText="1"/>
      <protection locked="0"/>
    </xf>
    <xf numFmtId="0" fontId="11" fillId="9" borderId="32" xfId="0" applyFont="1" applyFill="1" applyBorder="1" applyAlignment="1" applyProtection="1">
      <alignment horizontal="center" vertical="center"/>
      <protection locked="0"/>
    </xf>
    <xf numFmtId="165" fontId="80" fillId="12" borderId="110" xfId="1" applyNumberFormat="1" applyFont="1" applyFill="1" applyBorder="1" applyAlignment="1" applyProtection="1">
      <alignment horizontal="left" vertical="center" indent="2"/>
      <protection locked="0"/>
    </xf>
    <xf numFmtId="165" fontId="80" fillId="12" borderId="112" xfId="1" applyNumberFormat="1" applyFont="1" applyFill="1" applyBorder="1" applyAlignment="1" applyProtection="1">
      <alignment horizontal="left" vertical="center" indent="2"/>
      <protection locked="0"/>
    </xf>
    <xf numFmtId="165" fontId="80" fillId="12" borderId="14" xfId="1" applyNumberFormat="1" applyFont="1" applyFill="1" applyBorder="1" applyAlignment="1" applyProtection="1">
      <alignment horizontal="left" vertical="center" indent="2"/>
      <protection locked="0"/>
    </xf>
    <xf numFmtId="165" fontId="80" fillId="12" borderId="130" xfId="1" applyNumberFormat="1" applyFont="1" applyFill="1" applyBorder="1" applyAlignment="1" applyProtection="1">
      <alignment horizontal="left" vertical="center" indent="2"/>
      <protection locked="0"/>
    </xf>
    <xf numFmtId="165" fontId="76" fillId="12" borderId="106" xfId="1" applyNumberFormat="1" applyFont="1" applyFill="1" applyBorder="1" applyAlignment="1" applyProtection="1">
      <alignment horizontal="center" vertical="center"/>
      <protection locked="0"/>
    </xf>
    <xf numFmtId="165" fontId="87" fillId="12" borderId="106" xfId="1" applyNumberFormat="1" applyFont="1" applyFill="1" applyBorder="1" applyAlignment="1" applyProtection="1">
      <alignment horizontal="center" vertical="center"/>
      <protection locked="0"/>
    </xf>
    <xf numFmtId="0" fontId="79" fillId="12" borderId="0" xfId="0" applyFont="1" applyFill="1" applyBorder="1" applyAlignment="1" applyProtection="1">
      <alignment horizontal="right"/>
      <protection locked="0"/>
    </xf>
    <xf numFmtId="0" fontId="61" fillId="12" borderId="12" xfId="0" applyFont="1" applyFill="1" applyBorder="1" applyAlignment="1" applyProtection="1">
      <alignment horizontal="center" vertical="center"/>
      <protection locked="0"/>
    </xf>
    <xf numFmtId="0" fontId="61" fillId="12" borderId="0" xfId="0" applyFont="1" applyFill="1" applyBorder="1" applyAlignment="1" applyProtection="1">
      <alignment horizontal="center" vertical="center"/>
      <protection locked="0"/>
    </xf>
    <xf numFmtId="171" fontId="61" fillId="12" borderId="0" xfId="0" applyNumberFormat="1" applyFont="1" applyFill="1" applyBorder="1" applyAlignment="1" applyProtection="1">
      <alignment horizontal="center" vertical="center"/>
      <protection locked="0"/>
    </xf>
    <xf numFmtId="0" fontId="61" fillId="12" borderId="13" xfId="0" applyFont="1" applyFill="1" applyBorder="1" applyAlignment="1" applyProtection="1">
      <alignment horizontal="center" vertical="center"/>
      <protection locked="0"/>
    </xf>
    <xf numFmtId="44" fontId="73" fillId="12" borderId="122" xfId="1" applyFont="1" applyFill="1" applyBorder="1" applyAlignment="1" applyProtection="1">
      <alignment horizontal="center" vertical="center"/>
      <protection locked="0"/>
    </xf>
    <xf numFmtId="44" fontId="73" fillId="12" borderId="32" xfId="1" applyFont="1" applyFill="1" applyBorder="1" applyAlignment="1" applyProtection="1">
      <alignment horizontal="center" vertical="center"/>
      <protection locked="0"/>
    </xf>
    <xf numFmtId="44" fontId="73" fillId="12" borderId="7" xfId="1" applyFont="1" applyFill="1" applyBorder="1" applyAlignment="1" applyProtection="1">
      <alignment horizontal="center" vertical="center"/>
      <protection locked="0"/>
    </xf>
    <xf numFmtId="44" fontId="73" fillId="12" borderId="123" xfId="1" applyFont="1" applyFill="1" applyBorder="1" applyAlignment="1" applyProtection="1">
      <alignment horizontal="center" vertical="center"/>
      <protection locked="0"/>
    </xf>
    <xf numFmtId="44" fontId="73" fillId="12" borderId="0" xfId="1" applyFont="1" applyFill="1" applyBorder="1" applyAlignment="1" applyProtection="1">
      <alignment horizontal="center" vertical="center"/>
      <protection locked="0"/>
    </xf>
    <xf numFmtId="44" fontId="73" fillId="12" borderId="13" xfId="1" applyFont="1" applyFill="1" applyBorder="1" applyAlignment="1" applyProtection="1">
      <alignment horizontal="center" vertical="center"/>
      <protection locked="0"/>
    </xf>
    <xf numFmtId="44" fontId="73" fillId="12" borderId="124" xfId="1" applyFont="1" applyFill="1" applyBorder="1" applyAlignment="1" applyProtection="1">
      <alignment horizontal="center" vertical="center"/>
      <protection locked="0"/>
    </xf>
    <xf numFmtId="44" fontId="73" fillId="12" borderId="4" xfId="1" applyFont="1" applyFill="1" applyBorder="1" applyAlignment="1" applyProtection="1">
      <alignment horizontal="center" vertical="center"/>
      <protection locked="0"/>
    </xf>
    <xf numFmtId="44" fontId="73" fillId="12" borderId="9" xfId="1" applyFont="1" applyFill="1" applyBorder="1" applyAlignment="1" applyProtection="1">
      <alignment horizontal="center" vertical="center"/>
      <protection locked="0"/>
    </xf>
    <xf numFmtId="0" fontId="86" fillId="12" borderId="12" xfId="0" applyFont="1" applyFill="1" applyBorder="1" applyAlignment="1" applyProtection="1">
      <alignment horizontal="center"/>
      <protection locked="0"/>
    </xf>
    <xf numFmtId="0" fontId="86" fillId="12" borderId="0" xfId="0" applyFont="1" applyFill="1" applyBorder="1" applyAlignment="1" applyProtection="1">
      <alignment horizontal="center"/>
      <protection locked="0"/>
    </xf>
    <xf numFmtId="0" fontId="86" fillId="12" borderId="13" xfId="0" applyFont="1" applyFill="1" applyBorder="1" applyAlignment="1" applyProtection="1">
      <alignment horizontal="center"/>
      <protection locked="0"/>
    </xf>
    <xf numFmtId="0" fontId="57" fillId="12" borderId="0" xfId="0" applyFont="1" applyFill="1" applyBorder="1" applyAlignment="1" applyProtection="1">
      <alignment horizontal="right" vertical="center" wrapText="1"/>
      <protection locked="0"/>
    </xf>
    <xf numFmtId="0" fontId="68" fillId="9" borderId="12" xfId="0" applyFont="1" applyFill="1" applyBorder="1" applyAlignment="1" applyProtection="1">
      <alignment horizontal="left" vertical="center" wrapText="1"/>
      <protection locked="0"/>
    </xf>
    <xf numFmtId="0" fontId="68" fillId="9" borderId="0" xfId="0" applyFont="1" applyFill="1" applyBorder="1" applyAlignment="1" applyProtection="1">
      <alignment horizontal="left" vertical="center" wrapText="1"/>
      <protection locked="0"/>
    </xf>
    <xf numFmtId="0" fontId="68" fillId="9" borderId="13" xfId="0" applyFont="1" applyFill="1" applyBorder="1" applyAlignment="1" applyProtection="1">
      <alignment horizontal="left" vertical="center" wrapText="1"/>
      <protection locked="0"/>
    </xf>
    <xf numFmtId="0" fontId="72" fillId="2" borderId="114" xfId="0" applyFont="1" applyFill="1" applyBorder="1" applyAlignment="1" applyProtection="1">
      <alignment horizontal="center" vertical="center"/>
      <protection locked="0"/>
    </xf>
    <xf numFmtId="0" fontId="72" fillId="2" borderId="115" xfId="0" applyFont="1" applyFill="1" applyBorder="1" applyAlignment="1" applyProtection="1">
      <alignment horizontal="center" vertical="center"/>
      <protection locked="0"/>
    </xf>
    <xf numFmtId="0" fontId="72" fillId="2" borderId="116" xfId="0" applyFont="1" applyFill="1" applyBorder="1" applyAlignment="1" applyProtection="1">
      <alignment horizontal="center" vertical="center"/>
      <protection locked="0"/>
    </xf>
    <xf numFmtId="1" fontId="58" fillId="12" borderId="48" xfId="0" applyNumberFormat="1" applyFont="1" applyFill="1" applyBorder="1" applyAlignment="1" applyProtection="1">
      <alignment horizontal="center" vertical="center" wrapText="1"/>
      <protection locked="0"/>
    </xf>
    <xf numFmtId="0" fontId="55" fillId="0" borderId="49" xfId="0" applyNumberFormat="1" applyFont="1" applyFill="1" applyBorder="1" applyAlignment="1" applyProtection="1">
      <alignment horizontal="center"/>
      <protection locked="0"/>
    </xf>
    <xf numFmtId="169" fontId="58" fillId="12" borderId="49" xfId="0" applyNumberFormat="1" applyFont="1" applyFill="1" applyBorder="1" applyAlignment="1" applyProtection="1">
      <alignment horizontal="center" vertical="center" wrapText="1"/>
      <protection locked="0"/>
    </xf>
    <xf numFmtId="0" fontId="68" fillId="9" borderId="8" xfId="0" applyFont="1" applyFill="1" applyBorder="1" applyAlignment="1" applyProtection="1">
      <alignment horizontal="left" vertical="center" wrapText="1"/>
      <protection locked="0"/>
    </xf>
    <xf numFmtId="0" fontId="68" fillId="9" borderId="4" xfId="0" applyFont="1" applyFill="1" applyBorder="1" applyAlignment="1" applyProtection="1">
      <alignment horizontal="left" vertical="center" wrapText="1"/>
      <protection locked="0"/>
    </xf>
    <xf numFmtId="0" fontId="68" fillId="9" borderId="9" xfId="0" applyFont="1" applyFill="1" applyBorder="1" applyAlignment="1" applyProtection="1">
      <alignment horizontal="left" vertical="center" wrapText="1"/>
      <protection locked="0"/>
    </xf>
    <xf numFmtId="0" fontId="111" fillId="2" borderId="1" xfId="0" applyFont="1" applyFill="1" applyBorder="1" applyAlignment="1" applyProtection="1">
      <alignment horizontal="center"/>
      <protection locked="0"/>
    </xf>
    <xf numFmtId="0" fontId="111" fillId="2" borderId="2" xfId="0" applyFont="1" applyFill="1" applyBorder="1" applyAlignment="1" applyProtection="1">
      <alignment horizontal="center"/>
      <protection locked="0"/>
    </xf>
    <xf numFmtId="0" fontId="111" fillId="2" borderId="3" xfId="0" applyFont="1" applyFill="1" applyBorder="1" applyAlignment="1" applyProtection="1">
      <alignment horizontal="center"/>
      <protection locked="0"/>
    </xf>
    <xf numFmtId="0" fontId="55" fillId="12" borderId="49" xfId="0" applyFont="1" applyFill="1" applyBorder="1" applyAlignment="1" applyProtection="1">
      <alignment horizontal="center"/>
      <protection locked="0"/>
    </xf>
    <xf numFmtId="3" fontId="58" fillId="12" borderId="49" xfId="4" applyNumberFormat="1" applyFont="1" applyFill="1" applyBorder="1" applyAlignment="1" applyProtection="1">
      <alignment horizontal="center" vertical="center" wrapText="1"/>
      <protection locked="0"/>
    </xf>
    <xf numFmtId="0" fontId="56" fillId="12" borderId="0" xfId="0" applyFont="1" applyFill="1" applyBorder="1" applyAlignment="1" applyProtection="1">
      <alignment horizontal="left"/>
      <protection locked="0"/>
    </xf>
    <xf numFmtId="0" fontId="55" fillId="0" borderId="48" xfId="0" applyFont="1" applyFill="1" applyBorder="1" applyAlignment="1" applyProtection="1">
      <alignment horizontal="center"/>
      <protection locked="0"/>
    </xf>
    <xf numFmtId="0" fontId="55" fillId="0" borderId="49" xfId="0" applyFont="1" applyFill="1" applyBorder="1" applyAlignment="1" applyProtection="1">
      <alignment horizontal="center"/>
      <protection locked="0"/>
    </xf>
    <xf numFmtId="0" fontId="92" fillId="17" borderId="138" xfId="11" applyFont="1" applyFill="1" applyBorder="1" applyAlignment="1" applyProtection="1">
      <alignment horizontal="center" vertical="center"/>
      <protection locked="0"/>
    </xf>
    <xf numFmtId="0" fontId="90" fillId="0" borderId="138" xfId="11" applyFont="1" applyFill="1" applyBorder="1" applyAlignment="1" applyProtection="1">
      <alignment horizontal="center" vertical="center"/>
      <protection locked="0"/>
    </xf>
    <xf numFmtId="0" fontId="38" fillId="12" borderId="0" xfId="11" applyFont="1" applyFill="1" applyBorder="1" applyAlignment="1" applyProtection="1">
      <alignment horizontal="left"/>
      <protection locked="0"/>
    </xf>
    <xf numFmtId="0" fontId="100" fillId="17" borderId="138" xfId="11" applyFont="1" applyFill="1" applyBorder="1" applyAlignment="1" applyProtection="1">
      <alignment horizontal="center" vertical="center"/>
      <protection locked="0"/>
    </xf>
    <xf numFmtId="0" fontId="2" fillId="12" borderId="49" xfId="11" applyFill="1" applyBorder="1" applyAlignment="1" applyProtection="1">
      <alignment horizontal="left" indent="1"/>
      <protection locked="0"/>
    </xf>
    <xf numFmtId="0" fontId="90" fillId="12" borderId="0" xfId="11" applyFont="1" applyFill="1" applyBorder="1" applyAlignment="1" applyProtection="1">
      <alignment horizontal="left"/>
      <protection locked="0"/>
    </xf>
    <xf numFmtId="0" fontId="91" fillId="12" borderId="131" xfId="11" applyFont="1" applyFill="1" applyBorder="1" applyAlignment="1" applyProtection="1">
      <alignment horizontal="center"/>
    </xf>
    <xf numFmtId="166" fontId="91" fillId="12" borderId="131" xfId="11" applyNumberFormat="1" applyFont="1" applyFill="1" applyBorder="1" applyAlignment="1" applyProtection="1">
      <alignment horizontal="center"/>
    </xf>
    <xf numFmtId="0" fontId="91" fillId="12" borderId="132" xfId="11" applyFont="1" applyFill="1" applyBorder="1" applyAlignment="1" applyProtection="1">
      <alignment horizontal="center"/>
    </xf>
    <xf numFmtId="3" fontId="91" fillId="12" borderId="131" xfId="11" applyNumberFormat="1" applyFont="1" applyFill="1" applyBorder="1" applyAlignment="1" applyProtection="1">
      <alignment horizontal="center"/>
    </xf>
    <xf numFmtId="0" fontId="38" fillId="12" borderId="0" xfId="11" applyFont="1" applyFill="1" applyBorder="1" applyAlignment="1" applyProtection="1">
      <alignment horizontal="left" vertical="center"/>
      <protection locked="0"/>
    </xf>
    <xf numFmtId="0" fontId="94" fillId="12" borderId="0" xfId="11" applyFont="1" applyFill="1" applyAlignment="1" applyProtection="1">
      <alignment horizontal="left" vertical="top" wrapText="1"/>
      <protection locked="0"/>
    </xf>
    <xf numFmtId="168" fontId="2" fillId="12" borderId="48" xfId="11" applyNumberFormat="1" applyFill="1" applyBorder="1" applyAlignment="1" applyProtection="1">
      <alignment horizontal="left" indent="1"/>
      <protection locked="0"/>
    </xf>
    <xf numFmtId="167" fontId="2" fillId="12" borderId="49" xfId="11" applyNumberFormat="1" applyFill="1" applyBorder="1" applyAlignment="1" applyProtection="1">
      <alignment horizontal="left" indent="1"/>
    </xf>
    <xf numFmtId="1" fontId="2" fillId="12" borderId="49" xfId="11" applyNumberFormat="1" applyFill="1" applyBorder="1" applyAlignment="1" applyProtection="1">
      <alignment horizontal="left" indent="1"/>
    </xf>
    <xf numFmtId="0" fontId="2" fillId="12" borderId="49" xfId="11" applyFill="1" applyBorder="1" applyAlignment="1" applyProtection="1">
      <alignment horizontal="left" indent="1"/>
    </xf>
    <xf numFmtId="0" fontId="44" fillId="0" borderId="12"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14" fontId="44" fillId="0" borderId="0" xfId="0" applyNumberFormat="1" applyFont="1" applyFill="1" applyBorder="1" applyAlignment="1" applyProtection="1">
      <alignment horizontal="center"/>
      <protection locked="0"/>
    </xf>
    <xf numFmtId="0" fontId="67" fillId="16" borderId="6" xfId="0" applyFont="1" applyFill="1" applyBorder="1" applyAlignment="1" applyProtection="1">
      <alignment horizontal="center"/>
      <protection locked="0"/>
    </xf>
    <xf numFmtId="0" fontId="67" fillId="16" borderId="32" xfId="0" applyFont="1" applyFill="1" applyBorder="1" applyAlignment="1" applyProtection="1">
      <alignment horizontal="center"/>
      <protection locked="0"/>
    </xf>
    <xf numFmtId="0" fontId="65" fillId="9" borderId="12" xfId="0" applyFont="1" applyFill="1" applyBorder="1" applyAlignment="1" applyProtection="1">
      <alignment horizontal="center"/>
      <protection locked="0"/>
    </xf>
    <xf numFmtId="0" fontId="65" fillId="9" borderId="0" xfId="0" applyFont="1" applyFill="1" applyBorder="1" applyAlignment="1" applyProtection="1">
      <alignment horizontal="center"/>
      <protection locked="0"/>
    </xf>
    <xf numFmtId="0" fontId="66" fillId="2" borderId="1" xfId="0" applyFont="1" applyFill="1" applyBorder="1" applyAlignment="1" applyProtection="1">
      <alignment horizontal="center"/>
      <protection locked="0"/>
    </xf>
    <xf numFmtId="0" fontId="66" fillId="2" borderId="2" xfId="0" applyFont="1" applyFill="1" applyBorder="1" applyAlignment="1" applyProtection="1">
      <alignment horizontal="center"/>
      <protection locked="0"/>
    </xf>
    <xf numFmtId="0" fontId="66" fillId="2" borderId="3" xfId="0" applyFont="1" applyFill="1" applyBorder="1" applyAlignment="1" applyProtection="1">
      <alignment horizontal="center"/>
      <protection locked="0"/>
    </xf>
    <xf numFmtId="0" fontId="65" fillId="16" borderId="6" xfId="0" applyFont="1" applyFill="1" applyBorder="1" applyAlignment="1" applyProtection="1">
      <alignment horizontal="center"/>
      <protection locked="0"/>
    </xf>
    <xf numFmtId="0" fontId="65" fillId="16" borderId="32" xfId="0" applyFont="1" applyFill="1" applyBorder="1" applyAlignment="1" applyProtection="1">
      <alignment horizontal="center"/>
      <protection locked="0"/>
    </xf>
    <xf numFmtId="0" fontId="65" fillId="16" borderId="7" xfId="0" applyFont="1" applyFill="1" applyBorder="1" applyAlignment="1" applyProtection="1">
      <alignment horizontal="center"/>
      <protection locked="0"/>
    </xf>
    <xf numFmtId="0" fontId="65" fillId="9" borderId="13" xfId="0" applyFont="1" applyFill="1" applyBorder="1" applyAlignment="1" applyProtection="1">
      <alignment horizontal="center"/>
      <protection locked="0"/>
    </xf>
    <xf numFmtId="6" fontId="39" fillId="9" borderId="17" xfId="6" applyNumberFormat="1" applyFont="1" applyFill="1" applyBorder="1" applyAlignment="1">
      <alignment horizontal="center" vertical="center"/>
    </xf>
    <xf numFmtId="0" fontId="39" fillId="9" borderId="19" xfId="6" applyNumberFormat="1" applyFont="1" applyFill="1" applyBorder="1" applyAlignment="1">
      <alignment horizontal="center" vertical="center"/>
    </xf>
    <xf numFmtId="6" fontId="39" fillId="9" borderId="17" xfId="7" applyNumberFormat="1" applyFont="1" applyFill="1" applyBorder="1" applyAlignment="1">
      <alignment horizontal="center"/>
    </xf>
    <xf numFmtId="0" fontId="39" fillId="9" borderId="19" xfId="7" applyNumberFormat="1" applyFont="1" applyFill="1" applyBorder="1" applyAlignment="1">
      <alignment horizontal="center"/>
    </xf>
    <xf numFmtId="6" fontId="38" fillId="9" borderId="17" xfId="7" applyNumberFormat="1" applyFont="1" applyFill="1" applyBorder="1" applyAlignment="1">
      <alignment horizontal="center"/>
    </xf>
    <xf numFmtId="0" fontId="38" fillId="9" borderId="19" xfId="7" applyNumberFormat="1" applyFont="1" applyFill="1" applyBorder="1" applyAlignment="1">
      <alignment horizontal="center"/>
    </xf>
    <xf numFmtId="9" fontId="50" fillId="12" borderId="0" xfId="2" applyFont="1" applyFill="1" applyBorder="1" applyAlignment="1">
      <alignment horizontal="center" vertical="center"/>
    </xf>
    <xf numFmtId="9" fontId="50" fillId="12" borderId="76" xfId="2" applyFont="1" applyFill="1" applyBorder="1" applyAlignment="1">
      <alignment horizontal="center" vertical="center"/>
    </xf>
    <xf numFmtId="166" fontId="45" fillId="12" borderId="62" xfId="0" applyNumberFormat="1" applyFont="1" applyFill="1" applyBorder="1" applyAlignment="1">
      <alignment horizontal="center" vertical="center"/>
    </xf>
    <xf numFmtId="0" fontId="45" fillId="12" borderId="62" xfId="0" applyFont="1" applyFill="1" applyBorder="1" applyAlignment="1">
      <alignment horizontal="center" vertical="center"/>
    </xf>
    <xf numFmtId="9" fontId="45" fillId="12" borderId="62" xfId="2" applyFont="1" applyFill="1" applyBorder="1" applyAlignment="1">
      <alignment horizontal="center" vertical="center"/>
    </xf>
    <xf numFmtId="173" fontId="45" fillId="12" borderId="62" xfId="0" applyNumberFormat="1" applyFont="1" applyFill="1" applyBorder="1" applyAlignment="1">
      <alignment horizontal="center" vertical="center"/>
    </xf>
    <xf numFmtId="9" fontId="45" fillId="12" borderId="86" xfId="2" applyFont="1" applyFill="1" applyBorder="1" applyAlignment="1">
      <alignment horizontal="center" vertical="center"/>
    </xf>
    <xf numFmtId="0" fontId="45" fillId="12" borderId="75" xfId="0" applyFont="1" applyFill="1" applyBorder="1" applyAlignment="1">
      <alignment horizontal="right" vertical="center"/>
    </xf>
    <xf numFmtId="0" fontId="45" fillId="12" borderId="0" xfId="0" applyFont="1" applyFill="1" applyBorder="1" applyAlignment="1">
      <alignment horizontal="right" vertical="center"/>
    </xf>
    <xf numFmtId="166" fontId="53" fillId="13" borderId="79" xfId="0" applyNumberFormat="1" applyFont="1" applyFill="1" applyBorder="1" applyAlignment="1">
      <alignment horizontal="center" vertical="center"/>
    </xf>
    <xf numFmtId="166" fontId="53" fillId="13" borderId="80" xfId="0" applyNumberFormat="1" applyFont="1" applyFill="1" applyBorder="1" applyAlignment="1">
      <alignment horizontal="center" vertical="center"/>
    </xf>
    <xf numFmtId="166" fontId="53" fillId="13" borderId="81" xfId="0" applyNumberFormat="1" applyFont="1" applyFill="1" applyBorder="1" applyAlignment="1">
      <alignment horizontal="center" vertical="center"/>
    </xf>
    <xf numFmtId="0" fontId="53" fillId="13" borderId="81" xfId="0" applyFont="1" applyFill="1" applyBorder="1" applyAlignment="1">
      <alignment horizontal="center" vertical="center"/>
    </xf>
    <xf numFmtId="9" fontId="53" fillId="13" borderId="81" xfId="2" applyFont="1" applyFill="1" applyBorder="1" applyAlignment="1">
      <alignment horizontal="center" vertical="center"/>
    </xf>
    <xf numFmtId="9" fontId="53" fillId="13" borderId="82" xfId="2" applyFont="1" applyFill="1" applyBorder="1" applyAlignment="1">
      <alignment horizontal="center" vertical="center"/>
    </xf>
    <xf numFmtId="0" fontId="50" fillId="13" borderId="93" xfId="0" applyFont="1" applyFill="1" applyBorder="1" applyAlignment="1">
      <alignment horizontal="right" vertical="center"/>
    </xf>
    <xf numFmtId="0" fontId="50" fillId="13" borderId="79" xfId="0" applyFont="1" applyFill="1" applyBorder="1" applyAlignment="1">
      <alignment horizontal="right" vertical="center"/>
    </xf>
    <xf numFmtId="166" fontId="50" fillId="13" borderId="79" xfId="0" applyNumberFormat="1" applyFont="1" applyFill="1" applyBorder="1" applyAlignment="1">
      <alignment horizontal="center" vertical="center"/>
    </xf>
    <xf numFmtId="0" fontId="50" fillId="13" borderId="79" xfId="0" applyFont="1" applyFill="1" applyBorder="1" applyAlignment="1">
      <alignment horizontal="center" vertical="center"/>
    </xf>
    <xf numFmtId="0" fontId="50" fillId="13" borderId="94" xfId="0" applyFont="1" applyFill="1" applyBorder="1" applyAlignment="1">
      <alignment horizontal="center" vertical="center"/>
    </xf>
    <xf numFmtId="166" fontId="45" fillId="12" borderId="86" xfId="0" applyNumberFormat="1" applyFont="1" applyFill="1" applyBorder="1" applyAlignment="1">
      <alignment horizontal="center" vertical="center"/>
    </xf>
    <xf numFmtId="0" fontId="45" fillId="12" borderId="86" xfId="0" applyFont="1" applyFill="1" applyBorder="1" applyAlignment="1">
      <alignment horizontal="center" vertical="center"/>
    </xf>
    <xf numFmtId="173" fontId="45" fillId="12" borderId="86" xfId="0" applyNumberFormat="1" applyFont="1" applyFill="1" applyBorder="1" applyAlignment="1">
      <alignment horizontal="center" vertical="center"/>
    </xf>
    <xf numFmtId="9" fontId="53" fillId="13" borderId="95" xfId="2" applyFont="1" applyFill="1" applyBorder="1" applyAlignment="1">
      <alignment horizontal="center" vertical="center"/>
    </xf>
    <xf numFmtId="173" fontId="53" fillId="13" borderId="96" xfId="0" applyNumberFormat="1" applyFont="1" applyFill="1" applyBorder="1" applyAlignment="1">
      <alignment horizontal="center" vertical="center"/>
    </xf>
    <xf numFmtId="173" fontId="53" fillId="13" borderId="81" xfId="0" applyNumberFormat="1" applyFont="1" applyFill="1" applyBorder="1" applyAlignment="1">
      <alignment horizontal="center" vertical="center"/>
    </xf>
    <xf numFmtId="166" fontId="50" fillId="12" borderId="0" xfId="0" applyNumberFormat="1" applyFont="1" applyFill="1" applyBorder="1" applyAlignment="1">
      <alignment horizontal="center" vertical="center"/>
    </xf>
    <xf numFmtId="0" fontId="50" fillId="12" borderId="0" xfId="0" applyFont="1" applyFill="1" applyBorder="1" applyAlignment="1">
      <alignment horizontal="center" vertical="center"/>
    </xf>
    <xf numFmtId="0" fontId="50" fillId="12" borderId="76" xfId="0" applyFont="1" applyFill="1" applyBorder="1" applyAlignment="1">
      <alignment horizontal="center" vertical="center"/>
    </xf>
    <xf numFmtId="166" fontId="45" fillId="12" borderId="61" xfId="0" applyNumberFormat="1" applyFont="1" applyFill="1" applyBorder="1" applyAlignment="1">
      <alignment horizontal="center" vertical="center"/>
    </xf>
    <xf numFmtId="0" fontId="45" fillId="12" borderId="61" xfId="0" applyFont="1" applyFill="1" applyBorder="1" applyAlignment="1">
      <alignment horizontal="center" vertical="center"/>
    </xf>
    <xf numFmtId="9" fontId="45" fillId="12" borderId="61" xfId="2" applyFont="1" applyFill="1" applyBorder="1" applyAlignment="1">
      <alignment horizontal="center" vertical="center"/>
    </xf>
    <xf numFmtId="173" fontId="45" fillId="12" borderId="61" xfId="0" applyNumberFormat="1" applyFont="1" applyFill="1" applyBorder="1" applyAlignment="1">
      <alignment horizontal="center" vertical="center"/>
    </xf>
    <xf numFmtId="0" fontId="44" fillId="12" borderId="69" xfId="0" applyFont="1" applyFill="1" applyBorder="1" applyAlignment="1">
      <alignment horizontal="center" vertical="center" wrapText="1"/>
    </xf>
    <xf numFmtId="0" fontId="44" fillId="12" borderId="70" xfId="0" applyFont="1" applyFill="1" applyBorder="1" applyAlignment="1">
      <alignment horizontal="center" vertical="center" wrapText="1"/>
    </xf>
    <xf numFmtId="0" fontId="44" fillId="12" borderId="71" xfId="0" applyFont="1" applyFill="1" applyBorder="1" applyAlignment="1">
      <alignment horizontal="center" vertical="center" wrapText="1"/>
    </xf>
    <xf numFmtId="0" fontId="44" fillId="12" borderId="77" xfId="0" applyFont="1" applyFill="1" applyBorder="1" applyAlignment="1">
      <alignment horizontal="center" vertical="center" wrapText="1"/>
    </xf>
    <xf numFmtId="0" fontId="44" fillId="12" borderId="0" xfId="0" applyFont="1" applyFill="1" applyBorder="1" applyAlignment="1">
      <alignment horizontal="center" vertical="center" wrapText="1"/>
    </xf>
    <xf numFmtId="0" fontId="44" fillId="12" borderId="85" xfId="0" applyFont="1" applyFill="1" applyBorder="1" applyAlignment="1">
      <alignment horizontal="center" vertical="center" wrapText="1"/>
    </xf>
    <xf numFmtId="0" fontId="44" fillId="12" borderId="97" xfId="0" applyFont="1" applyFill="1" applyBorder="1" applyAlignment="1">
      <alignment horizontal="center" vertical="center" wrapText="1"/>
    </xf>
    <xf numFmtId="0" fontId="44" fillId="12" borderId="51" xfId="0" applyFont="1" applyFill="1" applyBorder="1" applyAlignment="1">
      <alignment horizontal="center" vertical="center" wrapText="1"/>
    </xf>
    <xf numFmtId="0" fontId="44" fillId="12" borderId="98" xfId="0" applyFont="1" applyFill="1" applyBorder="1" applyAlignment="1">
      <alignment horizontal="center" vertical="center" wrapText="1"/>
    </xf>
    <xf numFmtId="166" fontId="45" fillId="12" borderId="0" xfId="0" applyNumberFormat="1" applyFont="1" applyFill="1" applyBorder="1" applyAlignment="1">
      <alignment horizontal="center" vertical="center"/>
    </xf>
    <xf numFmtId="0" fontId="45" fillId="12" borderId="0" xfId="0" applyFont="1" applyFill="1" applyBorder="1" applyAlignment="1">
      <alignment horizontal="center" vertical="center"/>
    </xf>
    <xf numFmtId="0" fontId="45" fillId="12" borderId="76" xfId="0" applyFont="1" applyFill="1" applyBorder="1" applyAlignment="1">
      <alignment horizontal="center" vertical="center"/>
    </xf>
    <xf numFmtId="0" fontId="51" fillId="15" borderId="55" xfId="0" applyFont="1" applyFill="1" applyBorder="1" applyAlignment="1">
      <alignment horizontal="center" vertical="center"/>
    </xf>
    <xf numFmtId="0" fontId="45" fillId="12" borderId="90" xfId="0" applyFont="1" applyFill="1" applyBorder="1" applyAlignment="1">
      <alignment horizontal="right" vertical="center"/>
    </xf>
    <xf numFmtId="0" fontId="45" fillId="12" borderId="91" xfId="0" applyFont="1" applyFill="1" applyBorder="1" applyAlignment="1">
      <alignment horizontal="right" vertical="center"/>
    </xf>
    <xf numFmtId="166" fontId="45" fillId="12" borderId="91" xfId="0" applyNumberFormat="1" applyFont="1" applyFill="1" applyBorder="1" applyAlignment="1">
      <alignment horizontal="center" vertical="center"/>
    </xf>
    <xf numFmtId="0" fontId="45" fillId="12" borderId="91" xfId="0" applyFont="1" applyFill="1" applyBorder="1" applyAlignment="1">
      <alignment horizontal="center" vertical="center"/>
    </xf>
    <xf numFmtId="0" fontId="45" fillId="12" borderId="92" xfId="0" applyFont="1" applyFill="1" applyBorder="1" applyAlignment="1">
      <alignment horizontal="center" vertical="center"/>
    </xf>
    <xf numFmtId="173" fontId="50" fillId="14" borderId="55" xfId="0" applyNumberFormat="1" applyFont="1" applyFill="1" applyBorder="1" applyAlignment="1" applyProtection="1">
      <alignment horizontal="center" vertical="center"/>
      <protection locked="0"/>
    </xf>
    <xf numFmtId="0" fontId="51" fillId="15" borderId="55" xfId="0" applyFont="1" applyFill="1" applyBorder="1" applyAlignment="1">
      <alignment horizontal="center" vertical="center" wrapText="1"/>
    </xf>
    <xf numFmtId="0" fontId="50" fillId="12" borderId="75" xfId="0" applyFont="1" applyFill="1" applyBorder="1" applyAlignment="1">
      <alignment horizontal="right" vertical="center"/>
    </xf>
    <xf numFmtId="0" fontId="50" fillId="12" borderId="0" xfId="0" applyFont="1" applyFill="1" applyBorder="1" applyAlignment="1">
      <alignment horizontal="right" vertical="center"/>
    </xf>
    <xf numFmtId="0" fontId="45" fillId="12" borderId="77" xfId="0" applyFont="1" applyFill="1" applyBorder="1" applyAlignment="1">
      <alignment horizontal="right" vertical="center"/>
    </xf>
    <xf numFmtId="172" fontId="52" fillId="14" borderId="66" xfId="0" applyNumberFormat="1" applyFont="1" applyFill="1" applyBorder="1" applyAlignment="1" applyProtection="1">
      <alignment horizontal="center" vertical="center"/>
      <protection locked="0"/>
    </xf>
    <xf numFmtId="172" fontId="52" fillId="14" borderId="67" xfId="0" applyNumberFormat="1" applyFont="1" applyFill="1" applyBorder="1" applyAlignment="1" applyProtection="1">
      <alignment horizontal="center" vertical="center"/>
      <protection locked="0"/>
    </xf>
    <xf numFmtId="172" fontId="52" fillId="14" borderId="68" xfId="0" applyNumberFormat="1" applyFont="1" applyFill="1" applyBorder="1" applyAlignment="1" applyProtection="1">
      <alignment horizontal="center" vertical="center"/>
      <protection locked="0"/>
    </xf>
    <xf numFmtId="0" fontId="44" fillId="9" borderId="0" xfId="0" applyFont="1" applyFill="1" applyBorder="1" applyAlignment="1">
      <alignment horizontal="center" vertical="center"/>
    </xf>
    <xf numFmtId="0" fontId="49" fillId="9" borderId="0" xfId="0" applyFont="1" applyFill="1" applyBorder="1" applyAlignment="1">
      <alignment horizontal="center" vertical="center"/>
    </xf>
    <xf numFmtId="166" fontId="50" fillId="14" borderId="55" xfId="1" applyNumberFormat="1" applyFont="1" applyFill="1" applyBorder="1" applyAlignment="1" applyProtection="1">
      <alignment horizontal="center" vertical="center"/>
      <protection locked="0"/>
    </xf>
    <xf numFmtId="0" fontId="47" fillId="9" borderId="0" xfId="0" applyFont="1" applyFill="1" applyAlignment="1">
      <alignment horizontal="center" vertical="center"/>
    </xf>
    <xf numFmtId="0" fontId="47" fillId="9" borderId="51" xfId="0" applyFont="1" applyFill="1" applyBorder="1" applyAlignment="1">
      <alignment horizontal="center" vertical="center"/>
    </xf>
    <xf numFmtId="166" fontId="45" fillId="12" borderId="63" xfId="0" applyNumberFormat="1" applyFont="1" applyFill="1" applyBorder="1" applyAlignment="1">
      <alignment horizontal="center" vertical="center"/>
    </xf>
    <xf numFmtId="166" fontId="45" fillId="12" borderId="64" xfId="0" applyNumberFormat="1" applyFont="1" applyFill="1" applyBorder="1" applyAlignment="1">
      <alignment horizontal="center" vertical="center"/>
    </xf>
    <xf numFmtId="166" fontId="45" fillId="12" borderId="65" xfId="0" applyNumberFormat="1" applyFont="1" applyFill="1" applyBorder="1" applyAlignment="1">
      <alignment horizontal="center" vertical="center"/>
    </xf>
    <xf numFmtId="166" fontId="52" fillId="14" borderId="66" xfId="0" applyNumberFormat="1" applyFont="1" applyFill="1" applyBorder="1" applyAlignment="1" applyProtection="1">
      <alignment horizontal="center" vertical="center"/>
      <protection locked="0"/>
    </xf>
    <xf numFmtId="166" fontId="52" fillId="14" borderId="67" xfId="0" applyNumberFormat="1" applyFont="1" applyFill="1" applyBorder="1" applyAlignment="1" applyProtection="1">
      <alignment horizontal="center" vertical="center"/>
      <protection locked="0"/>
    </xf>
    <xf numFmtId="166" fontId="52" fillId="14" borderId="68" xfId="0" applyNumberFormat="1" applyFont="1" applyFill="1" applyBorder="1" applyAlignment="1" applyProtection="1">
      <alignment horizontal="center" vertical="center"/>
      <protection locked="0"/>
    </xf>
    <xf numFmtId="166" fontId="45" fillId="12" borderId="87" xfId="0" applyNumberFormat="1" applyFont="1" applyFill="1" applyBorder="1" applyAlignment="1">
      <alignment horizontal="center" vertical="center"/>
    </xf>
    <xf numFmtId="166" fontId="45" fillId="12" borderId="88" xfId="0" applyNumberFormat="1" applyFont="1" applyFill="1" applyBorder="1" applyAlignment="1">
      <alignment horizontal="center" vertical="center"/>
    </xf>
    <xf numFmtId="166" fontId="45" fillId="12" borderId="89" xfId="0" applyNumberFormat="1" applyFont="1" applyFill="1" applyBorder="1" applyAlignment="1">
      <alignment horizontal="center" vertical="center"/>
    </xf>
    <xf numFmtId="0" fontId="54" fillId="12" borderId="75" xfId="0" applyFont="1" applyFill="1" applyBorder="1" applyAlignment="1">
      <alignment horizontal="right" vertical="center"/>
    </xf>
    <xf numFmtId="0" fontId="54" fillId="12" borderId="0" xfId="0" applyFont="1" applyFill="1" applyBorder="1" applyAlignment="1">
      <alignment horizontal="right" vertical="center"/>
    </xf>
    <xf numFmtId="166" fontId="53" fillId="13" borderId="82" xfId="0" applyNumberFormat="1" applyFont="1" applyFill="1" applyBorder="1" applyAlignment="1">
      <alignment horizontal="center" vertical="center"/>
    </xf>
    <xf numFmtId="0" fontId="23" fillId="15" borderId="66" xfId="0" applyFont="1" applyFill="1" applyBorder="1" applyAlignment="1">
      <alignment horizontal="center" vertical="center"/>
    </xf>
    <xf numFmtId="0" fontId="23" fillId="15" borderId="67" xfId="0" applyFont="1" applyFill="1" applyBorder="1" applyAlignment="1">
      <alignment horizontal="center" vertical="center"/>
    </xf>
    <xf numFmtId="0" fontId="23" fillId="15" borderId="68" xfId="0" applyFont="1" applyFill="1" applyBorder="1" applyAlignment="1">
      <alignment horizontal="center" vertical="center"/>
    </xf>
    <xf numFmtId="166" fontId="45" fillId="12" borderId="72" xfId="0" applyNumberFormat="1" applyFont="1" applyFill="1" applyBorder="1" applyAlignment="1">
      <alignment horizontal="center" vertical="center"/>
    </xf>
    <xf numFmtId="166" fontId="45" fillId="12" borderId="73" xfId="0" applyNumberFormat="1" applyFont="1" applyFill="1" applyBorder="1" applyAlignment="1">
      <alignment horizontal="center" vertical="center"/>
    </xf>
    <xf numFmtId="166" fontId="45" fillId="12" borderId="74" xfId="0" applyNumberFormat="1" applyFont="1" applyFill="1" applyBorder="1" applyAlignment="1">
      <alignment horizontal="center" vertical="center"/>
    </xf>
    <xf numFmtId="0" fontId="46" fillId="13" borderId="52" xfId="0" applyFont="1" applyFill="1" applyBorder="1" applyAlignment="1">
      <alignment horizontal="left" vertical="center" wrapText="1" indent="1"/>
    </xf>
    <xf numFmtId="0" fontId="46" fillId="13" borderId="53" xfId="0" applyFont="1" applyFill="1" applyBorder="1" applyAlignment="1">
      <alignment horizontal="left" vertical="center" wrapText="1" indent="1"/>
    </xf>
    <xf numFmtId="0" fontId="46" fillId="13" borderId="54" xfId="0" applyFont="1" applyFill="1" applyBorder="1" applyAlignment="1">
      <alignment horizontal="left" vertical="center" wrapText="1" indent="1"/>
    </xf>
    <xf numFmtId="0" fontId="46" fillId="13" borderId="56" xfId="0" applyFont="1" applyFill="1" applyBorder="1" applyAlignment="1">
      <alignment horizontal="left" vertical="center" wrapText="1" indent="1"/>
    </xf>
    <xf numFmtId="0" fontId="46" fillId="13" borderId="0" xfId="0" applyFont="1" applyFill="1" applyBorder="1" applyAlignment="1">
      <alignment horizontal="left" vertical="center" wrapText="1" indent="1"/>
    </xf>
    <xf numFmtId="0" fontId="46" fillId="13" borderId="57" xfId="0" applyFont="1" applyFill="1" applyBorder="1" applyAlignment="1">
      <alignment horizontal="left" vertical="center" wrapText="1" indent="1"/>
    </xf>
    <xf numFmtId="0" fontId="46" fillId="13" borderId="58" xfId="0" applyFont="1" applyFill="1" applyBorder="1" applyAlignment="1">
      <alignment horizontal="left" vertical="center" wrapText="1" indent="1"/>
    </xf>
    <xf numFmtId="0" fontId="46" fillId="13" borderId="59" xfId="0" applyFont="1" applyFill="1" applyBorder="1" applyAlignment="1">
      <alignment horizontal="left" vertical="center" wrapText="1" indent="1"/>
    </xf>
    <xf numFmtId="0" fontId="46" fillId="13" borderId="60" xfId="0" applyFont="1" applyFill="1" applyBorder="1" applyAlignment="1">
      <alignment horizontal="left" vertical="center" wrapText="1" indent="1"/>
    </xf>
  </cellXfs>
  <cellStyles count="13">
    <cellStyle name="Comma" xfId="4" builtinId="3"/>
    <cellStyle name="Comma 2" xfId="3" xr:uid="{00000000-0005-0000-0000-000001000000}"/>
    <cellStyle name="Comma 3" xfId="6" xr:uid="{00000000-0005-0000-0000-000002000000}"/>
    <cellStyle name="Currency" xfId="1" builtinId="4"/>
    <cellStyle name="Currency 2" xfId="7" xr:uid="{00000000-0005-0000-0000-000004000000}"/>
    <cellStyle name="Hyperlink" xfId="9" builtinId="8"/>
    <cellStyle name="Hyperlink 2" xfId="12" xr:uid="{00000000-0005-0000-0000-000006000000}"/>
    <cellStyle name="Normal" xfId="0" builtinId="0"/>
    <cellStyle name="Normal 2" xfId="5" xr:uid="{00000000-0005-0000-0000-000008000000}"/>
    <cellStyle name="Normal 3" xfId="10" xr:uid="{00000000-0005-0000-0000-000009000000}"/>
    <cellStyle name="Normal 4" xfId="11" xr:uid="{00000000-0005-0000-0000-00000A000000}"/>
    <cellStyle name="Percent" xfId="2" builtinId="5"/>
    <cellStyle name="Percent 2" xfId="8"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7</xdr:col>
      <xdr:colOff>0</xdr:colOff>
      <xdr:row>35</xdr:row>
      <xdr:rowOff>0</xdr:rowOff>
    </xdr:from>
    <xdr:ext cx="292100" cy="254000"/>
    <xdr:sp macro="" textlink="">
      <xdr:nvSpPr>
        <xdr:cNvPr id="2" name="Picture 1" hidden="1">
          <a:extLst>
            <a:ext uri="{63B3BB69-23CF-44E3-9099-C40C66FF867C}">
              <a14:compatExt xmlns:a14="http://schemas.microsoft.com/office/drawing/2010/main" spid="_x0000_s21505"/>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w="9525">
          <a:miter lim="800000"/>
          <a:headEnd/>
          <a:tailEnd/>
        </a:ln>
      </xdr:spPr>
    </xdr:sp>
    <xdr:clientData/>
  </xdr:oneCellAnchor>
  <xdr:twoCellAnchor editAs="oneCell">
    <xdr:from>
      <xdr:col>7</xdr:col>
      <xdr:colOff>0</xdr:colOff>
      <xdr:row>35</xdr:row>
      <xdr:rowOff>0</xdr:rowOff>
    </xdr:from>
    <xdr:to>
      <xdr:col>7</xdr:col>
      <xdr:colOff>292100</xdr:colOff>
      <xdr:row>36</xdr:row>
      <xdr:rowOff>76200</xdr:rowOff>
    </xdr:to>
    <xdr:pic>
      <xdr:nvPicPr>
        <xdr:cNvPr id="21505" name="Picture 1">
          <a:extLst>
            <a:ext uri="{FF2B5EF4-FFF2-40B4-BE49-F238E27FC236}">
              <a16:creationId xmlns:a16="http://schemas.microsoft.com/office/drawing/2014/main" id="{00000000-0008-0000-0100-00000154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4000" y="7086600"/>
          <a:ext cx="292100" cy="254000"/>
        </a:xfrm>
        <a:prstGeom prst="rect">
          <a:avLst/>
        </a:prstGeom>
        <a:noFill/>
        <a:ln w="9525">
          <a:miter lim="800000"/>
          <a:headEnd/>
          <a:tailEnd/>
        </a:ln>
      </xdr:spPr>
    </xdr:pic>
    <xdr:clientData/>
  </xdr:twoCellAnchor>
  <xdr:twoCellAnchor editAs="oneCell">
    <xdr:from>
      <xdr:col>1</xdr:col>
      <xdr:colOff>84666</xdr:colOff>
      <xdr:row>0</xdr:row>
      <xdr:rowOff>0</xdr:rowOff>
    </xdr:from>
    <xdr:to>
      <xdr:col>3</xdr:col>
      <xdr:colOff>1312334</xdr:colOff>
      <xdr:row>10</xdr:row>
      <xdr:rowOff>141112</xdr:rowOff>
    </xdr:to>
    <xdr:pic>
      <xdr:nvPicPr>
        <xdr:cNvPr id="3" name="Picture 2">
          <a:extLst>
            <a:ext uri="{FF2B5EF4-FFF2-40B4-BE49-F238E27FC236}">
              <a16:creationId xmlns:a16="http://schemas.microsoft.com/office/drawing/2014/main" id="{F3F063B4-711A-9248-B8C0-A4D0A268FDF3}"/>
            </a:ext>
          </a:extLst>
        </xdr:cNvPr>
        <xdr:cNvPicPr>
          <a:picLocks noChangeAspect="1"/>
        </xdr:cNvPicPr>
      </xdr:nvPicPr>
      <xdr:blipFill>
        <a:blip xmlns:r="http://schemas.openxmlformats.org/officeDocument/2006/relationships" r:embed="rId2"/>
        <a:stretch>
          <a:fillRect/>
        </a:stretch>
      </xdr:blipFill>
      <xdr:spPr>
        <a:xfrm>
          <a:off x="282222" y="0"/>
          <a:ext cx="2963334" cy="1975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15240</xdr:colOff>
      <xdr:row>3</xdr:row>
      <xdr:rowOff>0</xdr:rowOff>
    </xdr:from>
    <xdr:to>
      <xdr:col>22</xdr:col>
      <xdr:colOff>812800</xdr:colOff>
      <xdr:row>17</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803640" y="1181100"/>
          <a:ext cx="6728460" cy="313690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latin typeface="+mn-lt"/>
              <a:cs typeface="Calibri"/>
            </a:rPr>
            <a:t>Estimate Costs</a:t>
          </a:r>
          <a:endParaRPr lang="en-US" sz="1200" b="1" u="sng" baseline="0">
            <a:latin typeface="+mn-lt"/>
            <a:cs typeface="Calibri"/>
          </a:endParaRPr>
        </a:p>
        <a:p>
          <a:r>
            <a:rPr lang="en-US" sz="1200" b="0" u="none">
              <a:latin typeface="+mn-lt"/>
              <a:cs typeface="Calibri"/>
            </a:rPr>
            <a:t>Pricing will vary based on what type of contractors you get quotes back from. Prices will also vary based on the type materials (low end/high end) you ultimately choose to install. As you start to regularly work with certain contractors you will want to update this repair estimator twice a year based on who you work with and what prices you are able to negotiate. You always want to negotiate quotes you get back and shoot for wholesale pricing.</a:t>
          </a:r>
        </a:p>
        <a:p>
          <a:endParaRPr lang="en-US" sz="1200" b="0" u="none">
            <a:latin typeface="+mn-lt"/>
            <a:cs typeface="Calibri"/>
          </a:endParaRPr>
        </a:p>
        <a:p>
          <a:r>
            <a:rPr lang="en-US" sz="1200" b="1" u="sng">
              <a:latin typeface="+mn-lt"/>
              <a:cs typeface="Calibri"/>
            </a:rPr>
            <a:t>Customizing</a:t>
          </a:r>
          <a:r>
            <a:rPr lang="en-US" sz="1200" b="1" u="sng" baseline="0">
              <a:latin typeface="+mn-lt"/>
              <a:cs typeface="Calibri"/>
            </a:rPr>
            <a:t> the Repair Estimator</a:t>
          </a:r>
          <a:endParaRPr lang="en-US" sz="1200" b="1" u="sng">
            <a:latin typeface="+mn-lt"/>
            <a:cs typeface="Calibri"/>
          </a:endParaRPr>
        </a:p>
        <a:p>
          <a:r>
            <a:rPr lang="en-US" sz="1200" b="0" u="none">
              <a:latin typeface="+mn-lt"/>
              <a:cs typeface="Calibri"/>
            </a:rPr>
            <a:t>This worksheet is locked to protect the</a:t>
          </a:r>
          <a:r>
            <a:rPr lang="en-US" sz="1200" b="0" u="none" baseline="0">
              <a:latin typeface="+mn-lt"/>
              <a:cs typeface="Calibri"/>
            </a:rPr>
            <a:t> formulas and </a:t>
          </a:r>
          <a:r>
            <a:rPr lang="en-US" sz="1200" b="0" u="none">
              <a:latin typeface="+mn-lt"/>
              <a:cs typeface="Calibri"/>
            </a:rPr>
            <a:t>printer-friendly formatting.</a:t>
          </a:r>
          <a:r>
            <a:rPr lang="en-US" sz="1200" b="0" u="none" baseline="0">
              <a:latin typeface="+mn-lt"/>
              <a:cs typeface="Calibri"/>
            </a:rPr>
            <a:t>  To customize the worksheet you can easily unprotect the document by going to Review &gt; Unprotect Sheet.</a:t>
          </a:r>
        </a:p>
        <a:p>
          <a:endParaRPr lang="en-US" sz="1200" b="0" u="none" baseline="0">
            <a:latin typeface="+mn-lt"/>
            <a:cs typeface="Calibri"/>
          </a:endParaRPr>
        </a:p>
        <a:p>
          <a:r>
            <a:rPr lang="en-US" sz="1200" b="0" u="none" baseline="0">
              <a:latin typeface="+mn-lt"/>
              <a:cs typeface="Calibri"/>
            </a:rPr>
            <a:t>To rebrand the worksheet with your logo, right click the FB logo and select "Change Picture...". </a:t>
          </a:r>
        </a:p>
        <a:p>
          <a:endParaRPr lang="en-US" sz="1200" b="0" u="none">
            <a:latin typeface="+mn-lt"/>
            <a:cs typeface="Calibri"/>
          </a:endParaRPr>
        </a:p>
        <a:p>
          <a:r>
            <a:rPr lang="en-US" sz="1200" b="1" u="sng">
              <a:latin typeface="+mn-lt"/>
              <a:cs typeface="Calibri"/>
            </a:rPr>
            <a:t>Unit Abbreviations</a:t>
          </a:r>
        </a:p>
        <a:p>
          <a:r>
            <a:rPr lang="en-US" sz="1200" b="0" u="none">
              <a:latin typeface="+mn-lt"/>
              <a:cs typeface="Calibri"/>
            </a:rPr>
            <a:t>ea = each | lf = linear feet | ls = lump sum | sf = square feet | sy = square yards</a:t>
          </a:r>
        </a:p>
        <a:p>
          <a:endParaRPr lang="en-US" sz="1200" b="0" u="none">
            <a:latin typeface="+mn-lt"/>
            <a:cs typeface="Calibri"/>
          </a:endParaRPr>
        </a:p>
        <a:p>
          <a:endParaRPr lang="en-US" sz="1200" b="0" u="none">
            <a:latin typeface="+mn-lt"/>
            <a:cs typeface="Calibri"/>
          </a:endParaRPr>
        </a:p>
      </xdr:txBody>
    </xdr:sp>
    <xdr:clientData/>
  </xdr:twoCellAnchor>
  <xdr:twoCellAnchor editAs="oneCell">
    <xdr:from>
      <xdr:col>2</xdr:col>
      <xdr:colOff>292100</xdr:colOff>
      <xdr:row>6</xdr:row>
      <xdr:rowOff>12700</xdr:rowOff>
    </xdr:from>
    <xdr:to>
      <xdr:col>3</xdr:col>
      <xdr:colOff>50800</xdr:colOff>
      <xdr:row>6</xdr:row>
      <xdr:rowOff>241300</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548640</xdr:colOff>
      <xdr:row>6</xdr:row>
      <xdr:rowOff>48334</xdr:rowOff>
    </xdr:from>
    <xdr:ext cx="751840" cy="153888"/>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932940" y="2105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Mold</a:t>
          </a:r>
        </a:p>
      </xdr:txBody>
    </xdr:sp>
    <xdr:clientData/>
  </xdr:oneCellAnchor>
  <xdr:twoCellAnchor editAs="oneCell">
    <xdr:from>
      <xdr:col>3</xdr:col>
      <xdr:colOff>330200</xdr:colOff>
      <xdr:row>6</xdr:row>
      <xdr:rowOff>12700</xdr:rowOff>
    </xdr:from>
    <xdr:to>
      <xdr:col>4</xdr:col>
      <xdr:colOff>101600</xdr:colOff>
      <xdr:row>6</xdr:row>
      <xdr:rowOff>241300</xdr:rowOff>
    </xdr:to>
    <xdr:sp macro="" textlink="">
      <xdr:nvSpPr>
        <xdr:cNvPr id="10242" name="Check Box 2" hidden="1">
          <a:extLst>
            <a:ext uri="{63B3BB69-23CF-44E3-9099-C40C66FF867C}">
              <a14:compatExt xmlns:a14="http://schemas.microsoft.com/office/drawing/2010/main"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589280</xdr:colOff>
      <xdr:row>6</xdr:row>
      <xdr:rowOff>48334</xdr:rowOff>
    </xdr:from>
    <xdr:ext cx="751840" cy="153888"/>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2608580" y="2105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Permit Check</a:t>
          </a:r>
        </a:p>
      </xdr:txBody>
    </xdr:sp>
    <xdr:clientData/>
  </xdr:oneCellAnchor>
  <xdr:twoCellAnchor editAs="oneCell">
    <xdr:from>
      <xdr:col>5</xdr:col>
      <xdr:colOff>381000</xdr:colOff>
      <xdr:row>6</xdr:row>
      <xdr:rowOff>12700</xdr:rowOff>
    </xdr:from>
    <xdr:to>
      <xdr:col>6</xdr:col>
      <xdr:colOff>190500</xdr:colOff>
      <xdr:row>6</xdr:row>
      <xdr:rowOff>241300</xdr:rowOff>
    </xdr:to>
    <xdr:sp macro="" textlink="">
      <xdr:nvSpPr>
        <xdr:cNvPr id="10243" name="Check Box 3" hidden="1">
          <a:extLst>
            <a:ext uri="{63B3BB69-23CF-44E3-9099-C40C66FF867C}">
              <a14:compatExt xmlns:a14="http://schemas.microsoft.com/office/drawing/2010/main"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71120</xdr:colOff>
      <xdr:row>6</xdr:row>
      <xdr:rowOff>48334</xdr:rowOff>
    </xdr:from>
    <xdr:ext cx="751840" cy="153888"/>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3652520" y="2105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Pool</a:t>
          </a:r>
        </a:p>
      </xdr:txBody>
    </xdr:sp>
    <xdr:clientData/>
  </xdr:oneCellAnchor>
  <xdr:twoCellAnchor editAs="oneCell">
    <xdr:from>
      <xdr:col>6</xdr:col>
      <xdr:colOff>482600</xdr:colOff>
      <xdr:row>6</xdr:row>
      <xdr:rowOff>12700</xdr:rowOff>
    </xdr:from>
    <xdr:to>
      <xdr:col>7</xdr:col>
      <xdr:colOff>0</xdr:colOff>
      <xdr:row>6</xdr:row>
      <xdr:rowOff>241300</xdr:rowOff>
    </xdr:to>
    <xdr:sp macro="" textlink="">
      <xdr:nvSpPr>
        <xdr:cNvPr id="10244" name="Check Box 4"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751840</xdr:colOff>
      <xdr:row>6</xdr:row>
      <xdr:rowOff>48334</xdr:rowOff>
    </xdr:from>
    <xdr:ext cx="751840" cy="153888"/>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4333240" y="2105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Roof</a:t>
          </a:r>
        </a:p>
      </xdr:txBody>
    </xdr:sp>
    <xdr:clientData/>
  </xdr:oneCellAnchor>
  <xdr:twoCellAnchor editAs="oneCell">
    <xdr:from>
      <xdr:col>7</xdr:col>
      <xdr:colOff>177800</xdr:colOff>
      <xdr:row>6</xdr:row>
      <xdr:rowOff>12700</xdr:rowOff>
    </xdr:from>
    <xdr:to>
      <xdr:col>8</xdr:col>
      <xdr:colOff>0</xdr:colOff>
      <xdr:row>6</xdr:row>
      <xdr:rowOff>241300</xdr:rowOff>
    </xdr:to>
    <xdr:sp macro="" textlink="">
      <xdr:nvSpPr>
        <xdr:cNvPr id="10245" name="Check Box 5" hidden="1">
          <a:extLst>
            <a:ext uri="{63B3BB69-23CF-44E3-9099-C40C66FF867C}">
              <a14:compatExt xmlns:a14="http://schemas.microsoft.com/office/drawing/2010/main"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467360</xdr:colOff>
      <xdr:row>6</xdr:row>
      <xdr:rowOff>48334</xdr:rowOff>
    </xdr:from>
    <xdr:ext cx="751840" cy="153888"/>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5039360" y="2105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Septic</a:t>
          </a:r>
          <a:r>
            <a:rPr lang="en-US" sz="1000" baseline="0"/>
            <a:t> System</a:t>
          </a:r>
          <a:endParaRPr lang="en-US" sz="1000"/>
        </a:p>
      </xdr:txBody>
    </xdr:sp>
    <xdr:clientData/>
  </xdr:oneCellAnchor>
  <xdr:twoCellAnchor editAs="oneCell">
    <xdr:from>
      <xdr:col>8</xdr:col>
      <xdr:colOff>736600</xdr:colOff>
      <xdr:row>6</xdr:row>
      <xdr:rowOff>12700</xdr:rowOff>
    </xdr:from>
    <xdr:to>
      <xdr:col>9</xdr:col>
      <xdr:colOff>139700</xdr:colOff>
      <xdr:row>6</xdr:row>
      <xdr:rowOff>241300</xdr:rowOff>
    </xdr:to>
    <xdr:sp macro="" textlink="">
      <xdr:nvSpPr>
        <xdr:cNvPr id="10246" name="Check Box 6" hidden="1">
          <a:extLst>
            <a:ext uri="{63B3BB69-23CF-44E3-9099-C40C66FF867C}">
              <a14:compatExt xmlns:a14="http://schemas.microsoft.com/office/drawing/2010/main"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9</xdr:col>
      <xdr:colOff>20320</xdr:colOff>
      <xdr:row>6</xdr:row>
      <xdr:rowOff>48334</xdr:rowOff>
    </xdr:from>
    <xdr:ext cx="863600" cy="153888"/>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6167120" y="2105734"/>
          <a:ext cx="86360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Sewer</a:t>
          </a:r>
          <a:r>
            <a:rPr lang="en-US" sz="1000" baseline="0"/>
            <a:t> to Street</a:t>
          </a:r>
          <a:endParaRPr lang="en-US" sz="1000"/>
        </a:p>
      </xdr:txBody>
    </xdr:sp>
    <xdr:clientData/>
  </xdr:oneCellAnchor>
  <xdr:twoCellAnchor editAs="oneCell">
    <xdr:from>
      <xdr:col>11</xdr:col>
      <xdr:colOff>330200</xdr:colOff>
      <xdr:row>6</xdr:row>
      <xdr:rowOff>12700</xdr:rowOff>
    </xdr:from>
    <xdr:to>
      <xdr:col>12</xdr:col>
      <xdr:colOff>76200</xdr:colOff>
      <xdr:row>6</xdr:row>
      <xdr:rowOff>241300</xdr:rowOff>
    </xdr:to>
    <xdr:sp macro="" textlink="">
      <xdr:nvSpPr>
        <xdr:cNvPr id="10247" name="Check Box 7"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213360</xdr:colOff>
      <xdr:row>6</xdr:row>
      <xdr:rowOff>48334</xdr:rowOff>
    </xdr:from>
    <xdr:ext cx="320040" cy="153888"/>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7299960" y="2105734"/>
          <a:ext cx="3200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Soil</a:t>
          </a:r>
        </a:p>
      </xdr:txBody>
    </xdr:sp>
    <xdr:clientData/>
  </xdr:oneCellAnchor>
  <xdr:twoCellAnchor editAs="oneCell">
    <xdr:from>
      <xdr:col>12</xdr:col>
      <xdr:colOff>584200</xdr:colOff>
      <xdr:row>6</xdr:row>
      <xdr:rowOff>12700</xdr:rowOff>
    </xdr:from>
    <xdr:to>
      <xdr:col>13</xdr:col>
      <xdr:colOff>254000</xdr:colOff>
      <xdr:row>6</xdr:row>
      <xdr:rowOff>241300</xdr:rowOff>
    </xdr:to>
    <xdr:sp macro="" textlink="">
      <xdr:nvSpPr>
        <xdr:cNvPr id="10248" name="Check Box 8"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101600</xdr:colOff>
      <xdr:row>6</xdr:row>
      <xdr:rowOff>48334</xdr:rowOff>
    </xdr:from>
    <xdr:ext cx="320040" cy="153888"/>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7912100" y="2105734"/>
          <a:ext cx="3200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Well</a:t>
          </a:r>
        </a:p>
      </xdr:txBody>
    </xdr:sp>
    <xdr:clientData/>
  </xdr:oneCellAnchor>
  <xdr:twoCellAnchor editAs="oneCell">
    <xdr:from>
      <xdr:col>2</xdr:col>
      <xdr:colOff>215900</xdr:colOff>
      <xdr:row>5</xdr:row>
      <xdr:rowOff>12700</xdr:rowOff>
    </xdr:from>
    <xdr:to>
      <xdr:col>3</xdr:col>
      <xdr:colOff>0</xdr:colOff>
      <xdr:row>5</xdr:row>
      <xdr:rowOff>241300</xdr:rowOff>
    </xdr:to>
    <xdr:sp macro="" textlink="">
      <xdr:nvSpPr>
        <xdr:cNvPr id="10249" name="Check Box 9"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487680</xdr:colOff>
      <xdr:row>5</xdr:row>
      <xdr:rowOff>48334</xdr:rowOff>
    </xdr:from>
    <xdr:ext cx="751840" cy="153888"/>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1871980" y="1851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Asbestos</a:t>
          </a:r>
        </a:p>
      </xdr:txBody>
    </xdr:sp>
    <xdr:clientData/>
  </xdr:oneCellAnchor>
  <xdr:twoCellAnchor editAs="oneCell">
    <xdr:from>
      <xdr:col>3</xdr:col>
      <xdr:colOff>469900</xdr:colOff>
      <xdr:row>5</xdr:row>
      <xdr:rowOff>12700</xdr:rowOff>
    </xdr:from>
    <xdr:to>
      <xdr:col>4</xdr:col>
      <xdr:colOff>241300</xdr:colOff>
      <xdr:row>5</xdr:row>
      <xdr:rowOff>241300</xdr:rowOff>
    </xdr:to>
    <xdr:sp macro="" textlink="">
      <xdr:nvSpPr>
        <xdr:cNvPr id="10250" name="Check Box 10"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101600</xdr:colOff>
      <xdr:row>5</xdr:row>
      <xdr:rowOff>48334</xdr:rowOff>
    </xdr:from>
    <xdr:ext cx="873760" cy="153888"/>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2743200" y="1851734"/>
          <a:ext cx="87376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Buried Oil Tank</a:t>
          </a:r>
        </a:p>
      </xdr:txBody>
    </xdr:sp>
    <xdr:clientData/>
  </xdr:oneCellAnchor>
  <xdr:twoCellAnchor editAs="oneCell">
    <xdr:from>
      <xdr:col>6</xdr:col>
      <xdr:colOff>25400</xdr:colOff>
      <xdr:row>5</xdr:row>
      <xdr:rowOff>12700</xdr:rowOff>
    </xdr:from>
    <xdr:to>
      <xdr:col>6</xdr:col>
      <xdr:colOff>419100</xdr:colOff>
      <xdr:row>5</xdr:row>
      <xdr:rowOff>241300</xdr:rowOff>
    </xdr:to>
    <xdr:sp macro="" textlink="">
      <xdr:nvSpPr>
        <xdr:cNvPr id="10251"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0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284480</xdr:colOff>
      <xdr:row>5</xdr:row>
      <xdr:rowOff>48334</xdr:rowOff>
    </xdr:from>
    <xdr:ext cx="751840" cy="153888"/>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3865880" y="1851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Fire Damage</a:t>
          </a:r>
        </a:p>
      </xdr:txBody>
    </xdr:sp>
    <xdr:clientData/>
  </xdr:oneCellAnchor>
  <xdr:twoCellAnchor editAs="oneCell">
    <xdr:from>
      <xdr:col>7</xdr:col>
      <xdr:colOff>50800</xdr:colOff>
      <xdr:row>5</xdr:row>
      <xdr:rowOff>12700</xdr:rowOff>
    </xdr:from>
    <xdr:to>
      <xdr:col>7</xdr:col>
      <xdr:colOff>444500</xdr:colOff>
      <xdr:row>5</xdr:row>
      <xdr:rowOff>241300</xdr:rowOff>
    </xdr:to>
    <xdr:sp macro="" textlink="">
      <xdr:nvSpPr>
        <xdr:cNvPr id="10252"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0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325120</xdr:colOff>
      <xdr:row>5</xdr:row>
      <xdr:rowOff>48334</xdr:rowOff>
    </xdr:from>
    <xdr:ext cx="1178560" cy="153888"/>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4897120" y="1851734"/>
          <a:ext cx="117856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Foundation/Structural</a:t>
          </a:r>
        </a:p>
      </xdr:txBody>
    </xdr:sp>
    <xdr:clientData/>
  </xdr:oneCellAnchor>
  <xdr:twoCellAnchor editAs="oneCell">
    <xdr:from>
      <xdr:col>9</xdr:col>
      <xdr:colOff>38100</xdr:colOff>
      <xdr:row>5</xdr:row>
      <xdr:rowOff>12700</xdr:rowOff>
    </xdr:from>
    <xdr:to>
      <xdr:col>10</xdr:col>
      <xdr:colOff>241300</xdr:colOff>
      <xdr:row>5</xdr:row>
      <xdr:rowOff>241300</xdr:rowOff>
    </xdr:to>
    <xdr:sp macro="" textlink="">
      <xdr:nvSpPr>
        <xdr:cNvPr id="10253" name="Check Box 13"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81280</xdr:colOff>
      <xdr:row>5</xdr:row>
      <xdr:rowOff>48334</xdr:rowOff>
    </xdr:from>
    <xdr:ext cx="894080" cy="153888"/>
    <xdr:sp macro="" textlink="">
      <xdr:nvSpPr>
        <xdr:cNvPr id="28" name="TextBox 27">
          <a:extLst>
            <a:ext uri="{FF2B5EF4-FFF2-40B4-BE49-F238E27FC236}">
              <a16:creationId xmlns:a16="http://schemas.microsoft.com/office/drawing/2014/main" id="{00000000-0008-0000-0200-00001C000000}"/>
            </a:ext>
          </a:extLst>
        </xdr:cNvPr>
        <xdr:cNvSpPr txBox="1"/>
      </xdr:nvSpPr>
      <xdr:spPr>
        <a:xfrm>
          <a:off x="6418580" y="1851734"/>
          <a:ext cx="89408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Historical Home</a:t>
          </a:r>
        </a:p>
      </xdr:txBody>
    </xdr:sp>
    <xdr:clientData/>
  </xdr:oneCellAnchor>
  <xdr:twoCellAnchor editAs="oneCell">
    <xdr:from>
      <xdr:col>12</xdr:col>
      <xdr:colOff>330200</xdr:colOff>
      <xdr:row>5</xdr:row>
      <xdr:rowOff>12700</xdr:rowOff>
    </xdr:from>
    <xdr:to>
      <xdr:col>13</xdr:col>
      <xdr:colOff>0</xdr:colOff>
      <xdr:row>5</xdr:row>
      <xdr:rowOff>241300</xdr:rowOff>
    </xdr:to>
    <xdr:sp macro="" textlink="">
      <xdr:nvSpPr>
        <xdr:cNvPr id="10254" name="Check Box 14"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599440</xdr:colOff>
      <xdr:row>5</xdr:row>
      <xdr:rowOff>48334</xdr:rowOff>
    </xdr:from>
    <xdr:ext cx="751840" cy="153888"/>
    <xdr:sp macro="" textlink="">
      <xdr:nvSpPr>
        <xdr:cNvPr id="30" name="TextBox 29">
          <a:extLst>
            <a:ext uri="{FF2B5EF4-FFF2-40B4-BE49-F238E27FC236}">
              <a16:creationId xmlns:a16="http://schemas.microsoft.com/office/drawing/2014/main" id="{00000000-0008-0000-0200-00001E000000}"/>
            </a:ext>
          </a:extLst>
        </xdr:cNvPr>
        <xdr:cNvSpPr txBox="1"/>
      </xdr:nvSpPr>
      <xdr:spPr>
        <a:xfrm>
          <a:off x="7686040" y="1851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Lead Paint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13</xdr:col>
      <xdr:colOff>10160</xdr:colOff>
      <xdr:row>3</xdr:row>
      <xdr:rowOff>20320</xdr:rowOff>
    </xdr:from>
    <xdr:to>
      <xdr:col>20</xdr:col>
      <xdr:colOff>843280</xdr:colOff>
      <xdr:row>14</xdr:row>
      <xdr:rowOff>50800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490460" y="1201420"/>
          <a:ext cx="6789420" cy="292608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latin typeface="+mn-lt"/>
              <a:cs typeface="Calibri"/>
            </a:rPr>
            <a:t>Formulas</a:t>
          </a:r>
          <a:r>
            <a:rPr lang="en-US" sz="1200" b="1" u="sng" baseline="0">
              <a:latin typeface="+mn-lt"/>
              <a:cs typeface="Calibri"/>
            </a:rPr>
            <a:t> and Data</a:t>
          </a:r>
        </a:p>
        <a:p>
          <a:r>
            <a:rPr lang="en-US" sz="1200" b="0" u="none">
              <a:latin typeface="+mn-lt"/>
              <a:cs typeface="Calibri"/>
            </a:rPr>
            <a:t>The</a:t>
          </a:r>
          <a:r>
            <a:rPr lang="en-US" sz="1200" b="0" u="none" baseline="0">
              <a:latin typeface="+mn-lt"/>
              <a:cs typeface="Calibri"/>
            </a:rPr>
            <a:t> Investment Summary generates property and investment data from the Deal Analyzer and Repair Estimator. The information you need to manually enter here is:</a:t>
          </a:r>
        </a:p>
        <a:p>
          <a:r>
            <a:rPr lang="en-US" sz="1200" b="0" u="none" baseline="0">
              <a:latin typeface="+mn-lt"/>
              <a:cs typeface="Calibri"/>
            </a:rPr>
            <a:t> - Executive Summary</a:t>
          </a:r>
        </a:p>
        <a:p>
          <a:r>
            <a:rPr lang="en-US" sz="1200" b="0" u="none" baseline="0">
              <a:latin typeface="+mn-lt"/>
              <a:cs typeface="Calibri"/>
            </a:rPr>
            <a:t> - Closing Date</a:t>
          </a:r>
        </a:p>
        <a:p>
          <a:r>
            <a:rPr lang="en-US" sz="1200" b="0" u="none" baseline="0">
              <a:latin typeface="+mn-lt"/>
              <a:cs typeface="Calibri"/>
            </a:rPr>
            <a:t> - Exit Strategy</a:t>
          </a:r>
        </a:p>
        <a:p>
          <a:r>
            <a:rPr lang="en-US" sz="1200" b="0" u="none" baseline="0">
              <a:latin typeface="+mn-lt"/>
              <a:cs typeface="Calibri"/>
            </a:rPr>
            <a:t> - Comparables</a:t>
          </a:r>
        </a:p>
        <a:p>
          <a:endParaRPr lang="en-US" sz="1200" b="0" u="none">
            <a:latin typeface="+mn-lt"/>
            <a:cs typeface="Calibri"/>
          </a:endParaRPr>
        </a:p>
        <a:p>
          <a:r>
            <a:rPr lang="en-US" sz="1200" b="1" u="sng">
              <a:latin typeface="+mn-lt"/>
              <a:cs typeface="Calibri"/>
            </a:rPr>
            <a:t>Customizing</a:t>
          </a:r>
          <a:r>
            <a:rPr lang="en-US" sz="1200" b="1" u="sng" baseline="0">
              <a:latin typeface="+mn-lt"/>
              <a:cs typeface="Calibri"/>
            </a:rPr>
            <a:t> the Investment Summary</a:t>
          </a:r>
          <a:endParaRPr lang="en-US" sz="1200" b="1" u="sng">
            <a:latin typeface="+mn-lt"/>
            <a:cs typeface="Calibri"/>
          </a:endParaRPr>
        </a:p>
        <a:p>
          <a:r>
            <a:rPr lang="en-US" sz="1200" b="0" u="none">
              <a:latin typeface="+mn-lt"/>
              <a:cs typeface="Calibri"/>
            </a:rPr>
            <a:t>This worksheet is locked to protect the</a:t>
          </a:r>
          <a:r>
            <a:rPr lang="en-US" sz="1200" b="0" u="none" baseline="0">
              <a:latin typeface="+mn-lt"/>
              <a:cs typeface="Calibri"/>
            </a:rPr>
            <a:t> formulas and </a:t>
          </a:r>
          <a:r>
            <a:rPr lang="en-US" sz="1200" b="0" u="none">
              <a:latin typeface="+mn-lt"/>
              <a:cs typeface="Calibri"/>
            </a:rPr>
            <a:t>printer-friendly formatting.</a:t>
          </a:r>
          <a:r>
            <a:rPr lang="en-US" sz="1200" b="0" u="none" baseline="0">
              <a:latin typeface="+mn-lt"/>
              <a:cs typeface="Calibri"/>
            </a:rPr>
            <a:t>  To customize the worksheet you can easily unprotect the document by going to Review &gt; Unprotect Sheet.</a:t>
          </a:r>
        </a:p>
        <a:p>
          <a:endParaRPr lang="en-US" sz="1200" b="0" u="none" baseline="0">
            <a:latin typeface="+mn-lt"/>
            <a:cs typeface="Calibri"/>
          </a:endParaRPr>
        </a:p>
        <a:p>
          <a:r>
            <a:rPr lang="en-US" sz="1200" b="0" u="none" baseline="0">
              <a:latin typeface="+mn-lt"/>
              <a:cs typeface="Calibri"/>
            </a:rPr>
            <a:t>To rebrand the worksheet with your logo, right click the FB logo and select "Change Picture...". </a:t>
          </a:r>
        </a:p>
        <a:p>
          <a:endParaRPr lang="en-US" sz="1200" b="0" u="none">
            <a:latin typeface="+mn-lt"/>
            <a:cs typeface="Calibri"/>
          </a:endParaRPr>
        </a:p>
        <a:p>
          <a:endParaRPr lang="en-US" sz="1200" b="0" u="none">
            <a:latin typeface="+mn-lt"/>
            <a:cs typeface="Calibri"/>
          </a:endParaRPr>
        </a:p>
        <a:p>
          <a:endParaRPr lang="en-US" sz="1200" b="0" u="none">
            <a:latin typeface="+mn-lt"/>
            <a:cs typeface="Calibri"/>
          </a:endParaRPr>
        </a:p>
      </xdr:txBody>
    </xdr:sp>
    <xdr:clientData/>
  </xdr:twoCellAnchor>
  <xdr:twoCellAnchor>
    <xdr:from>
      <xdr:col>8</xdr:col>
      <xdr:colOff>317501</xdr:colOff>
      <xdr:row>1</xdr:row>
      <xdr:rowOff>0</xdr:rowOff>
    </xdr:from>
    <xdr:to>
      <xdr:col>11</xdr:col>
      <xdr:colOff>558801</xdr:colOff>
      <xdr:row>2</xdr:row>
      <xdr:rowOff>43379</xdr:rowOff>
    </xdr:to>
    <xdr:pic>
      <xdr:nvPicPr>
        <xdr:cNvPr id="4" name="Logo">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6223001" y="203200"/>
          <a:ext cx="2374900" cy="919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dMC/Library/Application%2520Support/Microsoft/Office/Office%25202011%2520AutoRecovery/Product%2520plan%25202009-1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INFOLDER/Google%2520Drive%2520(cmorales@heartofcamden.org)/Personal/Real%2520Estate%2520Dev%2520Business%2520Plan/House%2520Flipping%2520Spreadsheet%2520Template.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ations/Microsoft%20Office%202011/Microsoft%20Excel.app/Contents/MacOS/Project%20Manage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dMC/Library/Application%2520Support/Microsoft/Office/Office%25202011%2520AutoRecovery/RealeFlow%2520Roadmap%2520Aug-13%25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ileron/Library/Application%2520Support/Microsoft/Office/Office%25202011%2520AutoRecovery/FortuneBuilders/Atlas%2520Operational%2520Pl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AINFOLDER/Google%2520Drive/PERSONAL/ONLINE%2520COURSES/3.%2520HIGH%2520TICKET/1.%2520WHOLESALING/1.%2520COURSE%2520PLANNING/4.%2520Research/5.%2520DEAL%2520ANALYSIS/6.%2520Deal%2520Analyzer/FortuneBuilders/Atlas%2520Operational%2520Pla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MeghanandSuratkal/Temporary%20Internet%20Files/OLKB/GCS_Release_Management_Plan_2008%201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Lis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DATABASE"/>
      <sheetName val="SETUP"/>
      <sheetName val="COMPS"/>
      <sheetName val="2 REHAB ANALYZER"/>
      <sheetName val="WHOLESALE CALC"/>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Issu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Issue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Release Action Items 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youtube.com/watch?v=7R7VaYdfO-s" TargetMode="External"/><Relationship Id="rId2" Type="http://schemas.openxmlformats.org/officeDocument/2006/relationships/hyperlink" Target="https://www.youtube.com/watch?v=KnK2-0wtCnQ" TargetMode="External"/><Relationship Id="rId1" Type="http://schemas.openxmlformats.org/officeDocument/2006/relationships/hyperlink" Target="http://tax1.co.monmouth.nj.us/cgi-bin/prc6.cgi?district=0408&amp;ms_user=mon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F145"/>
  <sheetViews>
    <sheetView showGridLines="0" zoomScale="90" zoomScaleNormal="90" workbookViewId="0">
      <selection activeCell="D3" sqref="D3"/>
    </sheetView>
  </sheetViews>
  <sheetFormatPr baseColWidth="10" defaultColWidth="9.1640625" defaultRowHeight="13" outlineLevelRow="3" x14ac:dyDescent="0.15"/>
  <cols>
    <col min="1" max="2" width="1.83203125" style="17" customWidth="1"/>
    <col min="3" max="3" width="42.5" style="57" customWidth="1"/>
    <col min="4" max="4" width="25" style="57" customWidth="1"/>
    <col min="5" max="5" width="21.5" style="57" bestFit="1" customWidth="1"/>
    <col min="6" max="6" width="6.5" style="57" customWidth="1"/>
    <col min="7" max="7" width="5.1640625" style="57" customWidth="1"/>
    <col min="8" max="8" width="42.5" style="66" bestFit="1" customWidth="1"/>
    <col min="9" max="9" width="23.5" style="66" customWidth="1"/>
    <col min="10" max="10" width="22.5" style="57" bestFit="1" customWidth="1"/>
    <col min="11" max="11" width="4.5" style="26" customWidth="1"/>
    <col min="12" max="12" width="66" style="17" bestFit="1" customWidth="1"/>
    <col min="13" max="13" width="15.5" style="17" customWidth="1"/>
    <col min="14" max="14" width="12.5" style="17" customWidth="1"/>
    <col min="15" max="15" width="19.1640625" style="17" customWidth="1"/>
    <col min="16" max="16" width="17.5" style="17" customWidth="1"/>
    <col min="17" max="17" width="9.83203125" style="17" customWidth="1"/>
    <col min="18" max="57" width="9.1640625" style="17"/>
    <col min="58" max="58" width="13.5" style="17" bestFit="1" customWidth="1"/>
    <col min="59" max="260" width="9.1640625" style="17"/>
    <col min="261" max="261" width="39.5" style="17" customWidth="1"/>
    <col min="262" max="262" width="7" style="17" customWidth="1"/>
    <col min="263" max="263" width="15.1640625" style="17" customWidth="1"/>
    <col min="264" max="264" width="30.1640625" style="17" customWidth="1"/>
    <col min="265" max="265" width="13.5" style="17" customWidth="1"/>
    <col min="266" max="266" width="15.5" style="17" customWidth="1"/>
    <col min="267" max="267" width="4.5" style="17" customWidth="1"/>
    <col min="268" max="268" width="40" style="17" customWidth="1"/>
    <col min="269" max="269" width="15.5" style="17" customWidth="1"/>
    <col min="270" max="270" width="12.5" style="17" customWidth="1"/>
    <col min="271" max="271" width="19.1640625" style="17" customWidth="1"/>
    <col min="272" max="272" width="17.5" style="17" customWidth="1"/>
    <col min="273" max="273" width="9.83203125" style="17" customWidth="1"/>
    <col min="274" max="313" width="9.1640625" style="17"/>
    <col min="314" max="314" width="13.5" style="17" bestFit="1" customWidth="1"/>
    <col min="315" max="516" width="9.1640625" style="17"/>
    <col min="517" max="517" width="39.5" style="17" customWidth="1"/>
    <col min="518" max="518" width="7" style="17" customWidth="1"/>
    <col min="519" max="519" width="15.1640625" style="17" customWidth="1"/>
    <col min="520" max="520" width="30.1640625" style="17" customWidth="1"/>
    <col min="521" max="521" width="13.5" style="17" customWidth="1"/>
    <col min="522" max="522" width="15.5" style="17" customWidth="1"/>
    <col min="523" max="523" width="4.5" style="17" customWidth="1"/>
    <col min="524" max="524" width="40" style="17" customWidth="1"/>
    <col min="525" max="525" width="15.5" style="17" customWidth="1"/>
    <col min="526" max="526" width="12.5" style="17" customWidth="1"/>
    <col min="527" max="527" width="19.1640625" style="17" customWidth="1"/>
    <col min="528" max="528" width="17.5" style="17" customWidth="1"/>
    <col min="529" max="529" width="9.83203125" style="17" customWidth="1"/>
    <col min="530" max="569" width="9.1640625" style="17"/>
    <col min="570" max="570" width="13.5" style="17" bestFit="1" customWidth="1"/>
    <col min="571" max="772" width="9.1640625" style="17"/>
    <col min="773" max="773" width="39.5" style="17" customWidth="1"/>
    <col min="774" max="774" width="7" style="17" customWidth="1"/>
    <col min="775" max="775" width="15.1640625" style="17" customWidth="1"/>
    <col min="776" max="776" width="30.1640625" style="17" customWidth="1"/>
    <col min="777" max="777" width="13.5" style="17" customWidth="1"/>
    <col min="778" max="778" width="15.5" style="17" customWidth="1"/>
    <col min="779" max="779" width="4.5" style="17" customWidth="1"/>
    <col min="780" max="780" width="40" style="17" customWidth="1"/>
    <col min="781" max="781" width="15.5" style="17" customWidth="1"/>
    <col min="782" max="782" width="12.5" style="17" customWidth="1"/>
    <col min="783" max="783" width="19.1640625" style="17" customWidth="1"/>
    <col min="784" max="784" width="17.5" style="17" customWidth="1"/>
    <col min="785" max="785" width="9.83203125" style="17" customWidth="1"/>
    <col min="786" max="825" width="9.1640625" style="17"/>
    <col min="826" max="826" width="13.5" style="17" bestFit="1" customWidth="1"/>
    <col min="827" max="1028" width="9.1640625" style="17"/>
    <col min="1029" max="1029" width="39.5" style="17" customWidth="1"/>
    <col min="1030" max="1030" width="7" style="17" customWidth="1"/>
    <col min="1031" max="1031" width="15.1640625" style="17" customWidth="1"/>
    <col min="1032" max="1032" width="30.1640625" style="17" customWidth="1"/>
    <col min="1033" max="1033" width="13.5" style="17" customWidth="1"/>
    <col min="1034" max="1034" width="15.5" style="17" customWidth="1"/>
    <col min="1035" max="1035" width="4.5" style="17" customWidth="1"/>
    <col min="1036" max="1036" width="40" style="17" customWidth="1"/>
    <col min="1037" max="1037" width="15.5" style="17" customWidth="1"/>
    <col min="1038" max="1038" width="12.5" style="17" customWidth="1"/>
    <col min="1039" max="1039" width="19.1640625" style="17" customWidth="1"/>
    <col min="1040" max="1040" width="17.5" style="17" customWidth="1"/>
    <col min="1041" max="1041" width="9.83203125" style="17" customWidth="1"/>
    <col min="1042" max="1081" width="9.1640625" style="17"/>
    <col min="1082" max="1082" width="13.5" style="17" bestFit="1" customWidth="1"/>
    <col min="1083" max="1284" width="9.1640625" style="17"/>
    <col min="1285" max="1285" width="39.5" style="17" customWidth="1"/>
    <col min="1286" max="1286" width="7" style="17" customWidth="1"/>
    <col min="1287" max="1287" width="15.1640625" style="17" customWidth="1"/>
    <col min="1288" max="1288" width="30.1640625" style="17" customWidth="1"/>
    <col min="1289" max="1289" width="13.5" style="17" customWidth="1"/>
    <col min="1290" max="1290" width="15.5" style="17" customWidth="1"/>
    <col min="1291" max="1291" width="4.5" style="17" customWidth="1"/>
    <col min="1292" max="1292" width="40" style="17" customWidth="1"/>
    <col min="1293" max="1293" width="15.5" style="17" customWidth="1"/>
    <col min="1294" max="1294" width="12.5" style="17" customWidth="1"/>
    <col min="1295" max="1295" width="19.1640625" style="17" customWidth="1"/>
    <col min="1296" max="1296" width="17.5" style="17" customWidth="1"/>
    <col min="1297" max="1297" width="9.83203125" style="17" customWidth="1"/>
    <col min="1298" max="1337" width="9.1640625" style="17"/>
    <col min="1338" max="1338" width="13.5" style="17" bestFit="1" customWidth="1"/>
    <col min="1339" max="1540" width="9.1640625" style="17"/>
    <col min="1541" max="1541" width="39.5" style="17" customWidth="1"/>
    <col min="1542" max="1542" width="7" style="17" customWidth="1"/>
    <col min="1543" max="1543" width="15.1640625" style="17" customWidth="1"/>
    <col min="1544" max="1544" width="30.1640625" style="17" customWidth="1"/>
    <col min="1545" max="1545" width="13.5" style="17" customWidth="1"/>
    <col min="1546" max="1546" width="15.5" style="17" customWidth="1"/>
    <col min="1547" max="1547" width="4.5" style="17" customWidth="1"/>
    <col min="1548" max="1548" width="40" style="17" customWidth="1"/>
    <col min="1549" max="1549" width="15.5" style="17" customWidth="1"/>
    <col min="1550" max="1550" width="12.5" style="17" customWidth="1"/>
    <col min="1551" max="1551" width="19.1640625" style="17" customWidth="1"/>
    <col min="1552" max="1552" width="17.5" style="17" customWidth="1"/>
    <col min="1553" max="1553" width="9.83203125" style="17" customWidth="1"/>
    <col min="1554" max="1593" width="9.1640625" style="17"/>
    <col min="1594" max="1594" width="13.5" style="17" bestFit="1" customWidth="1"/>
    <col min="1595" max="1796" width="9.1640625" style="17"/>
    <col min="1797" max="1797" width="39.5" style="17" customWidth="1"/>
    <col min="1798" max="1798" width="7" style="17" customWidth="1"/>
    <col min="1799" max="1799" width="15.1640625" style="17" customWidth="1"/>
    <col min="1800" max="1800" width="30.1640625" style="17" customWidth="1"/>
    <col min="1801" max="1801" width="13.5" style="17" customWidth="1"/>
    <col min="1802" max="1802" width="15.5" style="17" customWidth="1"/>
    <col min="1803" max="1803" width="4.5" style="17" customWidth="1"/>
    <col min="1804" max="1804" width="40" style="17" customWidth="1"/>
    <col min="1805" max="1805" width="15.5" style="17" customWidth="1"/>
    <col min="1806" max="1806" width="12.5" style="17" customWidth="1"/>
    <col min="1807" max="1807" width="19.1640625" style="17" customWidth="1"/>
    <col min="1808" max="1808" width="17.5" style="17" customWidth="1"/>
    <col min="1809" max="1809" width="9.83203125" style="17" customWidth="1"/>
    <col min="1810" max="1849" width="9.1640625" style="17"/>
    <col min="1850" max="1850" width="13.5" style="17" bestFit="1" customWidth="1"/>
    <col min="1851" max="2052" width="9.1640625" style="17"/>
    <col min="2053" max="2053" width="39.5" style="17" customWidth="1"/>
    <col min="2054" max="2054" width="7" style="17" customWidth="1"/>
    <col min="2055" max="2055" width="15.1640625" style="17" customWidth="1"/>
    <col min="2056" max="2056" width="30.1640625" style="17" customWidth="1"/>
    <col min="2057" max="2057" width="13.5" style="17" customWidth="1"/>
    <col min="2058" max="2058" width="15.5" style="17" customWidth="1"/>
    <col min="2059" max="2059" width="4.5" style="17" customWidth="1"/>
    <col min="2060" max="2060" width="40" style="17" customWidth="1"/>
    <col min="2061" max="2061" width="15.5" style="17" customWidth="1"/>
    <col min="2062" max="2062" width="12.5" style="17" customWidth="1"/>
    <col min="2063" max="2063" width="19.1640625" style="17" customWidth="1"/>
    <col min="2064" max="2064" width="17.5" style="17" customWidth="1"/>
    <col min="2065" max="2065" width="9.83203125" style="17" customWidth="1"/>
    <col min="2066" max="2105" width="9.1640625" style="17"/>
    <col min="2106" max="2106" width="13.5" style="17" bestFit="1" customWidth="1"/>
    <col min="2107" max="2308" width="9.1640625" style="17"/>
    <col min="2309" max="2309" width="39.5" style="17" customWidth="1"/>
    <col min="2310" max="2310" width="7" style="17" customWidth="1"/>
    <col min="2311" max="2311" width="15.1640625" style="17" customWidth="1"/>
    <col min="2312" max="2312" width="30.1640625" style="17" customWidth="1"/>
    <col min="2313" max="2313" width="13.5" style="17" customWidth="1"/>
    <col min="2314" max="2314" width="15.5" style="17" customWidth="1"/>
    <col min="2315" max="2315" width="4.5" style="17" customWidth="1"/>
    <col min="2316" max="2316" width="40" style="17" customWidth="1"/>
    <col min="2317" max="2317" width="15.5" style="17" customWidth="1"/>
    <col min="2318" max="2318" width="12.5" style="17" customWidth="1"/>
    <col min="2319" max="2319" width="19.1640625" style="17" customWidth="1"/>
    <col min="2320" max="2320" width="17.5" style="17" customWidth="1"/>
    <col min="2321" max="2321" width="9.83203125" style="17" customWidth="1"/>
    <col min="2322" max="2361" width="9.1640625" style="17"/>
    <col min="2362" max="2362" width="13.5" style="17" bestFit="1" customWidth="1"/>
    <col min="2363" max="2564" width="9.1640625" style="17"/>
    <col min="2565" max="2565" width="39.5" style="17" customWidth="1"/>
    <col min="2566" max="2566" width="7" style="17" customWidth="1"/>
    <col min="2567" max="2567" width="15.1640625" style="17" customWidth="1"/>
    <col min="2568" max="2568" width="30.1640625" style="17" customWidth="1"/>
    <col min="2569" max="2569" width="13.5" style="17" customWidth="1"/>
    <col min="2570" max="2570" width="15.5" style="17" customWidth="1"/>
    <col min="2571" max="2571" width="4.5" style="17" customWidth="1"/>
    <col min="2572" max="2572" width="40" style="17" customWidth="1"/>
    <col min="2573" max="2573" width="15.5" style="17" customWidth="1"/>
    <col min="2574" max="2574" width="12.5" style="17" customWidth="1"/>
    <col min="2575" max="2575" width="19.1640625" style="17" customWidth="1"/>
    <col min="2576" max="2576" width="17.5" style="17" customWidth="1"/>
    <col min="2577" max="2577" width="9.83203125" style="17" customWidth="1"/>
    <col min="2578" max="2617" width="9.1640625" style="17"/>
    <col min="2618" max="2618" width="13.5" style="17" bestFit="1" customWidth="1"/>
    <col min="2619" max="2820" width="9.1640625" style="17"/>
    <col min="2821" max="2821" width="39.5" style="17" customWidth="1"/>
    <col min="2822" max="2822" width="7" style="17" customWidth="1"/>
    <col min="2823" max="2823" width="15.1640625" style="17" customWidth="1"/>
    <col min="2824" max="2824" width="30.1640625" style="17" customWidth="1"/>
    <col min="2825" max="2825" width="13.5" style="17" customWidth="1"/>
    <col min="2826" max="2826" width="15.5" style="17" customWidth="1"/>
    <col min="2827" max="2827" width="4.5" style="17" customWidth="1"/>
    <col min="2828" max="2828" width="40" style="17" customWidth="1"/>
    <col min="2829" max="2829" width="15.5" style="17" customWidth="1"/>
    <col min="2830" max="2830" width="12.5" style="17" customWidth="1"/>
    <col min="2831" max="2831" width="19.1640625" style="17" customWidth="1"/>
    <col min="2832" max="2832" width="17.5" style="17" customWidth="1"/>
    <col min="2833" max="2833" width="9.83203125" style="17" customWidth="1"/>
    <col min="2834" max="2873" width="9.1640625" style="17"/>
    <col min="2874" max="2874" width="13.5" style="17" bestFit="1" customWidth="1"/>
    <col min="2875" max="3076" width="9.1640625" style="17"/>
    <col min="3077" max="3077" width="39.5" style="17" customWidth="1"/>
    <col min="3078" max="3078" width="7" style="17" customWidth="1"/>
    <col min="3079" max="3079" width="15.1640625" style="17" customWidth="1"/>
    <col min="3080" max="3080" width="30.1640625" style="17" customWidth="1"/>
    <col min="3081" max="3081" width="13.5" style="17" customWidth="1"/>
    <col min="3082" max="3082" width="15.5" style="17" customWidth="1"/>
    <col min="3083" max="3083" width="4.5" style="17" customWidth="1"/>
    <col min="3084" max="3084" width="40" style="17" customWidth="1"/>
    <col min="3085" max="3085" width="15.5" style="17" customWidth="1"/>
    <col min="3086" max="3086" width="12.5" style="17" customWidth="1"/>
    <col min="3087" max="3087" width="19.1640625" style="17" customWidth="1"/>
    <col min="3088" max="3088" width="17.5" style="17" customWidth="1"/>
    <col min="3089" max="3089" width="9.83203125" style="17" customWidth="1"/>
    <col min="3090" max="3129" width="9.1640625" style="17"/>
    <col min="3130" max="3130" width="13.5" style="17" bestFit="1" customWidth="1"/>
    <col min="3131" max="3332" width="9.1640625" style="17"/>
    <col min="3333" max="3333" width="39.5" style="17" customWidth="1"/>
    <col min="3334" max="3334" width="7" style="17" customWidth="1"/>
    <col min="3335" max="3335" width="15.1640625" style="17" customWidth="1"/>
    <col min="3336" max="3336" width="30.1640625" style="17" customWidth="1"/>
    <col min="3337" max="3337" width="13.5" style="17" customWidth="1"/>
    <col min="3338" max="3338" width="15.5" style="17" customWidth="1"/>
    <col min="3339" max="3339" width="4.5" style="17" customWidth="1"/>
    <col min="3340" max="3340" width="40" style="17" customWidth="1"/>
    <col min="3341" max="3341" width="15.5" style="17" customWidth="1"/>
    <col min="3342" max="3342" width="12.5" style="17" customWidth="1"/>
    <col min="3343" max="3343" width="19.1640625" style="17" customWidth="1"/>
    <col min="3344" max="3344" width="17.5" style="17" customWidth="1"/>
    <col min="3345" max="3345" width="9.83203125" style="17" customWidth="1"/>
    <col min="3346" max="3385" width="9.1640625" style="17"/>
    <col min="3386" max="3386" width="13.5" style="17" bestFit="1" customWidth="1"/>
    <col min="3387" max="3588" width="9.1640625" style="17"/>
    <col min="3589" max="3589" width="39.5" style="17" customWidth="1"/>
    <col min="3590" max="3590" width="7" style="17" customWidth="1"/>
    <col min="3591" max="3591" width="15.1640625" style="17" customWidth="1"/>
    <col min="3592" max="3592" width="30.1640625" style="17" customWidth="1"/>
    <col min="3593" max="3593" width="13.5" style="17" customWidth="1"/>
    <col min="3594" max="3594" width="15.5" style="17" customWidth="1"/>
    <col min="3595" max="3595" width="4.5" style="17" customWidth="1"/>
    <col min="3596" max="3596" width="40" style="17" customWidth="1"/>
    <col min="3597" max="3597" width="15.5" style="17" customWidth="1"/>
    <col min="3598" max="3598" width="12.5" style="17" customWidth="1"/>
    <col min="3599" max="3599" width="19.1640625" style="17" customWidth="1"/>
    <col min="3600" max="3600" width="17.5" style="17" customWidth="1"/>
    <col min="3601" max="3601" width="9.83203125" style="17" customWidth="1"/>
    <col min="3602" max="3641" width="9.1640625" style="17"/>
    <col min="3642" max="3642" width="13.5" style="17" bestFit="1" customWidth="1"/>
    <col min="3643" max="3844" width="9.1640625" style="17"/>
    <col min="3845" max="3845" width="39.5" style="17" customWidth="1"/>
    <col min="3846" max="3846" width="7" style="17" customWidth="1"/>
    <col min="3847" max="3847" width="15.1640625" style="17" customWidth="1"/>
    <col min="3848" max="3848" width="30.1640625" style="17" customWidth="1"/>
    <col min="3849" max="3849" width="13.5" style="17" customWidth="1"/>
    <col min="3850" max="3850" width="15.5" style="17" customWidth="1"/>
    <col min="3851" max="3851" width="4.5" style="17" customWidth="1"/>
    <col min="3852" max="3852" width="40" style="17" customWidth="1"/>
    <col min="3853" max="3853" width="15.5" style="17" customWidth="1"/>
    <col min="3854" max="3854" width="12.5" style="17" customWidth="1"/>
    <col min="3855" max="3855" width="19.1640625" style="17" customWidth="1"/>
    <col min="3856" max="3856" width="17.5" style="17" customWidth="1"/>
    <col min="3857" max="3857" width="9.83203125" style="17" customWidth="1"/>
    <col min="3858" max="3897" width="9.1640625" style="17"/>
    <col min="3898" max="3898" width="13.5" style="17" bestFit="1" customWidth="1"/>
    <col min="3899" max="4100" width="9.1640625" style="17"/>
    <col min="4101" max="4101" width="39.5" style="17" customWidth="1"/>
    <col min="4102" max="4102" width="7" style="17" customWidth="1"/>
    <col min="4103" max="4103" width="15.1640625" style="17" customWidth="1"/>
    <col min="4104" max="4104" width="30.1640625" style="17" customWidth="1"/>
    <col min="4105" max="4105" width="13.5" style="17" customWidth="1"/>
    <col min="4106" max="4106" width="15.5" style="17" customWidth="1"/>
    <col min="4107" max="4107" width="4.5" style="17" customWidth="1"/>
    <col min="4108" max="4108" width="40" style="17" customWidth="1"/>
    <col min="4109" max="4109" width="15.5" style="17" customWidth="1"/>
    <col min="4110" max="4110" width="12.5" style="17" customWidth="1"/>
    <col min="4111" max="4111" width="19.1640625" style="17" customWidth="1"/>
    <col min="4112" max="4112" width="17.5" style="17" customWidth="1"/>
    <col min="4113" max="4113" width="9.83203125" style="17" customWidth="1"/>
    <col min="4114" max="4153" width="9.1640625" style="17"/>
    <col min="4154" max="4154" width="13.5" style="17" bestFit="1" customWidth="1"/>
    <col min="4155" max="4356" width="9.1640625" style="17"/>
    <col min="4357" max="4357" width="39.5" style="17" customWidth="1"/>
    <col min="4358" max="4358" width="7" style="17" customWidth="1"/>
    <col min="4359" max="4359" width="15.1640625" style="17" customWidth="1"/>
    <col min="4360" max="4360" width="30.1640625" style="17" customWidth="1"/>
    <col min="4361" max="4361" width="13.5" style="17" customWidth="1"/>
    <col min="4362" max="4362" width="15.5" style="17" customWidth="1"/>
    <col min="4363" max="4363" width="4.5" style="17" customWidth="1"/>
    <col min="4364" max="4364" width="40" style="17" customWidth="1"/>
    <col min="4365" max="4365" width="15.5" style="17" customWidth="1"/>
    <col min="4366" max="4366" width="12.5" style="17" customWidth="1"/>
    <col min="4367" max="4367" width="19.1640625" style="17" customWidth="1"/>
    <col min="4368" max="4368" width="17.5" style="17" customWidth="1"/>
    <col min="4369" max="4369" width="9.83203125" style="17" customWidth="1"/>
    <col min="4370" max="4409" width="9.1640625" style="17"/>
    <col min="4410" max="4410" width="13.5" style="17" bestFit="1" customWidth="1"/>
    <col min="4411" max="4612" width="9.1640625" style="17"/>
    <col min="4613" max="4613" width="39.5" style="17" customWidth="1"/>
    <col min="4614" max="4614" width="7" style="17" customWidth="1"/>
    <col min="4615" max="4615" width="15.1640625" style="17" customWidth="1"/>
    <col min="4616" max="4616" width="30.1640625" style="17" customWidth="1"/>
    <col min="4617" max="4617" width="13.5" style="17" customWidth="1"/>
    <col min="4618" max="4618" width="15.5" style="17" customWidth="1"/>
    <col min="4619" max="4619" width="4.5" style="17" customWidth="1"/>
    <col min="4620" max="4620" width="40" style="17" customWidth="1"/>
    <col min="4621" max="4621" width="15.5" style="17" customWidth="1"/>
    <col min="4622" max="4622" width="12.5" style="17" customWidth="1"/>
    <col min="4623" max="4623" width="19.1640625" style="17" customWidth="1"/>
    <col min="4624" max="4624" width="17.5" style="17" customWidth="1"/>
    <col min="4625" max="4625" width="9.83203125" style="17" customWidth="1"/>
    <col min="4626" max="4665" width="9.1640625" style="17"/>
    <col min="4666" max="4666" width="13.5" style="17" bestFit="1" customWidth="1"/>
    <col min="4667" max="4868" width="9.1640625" style="17"/>
    <col min="4869" max="4869" width="39.5" style="17" customWidth="1"/>
    <col min="4870" max="4870" width="7" style="17" customWidth="1"/>
    <col min="4871" max="4871" width="15.1640625" style="17" customWidth="1"/>
    <col min="4872" max="4872" width="30.1640625" style="17" customWidth="1"/>
    <col min="4873" max="4873" width="13.5" style="17" customWidth="1"/>
    <col min="4874" max="4874" width="15.5" style="17" customWidth="1"/>
    <col min="4875" max="4875" width="4.5" style="17" customWidth="1"/>
    <col min="4876" max="4876" width="40" style="17" customWidth="1"/>
    <col min="4877" max="4877" width="15.5" style="17" customWidth="1"/>
    <col min="4878" max="4878" width="12.5" style="17" customWidth="1"/>
    <col min="4879" max="4879" width="19.1640625" style="17" customWidth="1"/>
    <col min="4880" max="4880" width="17.5" style="17" customWidth="1"/>
    <col min="4881" max="4881" width="9.83203125" style="17" customWidth="1"/>
    <col min="4882" max="4921" width="9.1640625" style="17"/>
    <col min="4922" max="4922" width="13.5" style="17" bestFit="1" customWidth="1"/>
    <col min="4923" max="5124" width="9.1640625" style="17"/>
    <col min="5125" max="5125" width="39.5" style="17" customWidth="1"/>
    <col min="5126" max="5126" width="7" style="17" customWidth="1"/>
    <col min="5127" max="5127" width="15.1640625" style="17" customWidth="1"/>
    <col min="5128" max="5128" width="30.1640625" style="17" customWidth="1"/>
    <col min="5129" max="5129" width="13.5" style="17" customWidth="1"/>
    <col min="5130" max="5130" width="15.5" style="17" customWidth="1"/>
    <col min="5131" max="5131" width="4.5" style="17" customWidth="1"/>
    <col min="5132" max="5132" width="40" style="17" customWidth="1"/>
    <col min="5133" max="5133" width="15.5" style="17" customWidth="1"/>
    <col min="5134" max="5134" width="12.5" style="17" customWidth="1"/>
    <col min="5135" max="5135" width="19.1640625" style="17" customWidth="1"/>
    <col min="5136" max="5136" width="17.5" style="17" customWidth="1"/>
    <col min="5137" max="5137" width="9.83203125" style="17" customWidth="1"/>
    <col min="5138" max="5177" width="9.1640625" style="17"/>
    <col min="5178" max="5178" width="13.5" style="17" bestFit="1" customWidth="1"/>
    <col min="5179" max="5380" width="9.1640625" style="17"/>
    <col min="5381" max="5381" width="39.5" style="17" customWidth="1"/>
    <col min="5382" max="5382" width="7" style="17" customWidth="1"/>
    <col min="5383" max="5383" width="15.1640625" style="17" customWidth="1"/>
    <col min="5384" max="5384" width="30.1640625" style="17" customWidth="1"/>
    <col min="5385" max="5385" width="13.5" style="17" customWidth="1"/>
    <col min="5386" max="5386" width="15.5" style="17" customWidth="1"/>
    <col min="5387" max="5387" width="4.5" style="17" customWidth="1"/>
    <col min="5388" max="5388" width="40" style="17" customWidth="1"/>
    <col min="5389" max="5389" width="15.5" style="17" customWidth="1"/>
    <col min="5390" max="5390" width="12.5" style="17" customWidth="1"/>
    <col min="5391" max="5391" width="19.1640625" style="17" customWidth="1"/>
    <col min="5392" max="5392" width="17.5" style="17" customWidth="1"/>
    <col min="5393" max="5393" width="9.83203125" style="17" customWidth="1"/>
    <col min="5394" max="5433" width="9.1640625" style="17"/>
    <col min="5434" max="5434" width="13.5" style="17" bestFit="1" customWidth="1"/>
    <col min="5435" max="5636" width="9.1640625" style="17"/>
    <col min="5637" max="5637" width="39.5" style="17" customWidth="1"/>
    <col min="5638" max="5638" width="7" style="17" customWidth="1"/>
    <col min="5639" max="5639" width="15.1640625" style="17" customWidth="1"/>
    <col min="5640" max="5640" width="30.1640625" style="17" customWidth="1"/>
    <col min="5641" max="5641" width="13.5" style="17" customWidth="1"/>
    <col min="5642" max="5642" width="15.5" style="17" customWidth="1"/>
    <col min="5643" max="5643" width="4.5" style="17" customWidth="1"/>
    <col min="5644" max="5644" width="40" style="17" customWidth="1"/>
    <col min="5645" max="5645" width="15.5" style="17" customWidth="1"/>
    <col min="5646" max="5646" width="12.5" style="17" customWidth="1"/>
    <col min="5647" max="5647" width="19.1640625" style="17" customWidth="1"/>
    <col min="5648" max="5648" width="17.5" style="17" customWidth="1"/>
    <col min="5649" max="5649" width="9.83203125" style="17" customWidth="1"/>
    <col min="5650" max="5689" width="9.1640625" style="17"/>
    <col min="5690" max="5690" width="13.5" style="17" bestFit="1" customWidth="1"/>
    <col min="5691" max="5892" width="9.1640625" style="17"/>
    <col min="5893" max="5893" width="39.5" style="17" customWidth="1"/>
    <col min="5894" max="5894" width="7" style="17" customWidth="1"/>
    <col min="5895" max="5895" width="15.1640625" style="17" customWidth="1"/>
    <col min="5896" max="5896" width="30.1640625" style="17" customWidth="1"/>
    <col min="5897" max="5897" width="13.5" style="17" customWidth="1"/>
    <col min="5898" max="5898" width="15.5" style="17" customWidth="1"/>
    <col min="5899" max="5899" width="4.5" style="17" customWidth="1"/>
    <col min="5900" max="5900" width="40" style="17" customWidth="1"/>
    <col min="5901" max="5901" width="15.5" style="17" customWidth="1"/>
    <col min="5902" max="5902" width="12.5" style="17" customWidth="1"/>
    <col min="5903" max="5903" width="19.1640625" style="17" customWidth="1"/>
    <col min="5904" max="5904" width="17.5" style="17" customWidth="1"/>
    <col min="5905" max="5905" width="9.83203125" style="17" customWidth="1"/>
    <col min="5906" max="5945" width="9.1640625" style="17"/>
    <col min="5946" max="5946" width="13.5" style="17" bestFit="1" customWidth="1"/>
    <col min="5947" max="6148" width="9.1640625" style="17"/>
    <col min="6149" max="6149" width="39.5" style="17" customWidth="1"/>
    <col min="6150" max="6150" width="7" style="17" customWidth="1"/>
    <col min="6151" max="6151" width="15.1640625" style="17" customWidth="1"/>
    <col min="6152" max="6152" width="30.1640625" style="17" customWidth="1"/>
    <col min="6153" max="6153" width="13.5" style="17" customWidth="1"/>
    <col min="6154" max="6154" width="15.5" style="17" customWidth="1"/>
    <col min="6155" max="6155" width="4.5" style="17" customWidth="1"/>
    <col min="6156" max="6156" width="40" style="17" customWidth="1"/>
    <col min="6157" max="6157" width="15.5" style="17" customWidth="1"/>
    <col min="6158" max="6158" width="12.5" style="17" customWidth="1"/>
    <col min="6159" max="6159" width="19.1640625" style="17" customWidth="1"/>
    <col min="6160" max="6160" width="17.5" style="17" customWidth="1"/>
    <col min="6161" max="6161" width="9.83203125" style="17" customWidth="1"/>
    <col min="6162" max="6201" width="9.1640625" style="17"/>
    <col min="6202" max="6202" width="13.5" style="17" bestFit="1" customWidth="1"/>
    <col min="6203" max="6404" width="9.1640625" style="17"/>
    <col min="6405" max="6405" width="39.5" style="17" customWidth="1"/>
    <col min="6406" max="6406" width="7" style="17" customWidth="1"/>
    <col min="6407" max="6407" width="15.1640625" style="17" customWidth="1"/>
    <col min="6408" max="6408" width="30.1640625" style="17" customWidth="1"/>
    <col min="6409" max="6409" width="13.5" style="17" customWidth="1"/>
    <col min="6410" max="6410" width="15.5" style="17" customWidth="1"/>
    <col min="6411" max="6411" width="4.5" style="17" customWidth="1"/>
    <col min="6412" max="6412" width="40" style="17" customWidth="1"/>
    <col min="6413" max="6413" width="15.5" style="17" customWidth="1"/>
    <col min="6414" max="6414" width="12.5" style="17" customWidth="1"/>
    <col min="6415" max="6415" width="19.1640625" style="17" customWidth="1"/>
    <col min="6416" max="6416" width="17.5" style="17" customWidth="1"/>
    <col min="6417" max="6417" width="9.83203125" style="17" customWidth="1"/>
    <col min="6418" max="6457" width="9.1640625" style="17"/>
    <col min="6458" max="6458" width="13.5" style="17" bestFit="1" customWidth="1"/>
    <col min="6459" max="6660" width="9.1640625" style="17"/>
    <col min="6661" max="6661" width="39.5" style="17" customWidth="1"/>
    <col min="6662" max="6662" width="7" style="17" customWidth="1"/>
    <col min="6663" max="6663" width="15.1640625" style="17" customWidth="1"/>
    <col min="6664" max="6664" width="30.1640625" style="17" customWidth="1"/>
    <col min="6665" max="6665" width="13.5" style="17" customWidth="1"/>
    <col min="6666" max="6666" width="15.5" style="17" customWidth="1"/>
    <col min="6667" max="6667" width="4.5" style="17" customWidth="1"/>
    <col min="6668" max="6668" width="40" style="17" customWidth="1"/>
    <col min="6669" max="6669" width="15.5" style="17" customWidth="1"/>
    <col min="6670" max="6670" width="12.5" style="17" customWidth="1"/>
    <col min="6671" max="6671" width="19.1640625" style="17" customWidth="1"/>
    <col min="6672" max="6672" width="17.5" style="17" customWidth="1"/>
    <col min="6673" max="6673" width="9.83203125" style="17" customWidth="1"/>
    <col min="6674" max="6713" width="9.1640625" style="17"/>
    <col min="6714" max="6714" width="13.5" style="17" bestFit="1" customWidth="1"/>
    <col min="6715" max="6916" width="9.1640625" style="17"/>
    <col min="6917" max="6917" width="39.5" style="17" customWidth="1"/>
    <col min="6918" max="6918" width="7" style="17" customWidth="1"/>
    <col min="6919" max="6919" width="15.1640625" style="17" customWidth="1"/>
    <col min="6920" max="6920" width="30.1640625" style="17" customWidth="1"/>
    <col min="6921" max="6921" width="13.5" style="17" customWidth="1"/>
    <col min="6922" max="6922" width="15.5" style="17" customWidth="1"/>
    <col min="6923" max="6923" width="4.5" style="17" customWidth="1"/>
    <col min="6924" max="6924" width="40" style="17" customWidth="1"/>
    <col min="6925" max="6925" width="15.5" style="17" customWidth="1"/>
    <col min="6926" max="6926" width="12.5" style="17" customWidth="1"/>
    <col min="6927" max="6927" width="19.1640625" style="17" customWidth="1"/>
    <col min="6928" max="6928" width="17.5" style="17" customWidth="1"/>
    <col min="6929" max="6929" width="9.83203125" style="17" customWidth="1"/>
    <col min="6930" max="6969" width="9.1640625" style="17"/>
    <col min="6970" max="6970" width="13.5" style="17" bestFit="1" customWidth="1"/>
    <col min="6971" max="7172" width="9.1640625" style="17"/>
    <col min="7173" max="7173" width="39.5" style="17" customWidth="1"/>
    <col min="7174" max="7174" width="7" style="17" customWidth="1"/>
    <col min="7175" max="7175" width="15.1640625" style="17" customWidth="1"/>
    <col min="7176" max="7176" width="30.1640625" style="17" customWidth="1"/>
    <col min="7177" max="7177" width="13.5" style="17" customWidth="1"/>
    <col min="7178" max="7178" width="15.5" style="17" customWidth="1"/>
    <col min="7179" max="7179" width="4.5" style="17" customWidth="1"/>
    <col min="7180" max="7180" width="40" style="17" customWidth="1"/>
    <col min="7181" max="7181" width="15.5" style="17" customWidth="1"/>
    <col min="7182" max="7182" width="12.5" style="17" customWidth="1"/>
    <col min="7183" max="7183" width="19.1640625" style="17" customWidth="1"/>
    <col min="7184" max="7184" width="17.5" style="17" customWidth="1"/>
    <col min="7185" max="7185" width="9.83203125" style="17" customWidth="1"/>
    <col min="7186" max="7225" width="9.1640625" style="17"/>
    <col min="7226" max="7226" width="13.5" style="17" bestFit="1" customWidth="1"/>
    <col min="7227" max="7428" width="9.1640625" style="17"/>
    <col min="7429" max="7429" width="39.5" style="17" customWidth="1"/>
    <col min="7430" max="7430" width="7" style="17" customWidth="1"/>
    <col min="7431" max="7431" width="15.1640625" style="17" customWidth="1"/>
    <col min="7432" max="7432" width="30.1640625" style="17" customWidth="1"/>
    <col min="7433" max="7433" width="13.5" style="17" customWidth="1"/>
    <col min="7434" max="7434" width="15.5" style="17" customWidth="1"/>
    <col min="7435" max="7435" width="4.5" style="17" customWidth="1"/>
    <col min="7436" max="7436" width="40" style="17" customWidth="1"/>
    <col min="7437" max="7437" width="15.5" style="17" customWidth="1"/>
    <col min="7438" max="7438" width="12.5" style="17" customWidth="1"/>
    <col min="7439" max="7439" width="19.1640625" style="17" customWidth="1"/>
    <col min="7440" max="7440" width="17.5" style="17" customWidth="1"/>
    <col min="7441" max="7441" width="9.83203125" style="17" customWidth="1"/>
    <col min="7442" max="7481" width="9.1640625" style="17"/>
    <col min="7482" max="7482" width="13.5" style="17" bestFit="1" customWidth="1"/>
    <col min="7483" max="7684" width="9.1640625" style="17"/>
    <col min="7685" max="7685" width="39.5" style="17" customWidth="1"/>
    <col min="7686" max="7686" width="7" style="17" customWidth="1"/>
    <col min="7687" max="7687" width="15.1640625" style="17" customWidth="1"/>
    <col min="7688" max="7688" width="30.1640625" style="17" customWidth="1"/>
    <col min="7689" max="7689" width="13.5" style="17" customWidth="1"/>
    <col min="7690" max="7690" width="15.5" style="17" customWidth="1"/>
    <col min="7691" max="7691" width="4.5" style="17" customWidth="1"/>
    <col min="7692" max="7692" width="40" style="17" customWidth="1"/>
    <col min="7693" max="7693" width="15.5" style="17" customWidth="1"/>
    <col min="7694" max="7694" width="12.5" style="17" customWidth="1"/>
    <col min="7695" max="7695" width="19.1640625" style="17" customWidth="1"/>
    <col min="7696" max="7696" width="17.5" style="17" customWidth="1"/>
    <col min="7697" max="7697" width="9.83203125" style="17" customWidth="1"/>
    <col min="7698" max="7737" width="9.1640625" style="17"/>
    <col min="7738" max="7738" width="13.5" style="17" bestFit="1" customWidth="1"/>
    <col min="7739" max="7940" width="9.1640625" style="17"/>
    <col min="7941" max="7941" width="39.5" style="17" customWidth="1"/>
    <col min="7942" max="7942" width="7" style="17" customWidth="1"/>
    <col min="7943" max="7943" width="15.1640625" style="17" customWidth="1"/>
    <col min="7944" max="7944" width="30.1640625" style="17" customWidth="1"/>
    <col min="7945" max="7945" width="13.5" style="17" customWidth="1"/>
    <col min="7946" max="7946" width="15.5" style="17" customWidth="1"/>
    <col min="7947" max="7947" width="4.5" style="17" customWidth="1"/>
    <col min="7948" max="7948" width="40" style="17" customWidth="1"/>
    <col min="7949" max="7949" width="15.5" style="17" customWidth="1"/>
    <col min="7950" max="7950" width="12.5" style="17" customWidth="1"/>
    <col min="7951" max="7951" width="19.1640625" style="17" customWidth="1"/>
    <col min="7952" max="7952" width="17.5" style="17" customWidth="1"/>
    <col min="7953" max="7953" width="9.83203125" style="17" customWidth="1"/>
    <col min="7954" max="7993" width="9.1640625" style="17"/>
    <col min="7994" max="7994" width="13.5" style="17" bestFit="1" customWidth="1"/>
    <col min="7995" max="8196" width="9.1640625" style="17"/>
    <col min="8197" max="8197" width="39.5" style="17" customWidth="1"/>
    <col min="8198" max="8198" width="7" style="17" customWidth="1"/>
    <col min="8199" max="8199" width="15.1640625" style="17" customWidth="1"/>
    <col min="8200" max="8200" width="30.1640625" style="17" customWidth="1"/>
    <col min="8201" max="8201" width="13.5" style="17" customWidth="1"/>
    <col min="8202" max="8202" width="15.5" style="17" customWidth="1"/>
    <col min="8203" max="8203" width="4.5" style="17" customWidth="1"/>
    <col min="8204" max="8204" width="40" style="17" customWidth="1"/>
    <col min="8205" max="8205" width="15.5" style="17" customWidth="1"/>
    <col min="8206" max="8206" width="12.5" style="17" customWidth="1"/>
    <col min="8207" max="8207" width="19.1640625" style="17" customWidth="1"/>
    <col min="8208" max="8208" width="17.5" style="17" customWidth="1"/>
    <col min="8209" max="8209" width="9.83203125" style="17" customWidth="1"/>
    <col min="8210" max="8249" width="9.1640625" style="17"/>
    <col min="8250" max="8250" width="13.5" style="17" bestFit="1" customWidth="1"/>
    <col min="8251" max="8452" width="9.1640625" style="17"/>
    <col min="8453" max="8453" width="39.5" style="17" customWidth="1"/>
    <col min="8454" max="8454" width="7" style="17" customWidth="1"/>
    <col min="8455" max="8455" width="15.1640625" style="17" customWidth="1"/>
    <col min="8456" max="8456" width="30.1640625" style="17" customWidth="1"/>
    <col min="8457" max="8457" width="13.5" style="17" customWidth="1"/>
    <col min="8458" max="8458" width="15.5" style="17" customWidth="1"/>
    <col min="8459" max="8459" width="4.5" style="17" customWidth="1"/>
    <col min="8460" max="8460" width="40" style="17" customWidth="1"/>
    <col min="8461" max="8461" width="15.5" style="17" customWidth="1"/>
    <col min="8462" max="8462" width="12.5" style="17" customWidth="1"/>
    <col min="8463" max="8463" width="19.1640625" style="17" customWidth="1"/>
    <col min="8464" max="8464" width="17.5" style="17" customWidth="1"/>
    <col min="8465" max="8465" width="9.83203125" style="17" customWidth="1"/>
    <col min="8466" max="8505" width="9.1640625" style="17"/>
    <col min="8506" max="8506" width="13.5" style="17" bestFit="1" customWidth="1"/>
    <col min="8507" max="8708" width="9.1640625" style="17"/>
    <col min="8709" max="8709" width="39.5" style="17" customWidth="1"/>
    <col min="8710" max="8710" width="7" style="17" customWidth="1"/>
    <col min="8711" max="8711" width="15.1640625" style="17" customWidth="1"/>
    <col min="8712" max="8712" width="30.1640625" style="17" customWidth="1"/>
    <col min="8713" max="8713" width="13.5" style="17" customWidth="1"/>
    <col min="8714" max="8714" width="15.5" style="17" customWidth="1"/>
    <col min="8715" max="8715" width="4.5" style="17" customWidth="1"/>
    <col min="8716" max="8716" width="40" style="17" customWidth="1"/>
    <col min="8717" max="8717" width="15.5" style="17" customWidth="1"/>
    <col min="8718" max="8718" width="12.5" style="17" customWidth="1"/>
    <col min="8719" max="8719" width="19.1640625" style="17" customWidth="1"/>
    <col min="8720" max="8720" width="17.5" style="17" customWidth="1"/>
    <col min="8721" max="8721" width="9.83203125" style="17" customWidth="1"/>
    <col min="8722" max="8761" width="9.1640625" style="17"/>
    <col min="8762" max="8762" width="13.5" style="17" bestFit="1" customWidth="1"/>
    <col min="8763" max="8964" width="9.1640625" style="17"/>
    <col min="8965" max="8965" width="39.5" style="17" customWidth="1"/>
    <col min="8966" max="8966" width="7" style="17" customWidth="1"/>
    <col min="8967" max="8967" width="15.1640625" style="17" customWidth="1"/>
    <col min="8968" max="8968" width="30.1640625" style="17" customWidth="1"/>
    <col min="8969" max="8969" width="13.5" style="17" customWidth="1"/>
    <col min="8970" max="8970" width="15.5" style="17" customWidth="1"/>
    <col min="8971" max="8971" width="4.5" style="17" customWidth="1"/>
    <col min="8972" max="8972" width="40" style="17" customWidth="1"/>
    <col min="8973" max="8973" width="15.5" style="17" customWidth="1"/>
    <col min="8974" max="8974" width="12.5" style="17" customWidth="1"/>
    <col min="8975" max="8975" width="19.1640625" style="17" customWidth="1"/>
    <col min="8976" max="8976" width="17.5" style="17" customWidth="1"/>
    <col min="8977" max="8977" width="9.83203125" style="17" customWidth="1"/>
    <col min="8978" max="9017" width="9.1640625" style="17"/>
    <col min="9018" max="9018" width="13.5" style="17" bestFit="1" customWidth="1"/>
    <col min="9019" max="9220" width="9.1640625" style="17"/>
    <col min="9221" max="9221" width="39.5" style="17" customWidth="1"/>
    <col min="9222" max="9222" width="7" style="17" customWidth="1"/>
    <col min="9223" max="9223" width="15.1640625" style="17" customWidth="1"/>
    <col min="9224" max="9224" width="30.1640625" style="17" customWidth="1"/>
    <col min="9225" max="9225" width="13.5" style="17" customWidth="1"/>
    <col min="9226" max="9226" width="15.5" style="17" customWidth="1"/>
    <col min="9227" max="9227" width="4.5" style="17" customWidth="1"/>
    <col min="9228" max="9228" width="40" style="17" customWidth="1"/>
    <col min="9229" max="9229" width="15.5" style="17" customWidth="1"/>
    <col min="9230" max="9230" width="12.5" style="17" customWidth="1"/>
    <col min="9231" max="9231" width="19.1640625" style="17" customWidth="1"/>
    <col min="9232" max="9232" width="17.5" style="17" customWidth="1"/>
    <col min="9233" max="9233" width="9.83203125" style="17" customWidth="1"/>
    <col min="9234" max="9273" width="9.1640625" style="17"/>
    <col min="9274" max="9274" width="13.5" style="17" bestFit="1" customWidth="1"/>
    <col min="9275" max="9476" width="9.1640625" style="17"/>
    <col min="9477" max="9477" width="39.5" style="17" customWidth="1"/>
    <col min="9478" max="9478" width="7" style="17" customWidth="1"/>
    <col min="9479" max="9479" width="15.1640625" style="17" customWidth="1"/>
    <col min="9480" max="9480" width="30.1640625" style="17" customWidth="1"/>
    <col min="9481" max="9481" width="13.5" style="17" customWidth="1"/>
    <col min="9482" max="9482" width="15.5" style="17" customWidth="1"/>
    <col min="9483" max="9483" width="4.5" style="17" customWidth="1"/>
    <col min="9484" max="9484" width="40" style="17" customWidth="1"/>
    <col min="9485" max="9485" width="15.5" style="17" customWidth="1"/>
    <col min="9486" max="9486" width="12.5" style="17" customWidth="1"/>
    <col min="9487" max="9487" width="19.1640625" style="17" customWidth="1"/>
    <col min="9488" max="9488" width="17.5" style="17" customWidth="1"/>
    <col min="9489" max="9489" width="9.83203125" style="17" customWidth="1"/>
    <col min="9490" max="9529" width="9.1640625" style="17"/>
    <col min="9530" max="9530" width="13.5" style="17" bestFit="1" customWidth="1"/>
    <col min="9531" max="9732" width="9.1640625" style="17"/>
    <col min="9733" max="9733" width="39.5" style="17" customWidth="1"/>
    <col min="9734" max="9734" width="7" style="17" customWidth="1"/>
    <col min="9735" max="9735" width="15.1640625" style="17" customWidth="1"/>
    <col min="9736" max="9736" width="30.1640625" style="17" customWidth="1"/>
    <col min="9737" max="9737" width="13.5" style="17" customWidth="1"/>
    <col min="9738" max="9738" width="15.5" style="17" customWidth="1"/>
    <col min="9739" max="9739" width="4.5" style="17" customWidth="1"/>
    <col min="9740" max="9740" width="40" style="17" customWidth="1"/>
    <col min="9741" max="9741" width="15.5" style="17" customWidth="1"/>
    <col min="9742" max="9742" width="12.5" style="17" customWidth="1"/>
    <col min="9743" max="9743" width="19.1640625" style="17" customWidth="1"/>
    <col min="9744" max="9744" width="17.5" style="17" customWidth="1"/>
    <col min="9745" max="9745" width="9.83203125" style="17" customWidth="1"/>
    <col min="9746" max="9785" width="9.1640625" style="17"/>
    <col min="9786" max="9786" width="13.5" style="17" bestFit="1" customWidth="1"/>
    <col min="9787" max="9988" width="9.1640625" style="17"/>
    <col min="9989" max="9989" width="39.5" style="17" customWidth="1"/>
    <col min="9990" max="9990" width="7" style="17" customWidth="1"/>
    <col min="9991" max="9991" width="15.1640625" style="17" customWidth="1"/>
    <col min="9992" max="9992" width="30.1640625" style="17" customWidth="1"/>
    <col min="9993" max="9993" width="13.5" style="17" customWidth="1"/>
    <col min="9994" max="9994" width="15.5" style="17" customWidth="1"/>
    <col min="9995" max="9995" width="4.5" style="17" customWidth="1"/>
    <col min="9996" max="9996" width="40" style="17" customWidth="1"/>
    <col min="9997" max="9997" width="15.5" style="17" customWidth="1"/>
    <col min="9998" max="9998" width="12.5" style="17" customWidth="1"/>
    <col min="9999" max="9999" width="19.1640625" style="17" customWidth="1"/>
    <col min="10000" max="10000" width="17.5" style="17" customWidth="1"/>
    <col min="10001" max="10001" width="9.83203125" style="17" customWidth="1"/>
    <col min="10002" max="10041" width="9.1640625" style="17"/>
    <col min="10042" max="10042" width="13.5" style="17" bestFit="1" customWidth="1"/>
    <col min="10043" max="10244" width="9.1640625" style="17"/>
    <col min="10245" max="10245" width="39.5" style="17" customWidth="1"/>
    <col min="10246" max="10246" width="7" style="17" customWidth="1"/>
    <col min="10247" max="10247" width="15.1640625" style="17" customWidth="1"/>
    <col min="10248" max="10248" width="30.1640625" style="17" customWidth="1"/>
    <col min="10249" max="10249" width="13.5" style="17" customWidth="1"/>
    <col min="10250" max="10250" width="15.5" style="17" customWidth="1"/>
    <col min="10251" max="10251" width="4.5" style="17" customWidth="1"/>
    <col min="10252" max="10252" width="40" style="17" customWidth="1"/>
    <col min="10253" max="10253" width="15.5" style="17" customWidth="1"/>
    <col min="10254" max="10254" width="12.5" style="17" customWidth="1"/>
    <col min="10255" max="10255" width="19.1640625" style="17" customWidth="1"/>
    <col min="10256" max="10256" width="17.5" style="17" customWidth="1"/>
    <col min="10257" max="10257" width="9.83203125" style="17" customWidth="1"/>
    <col min="10258" max="10297" width="9.1640625" style="17"/>
    <col min="10298" max="10298" width="13.5" style="17" bestFit="1" customWidth="1"/>
    <col min="10299" max="10500" width="9.1640625" style="17"/>
    <col min="10501" max="10501" width="39.5" style="17" customWidth="1"/>
    <col min="10502" max="10502" width="7" style="17" customWidth="1"/>
    <col min="10503" max="10503" width="15.1640625" style="17" customWidth="1"/>
    <col min="10504" max="10504" width="30.1640625" style="17" customWidth="1"/>
    <col min="10505" max="10505" width="13.5" style="17" customWidth="1"/>
    <col min="10506" max="10506" width="15.5" style="17" customWidth="1"/>
    <col min="10507" max="10507" width="4.5" style="17" customWidth="1"/>
    <col min="10508" max="10508" width="40" style="17" customWidth="1"/>
    <col min="10509" max="10509" width="15.5" style="17" customWidth="1"/>
    <col min="10510" max="10510" width="12.5" style="17" customWidth="1"/>
    <col min="10511" max="10511" width="19.1640625" style="17" customWidth="1"/>
    <col min="10512" max="10512" width="17.5" style="17" customWidth="1"/>
    <col min="10513" max="10513" width="9.83203125" style="17" customWidth="1"/>
    <col min="10514" max="10553" width="9.1640625" style="17"/>
    <col min="10554" max="10554" width="13.5" style="17" bestFit="1" customWidth="1"/>
    <col min="10555" max="10756" width="9.1640625" style="17"/>
    <col min="10757" max="10757" width="39.5" style="17" customWidth="1"/>
    <col min="10758" max="10758" width="7" style="17" customWidth="1"/>
    <col min="10759" max="10759" width="15.1640625" style="17" customWidth="1"/>
    <col min="10760" max="10760" width="30.1640625" style="17" customWidth="1"/>
    <col min="10761" max="10761" width="13.5" style="17" customWidth="1"/>
    <col min="10762" max="10762" width="15.5" style="17" customWidth="1"/>
    <col min="10763" max="10763" width="4.5" style="17" customWidth="1"/>
    <col min="10764" max="10764" width="40" style="17" customWidth="1"/>
    <col min="10765" max="10765" width="15.5" style="17" customWidth="1"/>
    <col min="10766" max="10766" width="12.5" style="17" customWidth="1"/>
    <col min="10767" max="10767" width="19.1640625" style="17" customWidth="1"/>
    <col min="10768" max="10768" width="17.5" style="17" customWidth="1"/>
    <col min="10769" max="10769" width="9.83203125" style="17" customWidth="1"/>
    <col min="10770" max="10809" width="9.1640625" style="17"/>
    <col min="10810" max="10810" width="13.5" style="17" bestFit="1" customWidth="1"/>
    <col min="10811" max="11012" width="9.1640625" style="17"/>
    <col min="11013" max="11013" width="39.5" style="17" customWidth="1"/>
    <col min="11014" max="11014" width="7" style="17" customWidth="1"/>
    <col min="11015" max="11015" width="15.1640625" style="17" customWidth="1"/>
    <col min="11016" max="11016" width="30.1640625" style="17" customWidth="1"/>
    <col min="11017" max="11017" width="13.5" style="17" customWidth="1"/>
    <col min="11018" max="11018" width="15.5" style="17" customWidth="1"/>
    <col min="11019" max="11019" width="4.5" style="17" customWidth="1"/>
    <col min="11020" max="11020" width="40" style="17" customWidth="1"/>
    <col min="11021" max="11021" width="15.5" style="17" customWidth="1"/>
    <col min="11022" max="11022" width="12.5" style="17" customWidth="1"/>
    <col min="11023" max="11023" width="19.1640625" style="17" customWidth="1"/>
    <col min="11024" max="11024" width="17.5" style="17" customWidth="1"/>
    <col min="11025" max="11025" width="9.83203125" style="17" customWidth="1"/>
    <col min="11026" max="11065" width="9.1640625" style="17"/>
    <col min="11066" max="11066" width="13.5" style="17" bestFit="1" customWidth="1"/>
    <col min="11067" max="11268" width="9.1640625" style="17"/>
    <col min="11269" max="11269" width="39.5" style="17" customWidth="1"/>
    <col min="11270" max="11270" width="7" style="17" customWidth="1"/>
    <col min="11271" max="11271" width="15.1640625" style="17" customWidth="1"/>
    <col min="11272" max="11272" width="30.1640625" style="17" customWidth="1"/>
    <col min="11273" max="11273" width="13.5" style="17" customWidth="1"/>
    <col min="11274" max="11274" width="15.5" style="17" customWidth="1"/>
    <col min="11275" max="11275" width="4.5" style="17" customWidth="1"/>
    <col min="11276" max="11276" width="40" style="17" customWidth="1"/>
    <col min="11277" max="11277" width="15.5" style="17" customWidth="1"/>
    <col min="11278" max="11278" width="12.5" style="17" customWidth="1"/>
    <col min="11279" max="11279" width="19.1640625" style="17" customWidth="1"/>
    <col min="11280" max="11280" width="17.5" style="17" customWidth="1"/>
    <col min="11281" max="11281" width="9.83203125" style="17" customWidth="1"/>
    <col min="11282" max="11321" width="9.1640625" style="17"/>
    <col min="11322" max="11322" width="13.5" style="17" bestFit="1" customWidth="1"/>
    <col min="11323" max="11524" width="9.1640625" style="17"/>
    <col min="11525" max="11525" width="39.5" style="17" customWidth="1"/>
    <col min="11526" max="11526" width="7" style="17" customWidth="1"/>
    <col min="11527" max="11527" width="15.1640625" style="17" customWidth="1"/>
    <col min="11528" max="11528" width="30.1640625" style="17" customWidth="1"/>
    <col min="11529" max="11529" width="13.5" style="17" customWidth="1"/>
    <col min="11530" max="11530" width="15.5" style="17" customWidth="1"/>
    <col min="11531" max="11531" width="4.5" style="17" customWidth="1"/>
    <col min="11532" max="11532" width="40" style="17" customWidth="1"/>
    <col min="11533" max="11533" width="15.5" style="17" customWidth="1"/>
    <col min="11534" max="11534" width="12.5" style="17" customWidth="1"/>
    <col min="11535" max="11535" width="19.1640625" style="17" customWidth="1"/>
    <col min="11536" max="11536" width="17.5" style="17" customWidth="1"/>
    <col min="11537" max="11537" width="9.83203125" style="17" customWidth="1"/>
    <col min="11538" max="11577" width="9.1640625" style="17"/>
    <col min="11578" max="11578" width="13.5" style="17" bestFit="1" customWidth="1"/>
    <col min="11579" max="11780" width="9.1640625" style="17"/>
    <col min="11781" max="11781" width="39.5" style="17" customWidth="1"/>
    <col min="11782" max="11782" width="7" style="17" customWidth="1"/>
    <col min="11783" max="11783" width="15.1640625" style="17" customWidth="1"/>
    <col min="11784" max="11784" width="30.1640625" style="17" customWidth="1"/>
    <col min="11785" max="11785" width="13.5" style="17" customWidth="1"/>
    <col min="11786" max="11786" width="15.5" style="17" customWidth="1"/>
    <col min="11787" max="11787" width="4.5" style="17" customWidth="1"/>
    <col min="11788" max="11788" width="40" style="17" customWidth="1"/>
    <col min="11789" max="11789" width="15.5" style="17" customWidth="1"/>
    <col min="11790" max="11790" width="12.5" style="17" customWidth="1"/>
    <col min="11791" max="11791" width="19.1640625" style="17" customWidth="1"/>
    <col min="11792" max="11792" width="17.5" style="17" customWidth="1"/>
    <col min="11793" max="11793" width="9.83203125" style="17" customWidth="1"/>
    <col min="11794" max="11833" width="9.1640625" style="17"/>
    <col min="11834" max="11834" width="13.5" style="17" bestFit="1" customWidth="1"/>
    <col min="11835" max="12036" width="9.1640625" style="17"/>
    <col min="12037" max="12037" width="39.5" style="17" customWidth="1"/>
    <col min="12038" max="12038" width="7" style="17" customWidth="1"/>
    <col min="12039" max="12039" width="15.1640625" style="17" customWidth="1"/>
    <col min="12040" max="12040" width="30.1640625" style="17" customWidth="1"/>
    <col min="12041" max="12041" width="13.5" style="17" customWidth="1"/>
    <col min="12042" max="12042" width="15.5" style="17" customWidth="1"/>
    <col min="12043" max="12043" width="4.5" style="17" customWidth="1"/>
    <col min="12044" max="12044" width="40" style="17" customWidth="1"/>
    <col min="12045" max="12045" width="15.5" style="17" customWidth="1"/>
    <col min="12046" max="12046" width="12.5" style="17" customWidth="1"/>
    <col min="12047" max="12047" width="19.1640625" style="17" customWidth="1"/>
    <col min="12048" max="12048" width="17.5" style="17" customWidth="1"/>
    <col min="12049" max="12049" width="9.83203125" style="17" customWidth="1"/>
    <col min="12050" max="12089" width="9.1640625" style="17"/>
    <col min="12090" max="12090" width="13.5" style="17" bestFit="1" customWidth="1"/>
    <col min="12091" max="12292" width="9.1640625" style="17"/>
    <col min="12293" max="12293" width="39.5" style="17" customWidth="1"/>
    <col min="12294" max="12294" width="7" style="17" customWidth="1"/>
    <col min="12295" max="12295" width="15.1640625" style="17" customWidth="1"/>
    <col min="12296" max="12296" width="30.1640625" style="17" customWidth="1"/>
    <col min="12297" max="12297" width="13.5" style="17" customWidth="1"/>
    <col min="12298" max="12298" width="15.5" style="17" customWidth="1"/>
    <col min="12299" max="12299" width="4.5" style="17" customWidth="1"/>
    <col min="12300" max="12300" width="40" style="17" customWidth="1"/>
    <col min="12301" max="12301" width="15.5" style="17" customWidth="1"/>
    <col min="12302" max="12302" width="12.5" style="17" customWidth="1"/>
    <col min="12303" max="12303" width="19.1640625" style="17" customWidth="1"/>
    <col min="12304" max="12304" width="17.5" style="17" customWidth="1"/>
    <col min="12305" max="12305" width="9.83203125" style="17" customWidth="1"/>
    <col min="12306" max="12345" width="9.1640625" style="17"/>
    <col min="12346" max="12346" width="13.5" style="17" bestFit="1" customWidth="1"/>
    <col min="12347" max="12548" width="9.1640625" style="17"/>
    <col min="12549" max="12549" width="39.5" style="17" customWidth="1"/>
    <col min="12550" max="12550" width="7" style="17" customWidth="1"/>
    <col min="12551" max="12551" width="15.1640625" style="17" customWidth="1"/>
    <col min="12552" max="12552" width="30.1640625" style="17" customWidth="1"/>
    <col min="12553" max="12553" width="13.5" style="17" customWidth="1"/>
    <col min="12554" max="12554" width="15.5" style="17" customWidth="1"/>
    <col min="12555" max="12555" width="4.5" style="17" customWidth="1"/>
    <col min="12556" max="12556" width="40" style="17" customWidth="1"/>
    <col min="12557" max="12557" width="15.5" style="17" customWidth="1"/>
    <col min="12558" max="12558" width="12.5" style="17" customWidth="1"/>
    <col min="12559" max="12559" width="19.1640625" style="17" customWidth="1"/>
    <col min="12560" max="12560" width="17.5" style="17" customWidth="1"/>
    <col min="12561" max="12561" width="9.83203125" style="17" customWidth="1"/>
    <col min="12562" max="12601" width="9.1640625" style="17"/>
    <col min="12602" max="12602" width="13.5" style="17" bestFit="1" customWidth="1"/>
    <col min="12603" max="12804" width="9.1640625" style="17"/>
    <col min="12805" max="12805" width="39.5" style="17" customWidth="1"/>
    <col min="12806" max="12806" width="7" style="17" customWidth="1"/>
    <col min="12807" max="12807" width="15.1640625" style="17" customWidth="1"/>
    <col min="12808" max="12808" width="30.1640625" style="17" customWidth="1"/>
    <col min="12809" max="12809" width="13.5" style="17" customWidth="1"/>
    <col min="12810" max="12810" width="15.5" style="17" customWidth="1"/>
    <col min="12811" max="12811" width="4.5" style="17" customWidth="1"/>
    <col min="12812" max="12812" width="40" style="17" customWidth="1"/>
    <col min="12813" max="12813" width="15.5" style="17" customWidth="1"/>
    <col min="12814" max="12814" width="12.5" style="17" customWidth="1"/>
    <col min="12815" max="12815" width="19.1640625" style="17" customWidth="1"/>
    <col min="12816" max="12816" width="17.5" style="17" customWidth="1"/>
    <col min="12817" max="12817" width="9.83203125" style="17" customWidth="1"/>
    <col min="12818" max="12857" width="9.1640625" style="17"/>
    <col min="12858" max="12858" width="13.5" style="17" bestFit="1" customWidth="1"/>
    <col min="12859" max="13060" width="9.1640625" style="17"/>
    <col min="13061" max="13061" width="39.5" style="17" customWidth="1"/>
    <col min="13062" max="13062" width="7" style="17" customWidth="1"/>
    <col min="13063" max="13063" width="15.1640625" style="17" customWidth="1"/>
    <col min="13064" max="13064" width="30.1640625" style="17" customWidth="1"/>
    <col min="13065" max="13065" width="13.5" style="17" customWidth="1"/>
    <col min="13066" max="13066" width="15.5" style="17" customWidth="1"/>
    <col min="13067" max="13067" width="4.5" style="17" customWidth="1"/>
    <col min="13068" max="13068" width="40" style="17" customWidth="1"/>
    <col min="13069" max="13069" width="15.5" style="17" customWidth="1"/>
    <col min="13070" max="13070" width="12.5" style="17" customWidth="1"/>
    <col min="13071" max="13071" width="19.1640625" style="17" customWidth="1"/>
    <col min="13072" max="13072" width="17.5" style="17" customWidth="1"/>
    <col min="13073" max="13073" width="9.83203125" style="17" customWidth="1"/>
    <col min="13074" max="13113" width="9.1640625" style="17"/>
    <col min="13114" max="13114" width="13.5" style="17" bestFit="1" customWidth="1"/>
    <col min="13115" max="13316" width="9.1640625" style="17"/>
    <col min="13317" max="13317" width="39.5" style="17" customWidth="1"/>
    <col min="13318" max="13318" width="7" style="17" customWidth="1"/>
    <col min="13319" max="13319" width="15.1640625" style="17" customWidth="1"/>
    <col min="13320" max="13320" width="30.1640625" style="17" customWidth="1"/>
    <col min="13321" max="13321" width="13.5" style="17" customWidth="1"/>
    <col min="13322" max="13322" width="15.5" style="17" customWidth="1"/>
    <col min="13323" max="13323" width="4.5" style="17" customWidth="1"/>
    <col min="13324" max="13324" width="40" style="17" customWidth="1"/>
    <col min="13325" max="13325" width="15.5" style="17" customWidth="1"/>
    <col min="13326" max="13326" width="12.5" style="17" customWidth="1"/>
    <col min="13327" max="13327" width="19.1640625" style="17" customWidth="1"/>
    <col min="13328" max="13328" width="17.5" style="17" customWidth="1"/>
    <col min="13329" max="13329" width="9.83203125" style="17" customWidth="1"/>
    <col min="13330" max="13369" width="9.1640625" style="17"/>
    <col min="13370" max="13370" width="13.5" style="17" bestFit="1" customWidth="1"/>
    <col min="13371" max="13572" width="9.1640625" style="17"/>
    <col min="13573" max="13573" width="39.5" style="17" customWidth="1"/>
    <col min="13574" max="13574" width="7" style="17" customWidth="1"/>
    <col min="13575" max="13575" width="15.1640625" style="17" customWidth="1"/>
    <col min="13576" max="13576" width="30.1640625" style="17" customWidth="1"/>
    <col min="13577" max="13577" width="13.5" style="17" customWidth="1"/>
    <col min="13578" max="13578" width="15.5" style="17" customWidth="1"/>
    <col min="13579" max="13579" width="4.5" style="17" customWidth="1"/>
    <col min="13580" max="13580" width="40" style="17" customWidth="1"/>
    <col min="13581" max="13581" width="15.5" style="17" customWidth="1"/>
    <col min="13582" max="13582" width="12.5" style="17" customWidth="1"/>
    <col min="13583" max="13583" width="19.1640625" style="17" customWidth="1"/>
    <col min="13584" max="13584" width="17.5" style="17" customWidth="1"/>
    <col min="13585" max="13585" width="9.83203125" style="17" customWidth="1"/>
    <col min="13586" max="13625" width="9.1640625" style="17"/>
    <col min="13626" max="13626" width="13.5" style="17" bestFit="1" customWidth="1"/>
    <col min="13627" max="13828" width="9.1640625" style="17"/>
    <col min="13829" max="13829" width="39.5" style="17" customWidth="1"/>
    <col min="13830" max="13830" width="7" style="17" customWidth="1"/>
    <col min="13831" max="13831" width="15.1640625" style="17" customWidth="1"/>
    <col min="13832" max="13832" width="30.1640625" style="17" customWidth="1"/>
    <col min="13833" max="13833" width="13.5" style="17" customWidth="1"/>
    <col min="13834" max="13834" width="15.5" style="17" customWidth="1"/>
    <col min="13835" max="13835" width="4.5" style="17" customWidth="1"/>
    <col min="13836" max="13836" width="40" style="17" customWidth="1"/>
    <col min="13837" max="13837" width="15.5" style="17" customWidth="1"/>
    <col min="13838" max="13838" width="12.5" style="17" customWidth="1"/>
    <col min="13839" max="13839" width="19.1640625" style="17" customWidth="1"/>
    <col min="13840" max="13840" width="17.5" style="17" customWidth="1"/>
    <col min="13841" max="13841" width="9.83203125" style="17" customWidth="1"/>
    <col min="13842" max="13881" width="9.1640625" style="17"/>
    <col min="13882" max="13882" width="13.5" style="17" bestFit="1" customWidth="1"/>
    <col min="13883" max="14084" width="9.1640625" style="17"/>
    <col min="14085" max="14085" width="39.5" style="17" customWidth="1"/>
    <col min="14086" max="14086" width="7" style="17" customWidth="1"/>
    <col min="14087" max="14087" width="15.1640625" style="17" customWidth="1"/>
    <col min="14088" max="14088" width="30.1640625" style="17" customWidth="1"/>
    <col min="14089" max="14089" width="13.5" style="17" customWidth="1"/>
    <col min="14090" max="14090" width="15.5" style="17" customWidth="1"/>
    <col min="14091" max="14091" width="4.5" style="17" customWidth="1"/>
    <col min="14092" max="14092" width="40" style="17" customWidth="1"/>
    <col min="14093" max="14093" width="15.5" style="17" customWidth="1"/>
    <col min="14094" max="14094" width="12.5" style="17" customWidth="1"/>
    <col min="14095" max="14095" width="19.1640625" style="17" customWidth="1"/>
    <col min="14096" max="14096" width="17.5" style="17" customWidth="1"/>
    <col min="14097" max="14097" width="9.83203125" style="17" customWidth="1"/>
    <col min="14098" max="14137" width="9.1640625" style="17"/>
    <col min="14138" max="14138" width="13.5" style="17" bestFit="1" customWidth="1"/>
    <col min="14139" max="14340" width="9.1640625" style="17"/>
    <col min="14341" max="14341" width="39.5" style="17" customWidth="1"/>
    <col min="14342" max="14342" width="7" style="17" customWidth="1"/>
    <col min="14343" max="14343" width="15.1640625" style="17" customWidth="1"/>
    <col min="14344" max="14344" width="30.1640625" style="17" customWidth="1"/>
    <col min="14345" max="14345" width="13.5" style="17" customWidth="1"/>
    <col min="14346" max="14346" width="15.5" style="17" customWidth="1"/>
    <col min="14347" max="14347" width="4.5" style="17" customWidth="1"/>
    <col min="14348" max="14348" width="40" style="17" customWidth="1"/>
    <col min="14349" max="14349" width="15.5" style="17" customWidth="1"/>
    <col min="14350" max="14350" width="12.5" style="17" customWidth="1"/>
    <col min="14351" max="14351" width="19.1640625" style="17" customWidth="1"/>
    <col min="14352" max="14352" width="17.5" style="17" customWidth="1"/>
    <col min="14353" max="14353" width="9.83203125" style="17" customWidth="1"/>
    <col min="14354" max="14393" width="9.1640625" style="17"/>
    <col min="14394" max="14394" width="13.5" style="17" bestFit="1" customWidth="1"/>
    <col min="14395" max="14596" width="9.1640625" style="17"/>
    <col min="14597" max="14597" width="39.5" style="17" customWidth="1"/>
    <col min="14598" max="14598" width="7" style="17" customWidth="1"/>
    <col min="14599" max="14599" width="15.1640625" style="17" customWidth="1"/>
    <col min="14600" max="14600" width="30.1640625" style="17" customWidth="1"/>
    <col min="14601" max="14601" width="13.5" style="17" customWidth="1"/>
    <col min="14602" max="14602" width="15.5" style="17" customWidth="1"/>
    <col min="14603" max="14603" width="4.5" style="17" customWidth="1"/>
    <col min="14604" max="14604" width="40" style="17" customWidth="1"/>
    <col min="14605" max="14605" width="15.5" style="17" customWidth="1"/>
    <col min="14606" max="14606" width="12.5" style="17" customWidth="1"/>
    <col min="14607" max="14607" width="19.1640625" style="17" customWidth="1"/>
    <col min="14608" max="14608" width="17.5" style="17" customWidth="1"/>
    <col min="14609" max="14609" width="9.83203125" style="17" customWidth="1"/>
    <col min="14610" max="14649" width="9.1640625" style="17"/>
    <col min="14650" max="14650" width="13.5" style="17" bestFit="1" customWidth="1"/>
    <col min="14651" max="14852" width="9.1640625" style="17"/>
    <col min="14853" max="14853" width="39.5" style="17" customWidth="1"/>
    <col min="14854" max="14854" width="7" style="17" customWidth="1"/>
    <col min="14855" max="14855" width="15.1640625" style="17" customWidth="1"/>
    <col min="14856" max="14856" width="30.1640625" style="17" customWidth="1"/>
    <col min="14857" max="14857" width="13.5" style="17" customWidth="1"/>
    <col min="14858" max="14858" width="15.5" style="17" customWidth="1"/>
    <col min="14859" max="14859" width="4.5" style="17" customWidth="1"/>
    <col min="14860" max="14860" width="40" style="17" customWidth="1"/>
    <col min="14861" max="14861" width="15.5" style="17" customWidth="1"/>
    <col min="14862" max="14862" width="12.5" style="17" customWidth="1"/>
    <col min="14863" max="14863" width="19.1640625" style="17" customWidth="1"/>
    <col min="14864" max="14864" width="17.5" style="17" customWidth="1"/>
    <col min="14865" max="14865" width="9.83203125" style="17" customWidth="1"/>
    <col min="14866" max="14905" width="9.1640625" style="17"/>
    <col min="14906" max="14906" width="13.5" style="17" bestFit="1" customWidth="1"/>
    <col min="14907" max="15108" width="9.1640625" style="17"/>
    <col min="15109" max="15109" width="39.5" style="17" customWidth="1"/>
    <col min="15110" max="15110" width="7" style="17" customWidth="1"/>
    <col min="15111" max="15111" width="15.1640625" style="17" customWidth="1"/>
    <col min="15112" max="15112" width="30.1640625" style="17" customWidth="1"/>
    <col min="15113" max="15113" width="13.5" style="17" customWidth="1"/>
    <col min="15114" max="15114" width="15.5" style="17" customWidth="1"/>
    <col min="15115" max="15115" width="4.5" style="17" customWidth="1"/>
    <col min="15116" max="15116" width="40" style="17" customWidth="1"/>
    <col min="15117" max="15117" width="15.5" style="17" customWidth="1"/>
    <col min="15118" max="15118" width="12.5" style="17" customWidth="1"/>
    <col min="15119" max="15119" width="19.1640625" style="17" customWidth="1"/>
    <col min="15120" max="15120" width="17.5" style="17" customWidth="1"/>
    <col min="15121" max="15121" width="9.83203125" style="17" customWidth="1"/>
    <col min="15122" max="15161" width="9.1640625" style="17"/>
    <col min="15162" max="15162" width="13.5" style="17" bestFit="1" customWidth="1"/>
    <col min="15163" max="15364" width="9.1640625" style="17"/>
    <col min="15365" max="15365" width="39.5" style="17" customWidth="1"/>
    <col min="15366" max="15366" width="7" style="17" customWidth="1"/>
    <col min="15367" max="15367" width="15.1640625" style="17" customWidth="1"/>
    <col min="15368" max="15368" width="30.1640625" style="17" customWidth="1"/>
    <col min="15369" max="15369" width="13.5" style="17" customWidth="1"/>
    <col min="15370" max="15370" width="15.5" style="17" customWidth="1"/>
    <col min="15371" max="15371" width="4.5" style="17" customWidth="1"/>
    <col min="15372" max="15372" width="40" style="17" customWidth="1"/>
    <col min="15373" max="15373" width="15.5" style="17" customWidth="1"/>
    <col min="15374" max="15374" width="12.5" style="17" customWidth="1"/>
    <col min="15375" max="15375" width="19.1640625" style="17" customWidth="1"/>
    <col min="15376" max="15376" width="17.5" style="17" customWidth="1"/>
    <col min="15377" max="15377" width="9.83203125" style="17" customWidth="1"/>
    <col min="15378" max="15417" width="9.1640625" style="17"/>
    <col min="15418" max="15418" width="13.5" style="17" bestFit="1" customWidth="1"/>
    <col min="15419" max="15620" width="9.1640625" style="17"/>
    <col min="15621" max="15621" width="39.5" style="17" customWidth="1"/>
    <col min="15622" max="15622" width="7" style="17" customWidth="1"/>
    <col min="15623" max="15623" width="15.1640625" style="17" customWidth="1"/>
    <col min="15624" max="15624" width="30.1640625" style="17" customWidth="1"/>
    <col min="15625" max="15625" width="13.5" style="17" customWidth="1"/>
    <col min="15626" max="15626" width="15.5" style="17" customWidth="1"/>
    <col min="15627" max="15627" width="4.5" style="17" customWidth="1"/>
    <col min="15628" max="15628" width="40" style="17" customWidth="1"/>
    <col min="15629" max="15629" width="15.5" style="17" customWidth="1"/>
    <col min="15630" max="15630" width="12.5" style="17" customWidth="1"/>
    <col min="15631" max="15631" width="19.1640625" style="17" customWidth="1"/>
    <col min="15632" max="15632" width="17.5" style="17" customWidth="1"/>
    <col min="15633" max="15633" width="9.83203125" style="17" customWidth="1"/>
    <col min="15634" max="15673" width="9.1640625" style="17"/>
    <col min="15674" max="15674" width="13.5" style="17" bestFit="1" customWidth="1"/>
    <col min="15675" max="15876" width="9.1640625" style="17"/>
    <col min="15877" max="15877" width="39.5" style="17" customWidth="1"/>
    <col min="15878" max="15878" width="7" style="17" customWidth="1"/>
    <col min="15879" max="15879" width="15.1640625" style="17" customWidth="1"/>
    <col min="15880" max="15880" width="30.1640625" style="17" customWidth="1"/>
    <col min="15881" max="15881" width="13.5" style="17" customWidth="1"/>
    <col min="15882" max="15882" width="15.5" style="17" customWidth="1"/>
    <col min="15883" max="15883" width="4.5" style="17" customWidth="1"/>
    <col min="15884" max="15884" width="40" style="17" customWidth="1"/>
    <col min="15885" max="15885" width="15.5" style="17" customWidth="1"/>
    <col min="15886" max="15886" width="12.5" style="17" customWidth="1"/>
    <col min="15887" max="15887" width="19.1640625" style="17" customWidth="1"/>
    <col min="15888" max="15888" width="17.5" style="17" customWidth="1"/>
    <col min="15889" max="15889" width="9.83203125" style="17" customWidth="1"/>
    <col min="15890" max="15929" width="9.1640625" style="17"/>
    <col min="15930" max="15930" width="13.5" style="17" bestFit="1" customWidth="1"/>
    <col min="15931" max="16132" width="9.1640625" style="17"/>
    <col min="16133" max="16133" width="39.5" style="17" customWidth="1"/>
    <col min="16134" max="16134" width="7" style="17" customWidth="1"/>
    <col min="16135" max="16135" width="15.1640625" style="17" customWidth="1"/>
    <col min="16136" max="16136" width="30.1640625" style="17" customWidth="1"/>
    <col min="16137" max="16137" width="13.5" style="17" customWidth="1"/>
    <col min="16138" max="16138" width="15.5" style="17" customWidth="1"/>
    <col min="16139" max="16139" width="4.5" style="17" customWidth="1"/>
    <col min="16140" max="16140" width="40" style="17" customWidth="1"/>
    <col min="16141" max="16141" width="15.5" style="17" customWidth="1"/>
    <col min="16142" max="16142" width="12.5" style="17" customWidth="1"/>
    <col min="16143" max="16143" width="19.1640625" style="17" customWidth="1"/>
    <col min="16144" max="16144" width="17.5" style="17" customWidth="1"/>
    <col min="16145" max="16145" width="9.83203125" style="17" customWidth="1"/>
    <col min="16146" max="16185" width="9.1640625" style="17"/>
    <col min="16186" max="16186" width="13.5" style="17" bestFit="1" customWidth="1"/>
    <col min="16187" max="16384" width="9.1640625" style="17"/>
  </cols>
  <sheetData>
    <row r="1" spans="3:58" customFormat="1" ht="14" thickBot="1" x14ac:dyDescent="0.2">
      <c r="BE1" s="21" t="s">
        <v>0</v>
      </c>
      <c r="BF1" s="22" t="s">
        <v>1</v>
      </c>
    </row>
    <row r="2" spans="3:58" customFormat="1" ht="14" thickBot="1" x14ac:dyDescent="0.2">
      <c r="C2" s="631"/>
      <c r="D2" s="632"/>
      <c r="E2" s="632"/>
      <c r="F2" s="632"/>
      <c r="G2" s="632"/>
      <c r="H2" s="632"/>
      <c r="I2" s="632"/>
      <c r="J2" s="665"/>
      <c r="BE2" s="23"/>
      <c r="BF2" s="24" t="s">
        <v>2</v>
      </c>
    </row>
    <row r="3" spans="3:58" customFormat="1" x14ac:dyDescent="0.15">
      <c r="C3" s="639"/>
      <c r="D3" s="666"/>
      <c r="E3" s="666"/>
      <c r="F3" s="666"/>
      <c r="G3" s="666"/>
      <c r="H3" s="666"/>
      <c r="I3" s="666"/>
      <c r="J3" s="667"/>
    </row>
    <row r="4" spans="3:58" customFormat="1" x14ac:dyDescent="0.15">
      <c r="C4" s="639"/>
      <c r="D4" s="666"/>
      <c r="E4" s="668"/>
      <c r="F4" s="668"/>
      <c r="G4" s="668"/>
      <c r="H4" s="668"/>
      <c r="I4" s="637"/>
      <c r="J4" s="669"/>
      <c r="K4" s="2"/>
      <c r="L4" s="1"/>
    </row>
    <row r="5" spans="3:58" customFormat="1" x14ac:dyDescent="0.15">
      <c r="C5" s="639"/>
      <c r="D5" s="666"/>
      <c r="E5" s="668"/>
      <c r="F5" s="668"/>
      <c r="G5" s="668"/>
      <c r="H5" s="668"/>
      <c r="I5" s="637"/>
      <c r="J5" s="669"/>
      <c r="K5" s="2"/>
      <c r="L5" s="1"/>
    </row>
    <row r="6" spans="3:58" customFormat="1" x14ac:dyDescent="0.15">
      <c r="C6" s="639"/>
      <c r="D6" s="666"/>
      <c r="E6" s="668"/>
      <c r="F6" s="668"/>
      <c r="G6" s="668"/>
      <c r="H6" s="668"/>
      <c r="I6" s="637"/>
      <c r="J6" s="669"/>
      <c r="K6" s="2"/>
      <c r="L6" s="1"/>
    </row>
    <row r="7" spans="3:58" customFormat="1" x14ac:dyDescent="0.15">
      <c r="C7" s="639"/>
      <c r="D7" s="666"/>
      <c r="E7" s="668"/>
      <c r="F7" s="668"/>
      <c r="G7" s="668"/>
      <c r="H7" s="668"/>
      <c r="I7" s="637"/>
      <c r="J7" s="669"/>
      <c r="K7" s="2"/>
      <c r="L7" s="1"/>
    </row>
    <row r="8" spans="3:58" customFormat="1" x14ac:dyDescent="0.15">
      <c r="C8" s="639"/>
      <c r="D8" s="666"/>
      <c r="E8" s="668"/>
      <c r="F8" s="668"/>
      <c r="G8" s="668"/>
      <c r="H8" s="668"/>
      <c r="I8" s="637"/>
      <c r="J8" s="669"/>
      <c r="K8" s="2"/>
      <c r="L8" s="1"/>
    </row>
    <row r="9" spans="3:58" customFormat="1" ht="14" thickBot="1" x14ac:dyDescent="0.2">
      <c r="C9" s="639"/>
      <c r="D9" s="666"/>
      <c r="E9" s="668"/>
      <c r="F9" s="668"/>
      <c r="G9" s="668"/>
      <c r="H9" s="668"/>
      <c r="I9" s="637"/>
      <c r="J9" s="658" t="s">
        <v>3</v>
      </c>
      <c r="K9" s="2"/>
      <c r="L9" s="1"/>
    </row>
    <row r="10" spans="3:58" customFormat="1" ht="17" thickBot="1" x14ac:dyDescent="0.25">
      <c r="C10" s="352" t="s">
        <v>4</v>
      </c>
      <c r="D10" s="114"/>
      <c r="E10" s="114"/>
      <c r="F10" s="114"/>
      <c r="G10" s="114"/>
      <c r="H10" s="114"/>
      <c r="I10" s="114"/>
      <c r="J10" s="115"/>
      <c r="K10" s="26"/>
      <c r="L10" s="1"/>
    </row>
    <row r="11" spans="3:58" customFormat="1" x14ac:dyDescent="0.15">
      <c r="C11" s="633" t="s">
        <v>5</v>
      </c>
      <c r="D11" s="116"/>
      <c r="E11" s="227"/>
      <c r="F11" s="227"/>
      <c r="G11" s="227"/>
      <c r="H11" s="227"/>
      <c r="I11" s="227"/>
      <c r="J11" s="634"/>
      <c r="K11" s="117"/>
      <c r="L11" s="1"/>
    </row>
    <row r="12" spans="3:58" customFormat="1" x14ac:dyDescent="0.15">
      <c r="C12" s="633" t="s">
        <v>6</v>
      </c>
      <c r="D12" s="89"/>
      <c r="E12" s="257"/>
      <c r="F12" s="257"/>
      <c r="G12" s="257"/>
      <c r="H12" s="257"/>
      <c r="I12" s="257"/>
      <c r="J12" s="635"/>
      <c r="K12" s="117"/>
      <c r="L12" s="1"/>
    </row>
    <row r="13" spans="3:58" customFormat="1" x14ac:dyDescent="0.15">
      <c r="C13" s="633" t="s">
        <v>7</v>
      </c>
      <c r="D13" s="89"/>
      <c r="E13" s="257"/>
      <c r="F13" s="257"/>
      <c r="G13" s="257"/>
      <c r="H13" s="257"/>
      <c r="I13" s="257"/>
      <c r="J13" s="635"/>
      <c r="K13" s="117"/>
      <c r="L13" s="1"/>
    </row>
    <row r="14" spans="3:58" customFormat="1" x14ac:dyDescent="0.15">
      <c r="C14" s="633" t="s">
        <v>8</v>
      </c>
      <c r="D14" s="89" t="s">
        <v>9</v>
      </c>
      <c r="E14" s="57"/>
      <c r="F14" s="57"/>
      <c r="G14" s="57"/>
      <c r="H14" s="636"/>
      <c r="I14" s="637"/>
      <c r="J14" s="638"/>
      <c r="K14" s="2"/>
      <c r="L14" s="1"/>
      <c r="O14" t="s">
        <v>10</v>
      </c>
    </row>
    <row r="15" spans="3:58" customFormat="1" x14ac:dyDescent="0.15">
      <c r="C15" s="633" t="s">
        <v>11</v>
      </c>
      <c r="D15" s="89"/>
      <c r="E15" s="57"/>
      <c r="F15" s="57"/>
      <c r="G15" s="57"/>
      <c r="H15" s="636"/>
      <c r="I15" s="637"/>
      <c r="J15" s="638"/>
      <c r="K15" s="2"/>
      <c r="L15" s="1"/>
      <c r="O15" t="s">
        <v>9</v>
      </c>
    </row>
    <row r="16" spans="3:58" customFormat="1" x14ac:dyDescent="0.15">
      <c r="C16" s="633" t="s">
        <v>12</v>
      </c>
      <c r="D16" s="89"/>
      <c r="E16" s="57"/>
      <c r="F16" s="57"/>
      <c r="G16" s="57"/>
      <c r="H16" s="636"/>
      <c r="I16" s="637"/>
      <c r="J16" s="638"/>
      <c r="K16" s="2"/>
      <c r="L16" s="1"/>
      <c r="O16" t="s">
        <v>13</v>
      </c>
    </row>
    <row r="17" spans="3:15" customFormat="1" x14ac:dyDescent="0.15">
      <c r="C17" s="633" t="s">
        <v>14</v>
      </c>
      <c r="D17" s="89"/>
      <c r="E17" s="57"/>
      <c r="F17" s="57"/>
      <c r="G17" s="57"/>
      <c r="H17" s="636"/>
      <c r="I17" s="637"/>
      <c r="J17" s="638"/>
      <c r="K17" s="2"/>
      <c r="L17" s="1"/>
      <c r="O17" t="s">
        <v>15</v>
      </c>
    </row>
    <row r="18" spans="3:15" customFormat="1" ht="6" customHeight="1" thickBot="1" x14ac:dyDescent="0.2">
      <c r="C18" s="639"/>
      <c r="D18" s="640"/>
      <c r="E18" s="636"/>
      <c r="F18" s="636"/>
      <c r="G18" s="636"/>
      <c r="H18" s="636"/>
      <c r="I18" s="637"/>
      <c r="J18" s="638"/>
      <c r="K18" s="2"/>
      <c r="L18" s="1"/>
    </row>
    <row r="19" spans="3:15" customFormat="1" ht="17" thickBot="1" x14ac:dyDescent="0.25">
      <c r="C19" s="352" t="s">
        <v>16</v>
      </c>
      <c r="D19" s="114"/>
      <c r="E19" s="114"/>
      <c r="F19" s="114"/>
      <c r="G19" s="114"/>
      <c r="H19" s="114"/>
      <c r="I19" s="114"/>
      <c r="J19" s="115"/>
      <c r="K19" s="26"/>
      <c r="L19" s="169" t="s">
        <v>17</v>
      </c>
    </row>
    <row r="20" spans="3:15" customFormat="1" ht="14" thickBot="1" x14ac:dyDescent="0.2">
      <c r="C20" s="641" t="s">
        <v>18</v>
      </c>
      <c r="D20" s="5" t="s">
        <v>19</v>
      </c>
      <c r="E20" s="5" t="s">
        <v>20</v>
      </c>
      <c r="F20" s="5" t="s">
        <v>21</v>
      </c>
      <c r="G20" s="5" t="s">
        <v>22</v>
      </c>
      <c r="H20" s="6" t="s">
        <v>23</v>
      </c>
      <c r="I20" s="5" t="s">
        <v>24</v>
      </c>
      <c r="J20" s="642" t="s">
        <v>25</v>
      </c>
      <c r="K20" s="26"/>
      <c r="L20" s="168" t="s">
        <v>26</v>
      </c>
    </row>
    <row r="21" spans="3:15" customFormat="1" x14ac:dyDescent="0.15">
      <c r="C21" s="643">
        <v>1</v>
      </c>
      <c r="D21" s="88">
        <v>43262</v>
      </c>
      <c r="E21" s="89" t="s">
        <v>27</v>
      </c>
      <c r="F21" s="89">
        <v>3</v>
      </c>
      <c r="G21" s="89">
        <v>2</v>
      </c>
      <c r="H21" s="604">
        <v>265000</v>
      </c>
      <c r="I21" s="350">
        <v>2611</v>
      </c>
      <c r="J21" s="644">
        <f t="shared" ref="J21:J25" si="0">H21/I21</f>
        <v>101.49368058215244</v>
      </c>
      <c r="K21" s="26"/>
      <c r="L21" s="168" t="s">
        <v>28</v>
      </c>
    </row>
    <row r="22" spans="3:15" customFormat="1" x14ac:dyDescent="0.15">
      <c r="C22" s="643">
        <v>2</v>
      </c>
      <c r="D22" s="88">
        <v>43262</v>
      </c>
      <c r="E22" s="89" t="s">
        <v>29</v>
      </c>
      <c r="F22" s="89">
        <v>3</v>
      </c>
      <c r="G22" s="89">
        <v>1</v>
      </c>
      <c r="H22" s="604">
        <v>235000</v>
      </c>
      <c r="I22" s="350">
        <v>1433</v>
      </c>
      <c r="J22" s="644">
        <f t="shared" si="0"/>
        <v>163.99162595952546</v>
      </c>
      <c r="K22" s="26"/>
      <c r="L22" s="1"/>
    </row>
    <row r="23" spans="3:15" customFormat="1" x14ac:dyDescent="0.15">
      <c r="C23" s="643">
        <v>3</v>
      </c>
      <c r="D23" s="88" t="s">
        <v>30</v>
      </c>
      <c r="E23" s="89" t="s">
        <v>31</v>
      </c>
      <c r="F23" s="89">
        <v>3</v>
      </c>
      <c r="G23" s="89">
        <v>2</v>
      </c>
      <c r="H23" s="604">
        <v>230000</v>
      </c>
      <c r="I23" s="350">
        <v>1448</v>
      </c>
      <c r="J23" s="644">
        <f t="shared" si="0"/>
        <v>158.83977900552486</v>
      </c>
      <c r="K23" s="26"/>
      <c r="L23" s="1"/>
    </row>
    <row r="24" spans="3:15" customFormat="1" x14ac:dyDescent="0.15">
      <c r="C24" s="643">
        <v>4</v>
      </c>
      <c r="D24" s="88">
        <v>43307</v>
      </c>
      <c r="E24" s="89" t="s">
        <v>32</v>
      </c>
      <c r="F24" s="89">
        <v>3</v>
      </c>
      <c r="G24" s="89">
        <v>2</v>
      </c>
      <c r="H24" s="604">
        <v>250000</v>
      </c>
      <c r="I24" s="603">
        <v>2606</v>
      </c>
      <c r="J24" s="644">
        <f t="shared" si="0"/>
        <v>95.93246354566385</v>
      </c>
      <c r="K24" s="26"/>
      <c r="L24" s="1"/>
      <c r="M24" s="7"/>
    </row>
    <row r="25" spans="3:15" customFormat="1" x14ac:dyDescent="0.15">
      <c r="C25" s="643">
        <v>5</v>
      </c>
      <c r="D25" s="88">
        <v>43284</v>
      </c>
      <c r="E25" s="89" t="s">
        <v>33</v>
      </c>
      <c r="F25" s="89">
        <v>3</v>
      </c>
      <c r="G25" s="89">
        <v>3</v>
      </c>
      <c r="H25" s="604">
        <v>332000</v>
      </c>
      <c r="I25" s="350">
        <v>1819</v>
      </c>
      <c r="J25" s="644">
        <f t="shared" si="0"/>
        <v>182.51786695986806</v>
      </c>
      <c r="K25" s="26"/>
      <c r="L25" s="1"/>
    </row>
    <row r="26" spans="3:15" customFormat="1" x14ac:dyDescent="0.15">
      <c r="C26" s="645">
        <v>6</v>
      </c>
      <c r="D26" s="90"/>
      <c r="E26" s="91"/>
      <c r="F26" s="91"/>
      <c r="G26" s="91"/>
      <c r="H26" s="73"/>
      <c r="I26" s="351"/>
      <c r="J26" s="646"/>
      <c r="K26" s="26"/>
      <c r="L26" s="74"/>
      <c r="M26" s="8"/>
    </row>
    <row r="27" spans="3:15" customFormat="1" x14ac:dyDescent="0.15">
      <c r="C27" s="647"/>
      <c r="D27" s="636"/>
      <c r="E27" s="636"/>
      <c r="F27" s="636"/>
      <c r="G27" s="636"/>
      <c r="H27" s="637"/>
      <c r="I27" s="636" t="s">
        <v>34</v>
      </c>
      <c r="J27" s="648">
        <f>SUM(J21:J25)</f>
        <v>702.77541605273473</v>
      </c>
      <c r="K27" s="26"/>
      <c r="L27" s="1"/>
      <c r="M27" s="8"/>
    </row>
    <row r="28" spans="3:15" customFormat="1" x14ac:dyDescent="0.15">
      <c r="C28" s="647"/>
      <c r="D28" s="636"/>
      <c r="E28" s="636"/>
      <c r="F28" s="636"/>
      <c r="G28" s="636"/>
      <c r="H28" s="640"/>
      <c r="I28" s="637" t="s">
        <v>18</v>
      </c>
      <c r="J28" s="649">
        <v>5</v>
      </c>
      <c r="K28" s="26"/>
      <c r="L28" s="1"/>
    </row>
    <row r="29" spans="3:15" customFormat="1" x14ac:dyDescent="0.15">
      <c r="C29" s="647"/>
      <c r="D29" s="636"/>
      <c r="E29" s="636"/>
      <c r="F29" s="636"/>
      <c r="G29" s="636"/>
      <c r="H29" s="637"/>
      <c r="I29" s="396" t="s">
        <v>35</v>
      </c>
      <c r="J29" s="648">
        <f>J27/J28</f>
        <v>140.55508321054694</v>
      </c>
      <c r="K29" s="26"/>
      <c r="L29" s="1"/>
    </row>
    <row r="30" spans="3:15" customFormat="1" x14ac:dyDescent="0.15">
      <c r="C30" s="647"/>
      <c r="D30" s="636"/>
      <c r="E30" s="636"/>
      <c r="F30" s="636"/>
      <c r="G30" s="636"/>
      <c r="H30" s="637"/>
      <c r="I30" s="93" t="s">
        <v>36</v>
      </c>
      <c r="J30" s="650">
        <f>ROUNDDOWN(J29,0)</f>
        <v>140</v>
      </c>
      <c r="K30" s="26"/>
      <c r="L30" s="1"/>
    </row>
    <row r="31" spans="3:15" customFormat="1" x14ac:dyDescent="0.15">
      <c r="C31" s="647"/>
      <c r="D31" s="636"/>
      <c r="E31" s="636"/>
      <c r="F31" s="636"/>
      <c r="G31" s="636"/>
      <c r="H31" s="637"/>
      <c r="I31" s="636" t="s">
        <v>37</v>
      </c>
      <c r="J31" s="651">
        <v>140</v>
      </c>
      <c r="K31" s="26"/>
      <c r="L31" s="1"/>
    </row>
    <row r="32" spans="3:15" customFormat="1" x14ac:dyDescent="0.15">
      <c r="C32" s="647"/>
      <c r="D32" s="636"/>
      <c r="E32" s="636"/>
      <c r="F32" s="636"/>
      <c r="G32" s="636"/>
      <c r="H32" s="637"/>
      <c r="I32" s="636" t="s">
        <v>38</v>
      </c>
      <c r="J32" s="652">
        <f>D17</f>
        <v>0</v>
      </c>
      <c r="K32" s="26"/>
      <c r="L32" s="1"/>
      <c r="M32" s="8"/>
    </row>
    <row r="33" spans="3:58" customFormat="1" ht="14" thickBot="1" x14ac:dyDescent="0.2">
      <c r="C33" s="653"/>
      <c r="D33" s="95"/>
      <c r="E33" s="95"/>
      <c r="F33" s="95"/>
      <c r="G33" s="95"/>
      <c r="H33" s="10"/>
      <c r="I33" s="79" t="s">
        <v>39</v>
      </c>
      <c r="J33" s="654">
        <f>J32*J31</f>
        <v>0</v>
      </c>
      <c r="K33" s="26"/>
      <c r="L33" s="1"/>
    </row>
    <row r="34" spans="3:58" customFormat="1" x14ac:dyDescent="0.15">
      <c r="C34" s="647"/>
      <c r="D34" s="636"/>
      <c r="E34" s="636"/>
      <c r="F34" s="636"/>
      <c r="G34" s="636"/>
      <c r="H34" s="637"/>
      <c r="I34" s="97" t="s">
        <v>40</v>
      </c>
      <c r="J34" s="98">
        <f>ROUNDDOWN(J33,-3)</f>
        <v>0</v>
      </c>
      <c r="K34" s="26"/>
    </row>
    <row r="35" spans="3:58" s="11" customFormat="1" ht="14" thickBot="1" x14ac:dyDescent="0.2">
      <c r="C35" s="655"/>
      <c r="D35" s="396"/>
      <c r="E35" s="396"/>
      <c r="F35" s="396"/>
      <c r="G35" s="396"/>
      <c r="H35" s="656"/>
      <c r="I35" s="99" t="s">
        <v>41</v>
      </c>
      <c r="J35" s="100" t="e">
        <f>J34/J32</f>
        <v>#DIV/0!</v>
      </c>
      <c r="L35" s="9"/>
      <c r="M35" s="13"/>
    </row>
    <row r="36" spans="3:58" s="11" customFormat="1" x14ac:dyDescent="0.15">
      <c r="C36" s="655"/>
      <c r="D36" s="396"/>
      <c r="E36" s="396"/>
      <c r="F36" s="396"/>
      <c r="G36" s="396"/>
      <c r="H36" s="77"/>
      <c r="I36" s="254"/>
      <c r="J36" s="657"/>
      <c r="L36" s="9"/>
    </row>
    <row r="37" spans="3:58" s="11" customFormat="1" x14ac:dyDescent="0.15">
      <c r="C37" s="367"/>
      <c r="D37" s="397"/>
      <c r="E37" s="397"/>
      <c r="F37" s="397"/>
      <c r="G37" s="397"/>
      <c r="H37" s="77"/>
      <c r="I37" s="77"/>
      <c r="J37" s="657"/>
      <c r="L37" s="9"/>
    </row>
    <row r="38" spans="3:58" s="11" customFormat="1" x14ac:dyDescent="0.15">
      <c r="C38" s="367"/>
      <c r="D38" s="397"/>
      <c r="E38" s="397"/>
      <c r="F38" s="397"/>
      <c r="G38" s="397"/>
      <c r="H38" s="77"/>
      <c r="I38" s="77"/>
      <c r="J38" s="657"/>
      <c r="L38" s="9"/>
    </row>
    <row r="39" spans="3:58" s="11" customFormat="1" x14ac:dyDescent="0.15">
      <c r="C39" s="367"/>
      <c r="D39" s="397"/>
      <c r="E39" s="397"/>
      <c r="F39" s="397"/>
      <c r="G39" s="397"/>
      <c r="H39" s="77"/>
      <c r="I39" s="77"/>
      <c r="J39" s="657"/>
      <c r="L39" s="9"/>
    </row>
    <row r="40" spans="3:58" s="11" customFormat="1" x14ac:dyDescent="0.15">
      <c r="C40" s="367"/>
      <c r="D40" s="397"/>
      <c r="E40" s="397"/>
      <c r="F40" s="397"/>
      <c r="G40" s="397"/>
      <c r="H40" s="356" t="s">
        <v>42</v>
      </c>
      <c r="I40" s="77" t="s">
        <v>43</v>
      </c>
      <c r="J40" s="657" t="s">
        <v>44</v>
      </c>
      <c r="L40" s="9"/>
    </row>
    <row r="41" spans="3:58" s="11" customFormat="1" x14ac:dyDescent="0.15">
      <c r="C41" s="367"/>
      <c r="D41" s="397"/>
      <c r="E41" s="397"/>
      <c r="F41" s="397"/>
      <c r="G41" s="397"/>
      <c r="H41" s="356"/>
      <c r="I41" s="77"/>
      <c r="J41" s="657"/>
      <c r="L41" s="9"/>
    </row>
    <row r="42" spans="3:58" s="11" customFormat="1" ht="14" thickBot="1" x14ac:dyDescent="0.2">
      <c r="C42" s="367"/>
      <c r="D42" s="397"/>
      <c r="E42" s="397"/>
      <c r="F42" s="397"/>
      <c r="G42" s="397"/>
      <c r="H42" s="356"/>
      <c r="I42" s="77"/>
      <c r="J42" s="658" t="s">
        <v>45</v>
      </c>
      <c r="L42" s="9"/>
    </row>
    <row r="43" spans="3:58" s="11" customFormat="1" ht="18" customHeight="1" thickBot="1" x14ac:dyDescent="0.3">
      <c r="C43" s="353" t="s">
        <v>46</v>
      </c>
      <c r="D43" s="70"/>
      <c r="E43" s="70"/>
      <c r="F43" s="70"/>
      <c r="G43" s="70"/>
      <c r="H43" s="69"/>
      <c r="I43" s="70"/>
      <c r="J43" s="71"/>
      <c r="K43" s="14"/>
      <c r="L43" s="156"/>
    </row>
    <row r="44" spans="3:58" ht="14" customHeight="1" x14ac:dyDescent="0.15">
      <c r="C44" s="129" t="s">
        <v>5</v>
      </c>
      <c r="D44" s="850">
        <f>D11</f>
        <v>0</v>
      </c>
      <c r="E44" s="850"/>
      <c r="F44" s="850"/>
      <c r="G44" s="850"/>
      <c r="H44" s="850"/>
      <c r="I44" s="850"/>
      <c r="J44" s="851"/>
      <c r="K44" s="156"/>
      <c r="BE44" s="18" t="s">
        <v>47</v>
      </c>
      <c r="BF44" s="19" t="s">
        <v>48</v>
      </c>
    </row>
    <row r="45" spans="3:58" x14ac:dyDescent="0.15">
      <c r="C45" s="130" t="s">
        <v>49</v>
      </c>
      <c r="D45" s="852">
        <f>D17</f>
        <v>0</v>
      </c>
      <c r="E45" s="852"/>
      <c r="F45" s="814"/>
      <c r="G45" s="814"/>
      <c r="H45" s="72" t="s">
        <v>50</v>
      </c>
      <c r="I45" s="113">
        <v>1</v>
      </c>
      <c r="J45" s="154" t="s">
        <v>51</v>
      </c>
      <c r="K45" s="20"/>
      <c r="BE45" s="21" t="s">
        <v>0</v>
      </c>
      <c r="BF45" s="22" t="s">
        <v>1</v>
      </c>
    </row>
    <row r="46" spans="3:58" ht="14" thickBot="1" x14ac:dyDescent="0.2">
      <c r="C46" s="130" t="s">
        <v>52</v>
      </c>
      <c r="D46" s="853"/>
      <c r="E46" s="853"/>
      <c r="F46" s="815"/>
      <c r="G46" s="815"/>
      <c r="H46" s="72" t="s">
        <v>53</v>
      </c>
      <c r="I46" s="428">
        <v>43355</v>
      </c>
      <c r="J46" s="155" t="s">
        <v>0</v>
      </c>
      <c r="K46" s="20"/>
      <c r="BE46" s="23"/>
      <c r="BF46" s="24" t="s">
        <v>2</v>
      </c>
    </row>
    <row r="47" spans="3:58" s="25" customFormat="1" ht="11" customHeight="1" x14ac:dyDescent="0.15">
      <c r="C47" s="854" t="s">
        <v>54</v>
      </c>
      <c r="D47" s="856" t="s">
        <v>55</v>
      </c>
      <c r="E47" s="856"/>
      <c r="F47" s="856"/>
      <c r="G47" s="856"/>
      <c r="H47" s="856"/>
      <c r="I47" s="856"/>
      <c r="J47" s="857"/>
      <c r="K47" s="20"/>
    </row>
    <row r="48" spans="3:58" s="25" customFormat="1" ht="12" customHeight="1" x14ac:dyDescent="0.15">
      <c r="C48" s="854"/>
      <c r="D48" s="858"/>
      <c r="E48" s="858"/>
      <c r="F48" s="858"/>
      <c r="G48" s="858"/>
      <c r="H48" s="858"/>
      <c r="I48" s="858"/>
      <c r="J48" s="859"/>
      <c r="K48" s="20"/>
    </row>
    <row r="49" spans="3:14" ht="12" customHeight="1" thickBot="1" x14ac:dyDescent="0.2">
      <c r="C49" s="855"/>
      <c r="D49" s="860"/>
      <c r="E49" s="860"/>
      <c r="F49" s="858"/>
      <c r="G49" s="858"/>
      <c r="H49" s="860"/>
      <c r="I49" s="860"/>
      <c r="J49" s="861"/>
    </row>
    <row r="50" spans="3:14" ht="17" thickBot="1" x14ac:dyDescent="0.25">
      <c r="C50" s="464" t="s">
        <v>56</v>
      </c>
      <c r="D50" s="465"/>
      <c r="E50" s="466"/>
      <c r="F50" s="443"/>
      <c r="G50" s="121"/>
      <c r="H50" s="469" t="s">
        <v>57</v>
      </c>
      <c r="I50" s="470" t="s">
        <v>58</v>
      </c>
      <c r="J50" s="471" t="s">
        <v>59</v>
      </c>
      <c r="L50" s="169" t="s">
        <v>60</v>
      </c>
    </row>
    <row r="51" spans="3:14" ht="14" customHeight="1" outlineLevel="1" x14ac:dyDescent="0.15">
      <c r="C51" s="126"/>
      <c r="D51" s="146" t="s">
        <v>39</v>
      </c>
      <c r="E51" s="429">
        <v>250000</v>
      </c>
      <c r="F51" s="444"/>
      <c r="G51" s="445"/>
      <c r="H51" s="358" t="s">
        <v>61</v>
      </c>
      <c r="I51" s="131">
        <v>5500</v>
      </c>
      <c r="J51" s="27">
        <f>I51/12</f>
        <v>458.33333333333331</v>
      </c>
      <c r="L51" s="167" t="s">
        <v>62</v>
      </c>
    </row>
    <row r="52" spans="3:14" ht="13" customHeight="1" outlineLevel="1" x14ac:dyDescent="0.15">
      <c r="C52" s="123"/>
      <c r="D52" s="147" t="s">
        <v>63</v>
      </c>
      <c r="E52" s="430">
        <v>110000</v>
      </c>
      <c r="F52" s="444"/>
      <c r="G52" s="445"/>
      <c r="H52" s="359" t="s">
        <v>64</v>
      </c>
      <c r="I52" s="28"/>
      <c r="J52" s="132">
        <v>0</v>
      </c>
    </row>
    <row r="53" spans="3:14" ht="14" customHeight="1" outlineLevel="1" x14ac:dyDescent="0.15">
      <c r="C53" s="123"/>
      <c r="D53" s="147" t="s">
        <v>65</v>
      </c>
      <c r="E53" s="430">
        <v>93000</v>
      </c>
      <c r="F53" s="444"/>
      <c r="G53" s="445"/>
      <c r="H53" s="359" t="s">
        <v>66</v>
      </c>
      <c r="I53" s="29">
        <f>IF(J46="y",(((E54*0.00077)+(500))),((E54*0.006)+(500)*(E59/6*2)))</f>
        <v>1552</v>
      </c>
      <c r="J53" s="30">
        <f>I53/12</f>
        <v>129.33333333333334</v>
      </c>
    </row>
    <row r="54" spans="3:14" ht="14" customHeight="1" outlineLevel="1" x14ac:dyDescent="0.15">
      <c r="C54" s="123"/>
      <c r="D54" s="148" t="s">
        <v>67</v>
      </c>
      <c r="E54" s="431">
        <v>92000</v>
      </c>
      <c r="F54" s="446"/>
      <c r="G54" s="447"/>
      <c r="H54" s="359" t="s">
        <v>68</v>
      </c>
      <c r="I54" s="28"/>
      <c r="J54" s="31">
        <f>SUM(J55:J58)</f>
        <v>250</v>
      </c>
    </row>
    <row r="55" spans="3:14" ht="13" customHeight="1" outlineLevel="2" x14ac:dyDescent="0.15">
      <c r="C55" s="492"/>
      <c r="D55" s="490" t="s">
        <v>69</v>
      </c>
      <c r="E55" s="491">
        <f>(E54+E53)/E51</f>
        <v>0.74</v>
      </c>
      <c r="F55" s="448"/>
      <c r="G55" s="449"/>
      <c r="H55" s="139" t="s">
        <v>70</v>
      </c>
      <c r="I55" s="138"/>
      <c r="J55" s="132">
        <v>100</v>
      </c>
    </row>
    <row r="56" spans="3:14" ht="13" customHeight="1" outlineLevel="3" x14ac:dyDescent="0.15">
      <c r="C56" s="124"/>
      <c r="D56" s="122"/>
      <c r="E56" s="432"/>
      <c r="F56" s="448"/>
      <c r="G56" s="449"/>
      <c r="H56" s="139" t="s">
        <v>71</v>
      </c>
      <c r="I56" s="138"/>
      <c r="J56" s="132">
        <v>25</v>
      </c>
    </row>
    <row r="57" spans="3:14" ht="13" customHeight="1" outlineLevel="3" x14ac:dyDescent="0.15">
      <c r="C57" s="124"/>
      <c r="D57" s="153" t="s">
        <v>72</v>
      </c>
      <c r="E57" s="433">
        <v>3</v>
      </c>
      <c r="F57" s="450"/>
      <c r="G57" s="451"/>
      <c r="H57" s="139" t="s">
        <v>73</v>
      </c>
      <c r="I57" s="138"/>
      <c r="J57" s="132">
        <v>125</v>
      </c>
    </row>
    <row r="58" spans="3:14" ht="13" customHeight="1" outlineLevel="3" x14ac:dyDescent="0.15">
      <c r="C58" s="124"/>
      <c r="D58" s="127" t="s">
        <v>74</v>
      </c>
      <c r="E58" s="434">
        <v>3</v>
      </c>
      <c r="F58" s="450"/>
      <c r="G58" s="451"/>
      <c r="H58" s="139" t="s">
        <v>75</v>
      </c>
      <c r="I58" s="138"/>
      <c r="J58" s="132">
        <v>0</v>
      </c>
    </row>
    <row r="59" spans="3:14" ht="13" customHeight="1" outlineLevel="1" thickBot="1" x14ac:dyDescent="0.2">
      <c r="C59" s="125"/>
      <c r="D59" s="128" t="s">
        <v>76</v>
      </c>
      <c r="E59" s="435">
        <f>SUM(E57:E58)</f>
        <v>6</v>
      </c>
      <c r="F59" s="452"/>
      <c r="G59" s="453"/>
      <c r="H59" s="360" t="s">
        <v>77</v>
      </c>
      <c r="I59" s="32"/>
      <c r="J59" s="133">
        <v>0</v>
      </c>
    </row>
    <row r="60" spans="3:14" ht="17" thickBot="1" x14ac:dyDescent="0.25">
      <c r="C60" s="847" t="s">
        <v>78</v>
      </c>
      <c r="D60" s="848"/>
      <c r="E60" s="436">
        <f>E53+E54</f>
        <v>185000</v>
      </c>
      <c r="F60" s="454"/>
      <c r="G60" s="455"/>
      <c r="H60" s="848" t="s">
        <v>79</v>
      </c>
      <c r="I60" s="849"/>
      <c r="J60" s="137">
        <f>SUM(J51:J54)+J59</f>
        <v>837.66666666666663</v>
      </c>
    </row>
    <row r="61" spans="3:14" ht="17" thickBot="1" x14ac:dyDescent="0.25">
      <c r="C61" s="467" t="s">
        <v>80</v>
      </c>
      <c r="D61" s="468"/>
      <c r="E61" s="437" t="s">
        <v>48</v>
      </c>
      <c r="F61" s="456"/>
      <c r="G61" s="457"/>
      <c r="H61" s="33" t="s">
        <v>81</v>
      </c>
      <c r="I61" s="34" t="s">
        <v>82</v>
      </c>
      <c r="J61" s="35" t="s">
        <v>83</v>
      </c>
    </row>
    <row r="62" spans="3:14" ht="13" customHeight="1" outlineLevel="1" thickTop="1" x14ac:dyDescent="0.15">
      <c r="C62" s="659" t="s">
        <v>84</v>
      </c>
      <c r="D62" s="149">
        <v>0.65</v>
      </c>
      <c r="E62" s="438">
        <f>IF($E$61="ARV",$E$51*D62,IF($E$61="Purchase+Rehab",(($E$54+$E$53)*D62),IF($E$61="Purchase Price",($E$54*D62))))</f>
        <v>162500</v>
      </c>
      <c r="F62" s="458"/>
      <c r="G62" s="459"/>
      <c r="H62" s="361" t="s">
        <v>85</v>
      </c>
      <c r="I62" s="36"/>
      <c r="J62" s="135">
        <v>1000</v>
      </c>
    </row>
    <row r="63" spans="3:14" ht="14" customHeight="1" outlineLevel="1" x14ac:dyDescent="0.15">
      <c r="C63" s="660" t="s">
        <v>86</v>
      </c>
      <c r="D63" s="144">
        <v>2</v>
      </c>
      <c r="E63" s="439">
        <f>D63/100*E62</f>
        <v>3250</v>
      </c>
      <c r="F63" s="460"/>
      <c r="G63" s="461"/>
      <c r="H63" s="362" t="s">
        <v>87</v>
      </c>
      <c r="I63" s="134">
        <v>2.5000000000000001E-3</v>
      </c>
      <c r="J63" s="37">
        <f>(500)+(I63*E54)</f>
        <v>730</v>
      </c>
      <c r="M63" s="17" t="s">
        <v>88</v>
      </c>
    </row>
    <row r="64" spans="3:14" ht="14" customHeight="1" outlineLevel="1" thickBot="1" x14ac:dyDescent="0.2">
      <c r="C64" s="661" t="s">
        <v>89</v>
      </c>
      <c r="D64" s="145">
        <v>0.1</v>
      </c>
      <c r="E64" s="439">
        <f>E62*D64/12*E59</f>
        <v>8125</v>
      </c>
      <c r="F64" s="460"/>
      <c r="G64" s="461"/>
      <c r="H64" s="362" t="s">
        <v>90</v>
      </c>
      <c r="I64" s="427" t="s">
        <v>91</v>
      </c>
      <c r="J64" s="136">
        <v>500</v>
      </c>
      <c r="L64" s="472">
        <f>E80*M64</f>
        <v>82800</v>
      </c>
      <c r="M64" s="474">
        <v>0.9</v>
      </c>
      <c r="N64" s="17" t="s">
        <v>92</v>
      </c>
    </row>
    <row r="65" spans="3:14" ht="14" customHeight="1" outlineLevel="1" thickBot="1" x14ac:dyDescent="0.2">
      <c r="C65" s="662" t="s">
        <v>93</v>
      </c>
      <c r="D65" s="150"/>
      <c r="E65" s="440">
        <f>E64/E59</f>
        <v>1354.1666666666667</v>
      </c>
      <c r="F65" s="460"/>
      <c r="G65" s="461"/>
      <c r="H65" s="865" t="s">
        <v>94</v>
      </c>
      <c r="I65" s="866"/>
      <c r="J65" s="178">
        <f>SUM(J62:J64)</f>
        <v>2230</v>
      </c>
      <c r="L65" s="475">
        <f>E81*M65</f>
        <v>93000</v>
      </c>
      <c r="M65" s="474">
        <v>1</v>
      </c>
      <c r="N65" s="17" t="s">
        <v>95</v>
      </c>
    </row>
    <row r="66" spans="3:14" ht="14" customHeight="1" outlineLevel="1" thickTop="1" thickBot="1" x14ac:dyDescent="0.2">
      <c r="C66" s="659" t="s">
        <v>96</v>
      </c>
      <c r="D66" s="149">
        <v>0.132024</v>
      </c>
      <c r="E66" s="438">
        <f>IF($E$61="ARV",$E$51*D66,IF($E$61="Purchase+Rehab",(($E$54+$E$53)*D66),IF($E$61="Purchase Price",($E$54*D66))))</f>
        <v>33006</v>
      </c>
      <c r="F66" s="458"/>
      <c r="G66" s="459"/>
      <c r="H66" s="33" t="s">
        <v>97</v>
      </c>
      <c r="I66" s="34" t="s">
        <v>98</v>
      </c>
      <c r="J66" s="35" t="s">
        <v>83</v>
      </c>
      <c r="L66" s="487">
        <f>E83*M66</f>
        <v>5026</v>
      </c>
      <c r="M66" s="474">
        <v>1</v>
      </c>
      <c r="N66" s="17" t="s">
        <v>99</v>
      </c>
    </row>
    <row r="67" spans="3:14" ht="14" customHeight="1" outlineLevel="1" thickBot="1" x14ac:dyDescent="0.2">
      <c r="C67" s="660" t="s">
        <v>100</v>
      </c>
      <c r="D67" s="144">
        <v>0</v>
      </c>
      <c r="E67" s="439">
        <f>D67/100*E66</f>
        <v>0</v>
      </c>
      <c r="F67" s="460"/>
      <c r="G67" s="461"/>
      <c r="H67" s="361" t="s">
        <v>85</v>
      </c>
      <c r="I67" s="36"/>
      <c r="J67" s="135">
        <v>1000</v>
      </c>
      <c r="L67" s="478">
        <f>E84*M67</f>
        <v>2007</v>
      </c>
      <c r="M67" s="479">
        <v>0.9</v>
      </c>
      <c r="N67" s="480" t="s">
        <v>101</v>
      </c>
    </row>
    <row r="68" spans="3:14" ht="14" customHeight="1" outlineLevel="1" thickTop="1" x14ac:dyDescent="0.15">
      <c r="C68" s="660" t="s">
        <v>102</v>
      </c>
      <c r="D68" s="145">
        <v>0</v>
      </c>
      <c r="E68" s="439">
        <f>E66*D68/12*E59</f>
        <v>0</v>
      </c>
      <c r="F68" s="460"/>
      <c r="G68" s="461"/>
      <c r="H68" s="363" t="s">
        <v>103</v>
      </c>
      <c r="I68" s="39"/>
      <c r="J68" s="140">
        <v>500</v>
      </c>
      <c r="L68" s="473">
        <f>SUM(L64:L67)</f>
        <v>182833</v>
      </c>
      <c r="M68" s="17" t="s">
        <v>104</v>
      </c>
    </row>
    <row r="69" spans="3:14" ht="14" customHeight="1" outlineLevel="1" thickBot="1" x14ac:dyDescent="0.2">
      <c r="C69" s="662" t="s">
        <v>105</v>
      </c>
      <c r="D69" s="150"/>
      <c r="E69" s="440">
        <f>E68/E59</f>
        <v>0</v>
      </c>
      <c r="F69" s="460"/>
      <c r="G69" s="461"/>
      <c r="H69" s="362" t="s">
        <v>106</v>
      </c>
      <c r="I69" s="134">
        <v>0.06</v>
      </c>
      <c r="J69" s="41">
        <f>I69*E51</f>
        <v>15000</v>
      </c>
      <c r="M69" s="476">
        <v>0.08</v>
      </c>
    </row>
    <row r="70" spans="3:14" ht="14" customHeight="1" outlineLevel="1" thickTop="1" x14ac:dyDescent="0.15">
      <c r="C70" s="663" t="s">
        <v>107</v>
      </c>
      <c r="D70" s="149">
        <v>0</v>
      </c>
      <c r="E70" s="438">
        <f>IF($E$61="ARV",$E$51*D70,IF($E$61="Purchase+Rehab",(($E$54+$E$53)*D70),IF($E$61="Purchase Price",($E$54*D70))))</f>
        <v>0</v>
      </c>
      <c r="F70" s="458"/>
      <c r="G70" s="459"/>
      <c r="H70" s="362" t="s">
        <v>108</v>
      </c>
      <c r="I70" s="134">
        <v>1.1999999999999999E-3</v>
      </c>
      <c r="J70" s="41">
        <f>I70*E51</f>
        <v>300</v>
      </c>
      <c r="M70" s="477" t="s">
        <v>109</v>
      </c>
    </row>
    <row r="71" spans="3:14" ht="14" customHeight="1" outlineLevel="1" thickBot="1" x14ac:dyDescent="0.2">
      <c r="C71" s="660" t="s">
        <v>110</v>
      </c>
      <c r="D71" s="144">
        <v>0</v>
      </c>
      <c r="E71" s="439">
        <f>D71/100*E70</f>
        <v>0</v>
      </c>
      <c r="F71" s="460"/>
      <c r="G71" s="461"/>
      <c r="H71" s="364" t="s">
        <v>111</v>
      </c>
      <c r="I71" s="42"/>
      <c r="J71" s="141">
        <v>500</v>
      </c>
    </row>
    <row r="72" spans="3:14" ht="14" customHeight="1" outlineLevel="1" x14ac:dyDescent="0.15">
      <c r="C72" s="664" t="s">
        <v>112</v>
      </c>
      <c r="D72" s="145">
        <v>0</v>
      </c>
      <c r="E72" s="439">
        <f>E70*D72/12*E59</f>
        <v>0</v>
      </c>
      <c r="F72" s="460"/>
      <c r="G72" s="461"/>
      <c r="H72" s="363" t="s">
        <v>113</v>
      </c>
      <c r="I72" s="43"/>
      <c r="J72" s="40">
        <v>0</v>
      </c>
      <c r="L72" s="182" t="s">
        <v>114</v>
      </c>
      <c r="M72" s="488"/>
    </row>
    <row r="73" spans="3:14" ht="14" customHeight="1" outlineLevel="1" thickBot="1" x14ac:dyDescent="0.2">
      <c r="C73" s="662" t="s">
        <v>115</v>
      </c>
      <c r="D73" s="150"/>
      <c r="E73" s="440">
        <f>E72/E59</f>
        <v>0</v>
      </c>
      <c r="F73" s="460"/>
      <c r="G73" s="461"/>
      <c r="H73" s="365" t="s">
        <v>116</v>
      </c>
      <c r="I73" s="38"/>
      <c r="J73" s="142">
        <v>0</v>
      </c>
      <c r="K73" s="44"/>
      <c r="L73" s="488">
        <f>E54-L64</f>
        <v>9200</v>
      </c>
    </row>
    <row r="74" spans="3:14" ht="14" customHeight="1" outlineLevel="1" thickTop="1" thickBot="1" x14ac:dyDescent="0.2">
      <c r="C74" s="151" t="s">
        <v>117</v>
      </c>
      <c r="D74" s="152"/>
      <c r="E74" s="441">
        <v>0</v>
      </c>
      <c r="F74" s="444"/>
      <c r="G74" s="445"/>
      <c r="H74" s="365" t="s">
        <v>118</v>
      </c>
      <c r="I74" s="38"/>
      <c r="J74" s="143">
        <v>0</v>
      </c>
      <c r="L74" s="488">
        <f>E84-L67</f>
        <v>223</v>
      </c>
    </row>
    <row r="75" spans="3:14" ht="14" customHeight="1" thickBot="1" x14ac:dyDescent="0.2">
      <c r="C75" s="867" t="s">
        <v>119</v>
      </c>
      <c r="D75" s="865"/>
      <c r="E75" s="442">
        <f>E63+E64+E67+E68+E71+E72+E74</f>
        <v>11375</v>
      </c>
      <c r="F75" s="462"/>
      <c r="G75" s="463"/>
      <c r="H75" s="865" t="s">
        <v>120</v>
      </c>
      <c r="I75" s="866"/>
      <c r="J75" s="178">
        <f>SUM(J67:J74)</f>
        <v>17300</v>
      </c>
    </row>
    <row r="76" spans="3:14" ht="19" customHeight="1" thickBot="1" x14ac:dyDescent="0.2">
      <c r="C76" s="868" t="s">
        <v>121</v>
      </c>
      <c r="D76" s="869"/>
      <c r="E76" s="869"/>
      <c r="F76" s="870"/>
      <c r="G76" s="870"/>
      <c r="H76" s="869"/>
      <c r="I76" s="869"/>
      <c r="J76" s="871"/>
      <c r="K76" s="25"/>
      <c r="L76" s="182" t="s">
        <v>122</v>
      </c>
      <c r="M76" s="25"/>
      <c r="N76" s="25"/>
    </row>
    <row r="77" spans="3:14" s="50" customFormat="1" ht="23" customHeight="1" thickBot="1" x14ac:dyDescent="0.25">
      <c r="C77" s="45" t="s">
        <v>123</v>
      </c>
      <c r="D77" s="46"/>
      <c r="E77" s="47">
        <f>E79-E80-E81-E82-E83-E84-E85</f>
        <v>29069</v>
      </c>
      <c r="F77" s="862" t="s">
        <v>124</v>
      </c>
      <c r="G77" s="863"/>
      <c r="H77" s="863"/>
      <c r="I77" s="864"/>
      <c r="J77" s="48">
        <f>E77/(E80+E81+E82+E83+E84+E85)</f>
        <v>0.13157501663415275</v>
      </c>
      <c r="K77" s="49"/>
      <c r="L77" s="488">
        <f>E82</f>
        <v>11375</v>
      </c>
      <c r="M77" s="49"/>
      <c r="N77" s="49"/>
    </row>
    <row r="78" spans="3:14" ht="17" thickBot="1" x14ac:dyDescent="0.25">
      <c r="C78" s="844" t="s">
        <v>125</v>
      </c>
      <c r="D78" s="845"/>
      <c r="E78" s="846"/>
      <c r="F78" s="581"/>
      <c r="G78" s="581"/>
      <c r="H78" s="844" t="s">
        <v>126</v>
      </c>
      <c r="I78" s="845"/>
      <c r="J78" s="846"/>
      <c r="K78" s="49"/>
      <c r="L78" s="488"/>
      <c r="M78" s="49"/>
      <c r="N78" s="25"/>
    </row>
    <row r="79" spans="3:14" ht="18" customHeight="1" outlineLevel="1" x14ac:dyDescent="0.2">
      <c r="C79" s="372" t="s">
        <v>127</v>
      </c>
      <c r="D79" s="373"/>
      <c r="E79" s="374">
        <f>E51</f>
        <v>250000</v>
      </c>
      <c r="F79" s="583"/>
      <c r="G79" s="584"/>
      <c r="H79" s="375" t="s">
        <v>128</v>
      </c>
      <c r="I79" s="375"/>
      <c r="J79" s="376">
        <f>I46+(E59*30)</f>
        <v>43535</v>
      </c>
      <c r="K79" s="49"/>
      <c r="L79" s="49"/>
      <c r="M79" s="49"/>
      <c r="N79" s="25"/>
    </row>
    <row r="80" spans="3:14" ht="18" customHeight="1" outlineLevel="1" x14ac:dyDescent="0.15">
      <c r="C80" s="377" t="s">
        <v>2</v>
      </c>
      <c r="D80" s="378"/>
      <c r="E80" s="380">
        <f>E54</f>
        <v>92000</v>
      </c>
      <c r="F80" s="585"/>
      <c r="G80" s="586"/>
      <c r="H80" s="381" t="s">
        <v>129</v>
      </c>
      <c r="I80" s="381"/>
      <c r="J80" s="382" t="e">
        <f>(E80+E81)/D45</f>
        <v>#DIV/0!</v>
      </c>
      <c r="K80" s="25"/>
      <c r="L80" s="489">
        <f>SUM(L73:L77)</f>
        <v>20798</v>
      </c>
      <c r="M80" s="25"/>
      <c r="N80" s="25"/>
    </row>
    <row r="81" spans="3:14" ht="18" customHeight="1" outlineLevel="1" x14ac:dyDescent="0.15">
      <c r="C81" s="383" t="s">
        <v>65</v>
      </c>
      <c r="D81" s="384"/>
      <c r="E81" s="386">
        <f>E53</f>
        <v>93000</v>
      </c>
      <c r="F81" s="585"/>
      <c r="G81" s="586"/>
      <c r="H81" s="384" t="s">
        <v>130</v>
      </c>
      <c r="I81" s="387"/>
      <c r="J81" s="385">
        <f>E80+J65+E63+E67+E71-E62-E66-E70</f>
        <v>-98026</v>
      </c>
      <c r="K81" s="20"/>
      <c r="L81" s="25"/>
      <c r="M81" s="25"/>
      <c r="N81" s="25"/>
    </row>
    <row r="82" spans="3:14" ht="18" customHeight="1" outlineLevel="1" x14ac:dyDescent="0.15">
      <c r="C82" s="377" t="s">
        <v>131</v>
      </c>
      <c r="D82" s="378"/>
      <c r="E82" s="380">
        <f>E63+E64+E67+E68+E71+E72+E74</f>
        <v>11375</v>
      </c>
      <c r="F82" s="587"/>
      <c r="G82" s="586"/>
      <c r="H82" s="381" t="s">
        <v>132</v>
      </c>
      <c r="I82" s="381"/>
      <c r="J82" s="379">
        <f>(E80+E81+E63+E67+E71+E83+E84+J72+J73+J74)-E62-E66-E70</f>
        <v>0</v>
      </c>
      <c r="K82" s="51"/>
      <c r="L82" s="25"/>
      <c r="M82" s="25"/>
      <c r="N82" s="25"/>
    </row>
    <row r="83" spans="3:14" ht="18" customHeight="1" outlineLevel="1" x14ac:dyDescent="0.15">
      <c r="C83" s="383" t="s">
        <v>133</v>
      </c>
      <c r="D83" s="384"/>
      <c r="E83" s="386">
        <f>J60*E59</f>
        <v>5026</v>
      </c>
      <c r="F83" s="587"/>
      <c r="G83" s="586"/>
      <c r="H83" s="387" t="s">
        <v>134</v>
      </c>
      <c r="I83" s="387"/>
      <c r="J83" s="388" t="e">
        <f>E77/J82*12/E59</f>
        <v>#DIV/0!</v>
      </c>
      <c r="K83" s="52"/>
      <c r="L83" s="25"/>
      <c r="M83" s="25"/>
      <c r="N83" s="25"/>
    </row>
    <row r="84" spans="3:14" ht="18" customHeight="1" outlineLevel="1" x14ac:dyDescent="0.15">
      <c r="C84" s="377" t="s">
        <v>135</v>
      </c>
      <c r="D84" s="378"/>
      <c r="E84" s="380">
        <f>SUM(J62:J64)</f>
        <v>2230</v>
      </c>
      <c r="F84" s="587"/>
      <c r="G84" s="586"/>
      <c r="H84" s="381" t="s">
        <v>136</v>
      </c>
      <c r="I84" s="381"/>
      <c r="J84" s="389">
        <f>J77*(12/E59)</f>
        <v>0.26315003326830549</v>
      </c>
      <c r="K84" s="20"/>
      <c r="L84" s="25"/>
      <c r="M84" s="25"/>
      <c r="N84" s="25"/>
    </row>
    <row r="85" spans="3:14" ht="18" customHeight="1" outlineLevel="1" thickBot="1" x14ac:dyDescent="0.2">
      <c r="C85" s="383" t="s">
        <v>137</v>
      </c>
      <c r="D85" s="384"/>
      <c r="E85" s="386">
        <f>SUM(J67:J74)</f>
        <v>17300</v>
      </c>
      <c r="F85" s="588"/>
      <c r="G85" s="589"/>
      <c r="H85" s="387" t="s">
        <v>138</v>
      </c>
      <c r="I85" s="387"/>
      <c r="J85" s="388">
        <f>E77/(E80+E81)</f>
        <v>0.15712972972972972</v>
      </c>
      <c r="K85" s="20"/>
      <c r="L85" s="25"/>
      <c r="M85" s="25"/>
      <c r="N85" s="25"/>
    </row>
    <row r="86" spans="3:14" ht="14" thickBot="1" x14ac:dyDescent="0.2">
      <c r="C86" s="53"/>
      <c r="D86" s="54"/>
      <c r="E86" s="54"/>
      <c r="F86" s="582"/>
      <c r="G86" s="582"/>
      <c r="H86" s="55"/>
      <c r="I86" s="55"/>
      <c r="J86" s="56"/>
      <c r="K86" s="20"/>
    </row>
    <row r="87" spans="3:14" ht="14" thickBot="1" x14ac:dyDescent="0.2">
      <c r="C87" s="670"/>
      <c r="D87" s="671"/>
      <c r="E87" s="672"/>
      <c r="F87" s="672"/>
      <c r="G87" s="672"/>
      <c r="H87" s="673"/>
      <c r="I87" s="673"/>
      <c r="J87" s="674"/>
    </row>
    <row r="88" spans="3:14" x14ac:dyDescent="0.15">
      <c r="H88" s="58"/>
      <c r="I88" s="58"/>
      <c r="J88" s="59"/>
      <c r="K88" s="60"/>
      <c r="M88" s="61"/>
    </row>
    <row r="89" spans="3:14" x14ac:dyDescent="0.15">
      <c r="C89" s="63"/>
      <c r="H89" s="62"/>
      <c r="I89" s="62"/>
      <c r="J89" s="63"/>
      <c r="K89" s="60"/>
      <c r="M89" s="61"/>
    </row>
    <row r="90" spans="3:14" x14ac:dyDescent="0.15">
      <c r="C90" s="64"/>
      <c r="D90" s="180"/>
      <c r="E90" s="179"/>
      <c r="F90" s="179"/>
      <c r="G90" s="179"/>
      <c r="H90" s="65"/>
      <c r="I90" s="65"/>
      <c r="K90" s="60"/>
      <c r="M90" s="61"/>
    </row>
    <row r="91" spans="3:14" x14ac:dyDescent="0.15">
      <c r="D91" s="181"/>
      <c r="E91" s="262"/>
      <c r="F91" s="262"/>
      <c r="G91" s="262"/>
      <c r="H91" s="357"/>
      <c r="J91" s="63"/>
      <c r="K91" s="60"/>
      <c r="L91" s="67"/>
    </row>
    <row r="92" spans="3:14" x14ac:dyDescent="0.15">
      <c r="D92" s="181"/>
      <c r="E92" s="59"/>
      <c r="F92" s="59"/>
      <c r="G92" s="59"/>
      <c r="L92" s="67"/>
    </row>
    <row r="93" spans="3:14" ht="27.75" customHeight="1" x14ac:dyDescent="0.15">
      <c r="I93" s="68"/>
      <c r="K93" s="60"/>
      <c r="L93" s="67"/>
    </row>
    <row r="94" spans="3:14" x14ac:dyDescent="0.15">
      <c r="E94" s="59"/>
      <c r="I94" s="68"/>
      <c r="K94" s="60"/>
    </row>
    <row r="95" spans="3:14" x14ac:dyDescent="0.15">
      <c r="E95" s="59"/>
      <c r="I95" s="68"/>
      <c r="K95" s="60"/>
    </row>
    <row r="96" spans="3:14" x14ac:dyDescent="0.15">
      <c r="K96" s="60"/>
    </row>
    <row r="97" spans="11:12" x14ac:dyDescent="0.15">
      <c r="K97" s="60"/>
    </row>
    <row r="98" spans="11:12" x14ac:dyDescent="0.15">
      <c r="K98" s="60"/>
    </row>
    <row r="99" spans="11:12" x14ac:dyDescent="0.15">
      <c r="K99" s="60"/>
    </row>
    <row r="100" spans="11:12" x14ac:dyDescent="0.15">
      <c r="K100" s="60"/>
    </row>
    <row r="101" spans="11:12" x14ac:dyDescent="0.15">
      <c r="K101" s="60"/>
    </row>
    <row r="102" spans="11:12" x14ac:dyDescent="0.15">
      <c r="K102" s="60"/>
    </row>
    <row r="103" spans="11:12" x14ac:dyDescent="0.15">
      <c r="K103" s="60"/>
    </row>
    <row r="104" spans="11:12" x14ac:dyDescent="0.15">
      <c r="K104" s="60"/>
    </row>
    <row r="105" spans="11:12" x14ac:dyDescent="0.15">
      <c r="K105" s="60"/>
    </row>
    <row r="106" spans="11:12" x14ac:dyDescent="0.15">
      <c r="K106" s="60"/>
      <c r="L106" s="67"/>
    </row>
    <row r="107" spans="11:12" x14ac:dyDescent="0.15">
      <c r="K107" s="60"/>
    </row>
    <row r="108" spans="11:12" x14ac:dyDescent="0.15">
      <c r="K108" s="60"/>
    </row>
    <row r="109" spans="11:12" x14ac:dyDescent="0.15">
      <c r="K109" s="60"/>
    </row>
    <row r="124" spans="3:13" s="26" customFormat="1" x14ac:dyDescent="0.15">
      <c r="C124" s="57"/>
      <c r="D124" s="57"/>
      <c r="E124" s="57"/>
      <c r="F124" s="57"/>
      <c r="G124" s="57"/>
      <c r="H124" s="66"/>
      <c r="I124" s="66"/>
      <c r="J124" s="57"/>
      <c r="L124" s="17"/>
      <c r="M124" s="17"/>
    </row>
    <row r="126" spans="3:13" s="26" customFormat="1" x14ac:dyDescent="0.15">
      <c r="C126" s="57"/>
      <c r="D126" s="57"/>
      <c r="E126" s="57"/>
      <c r="F126" s="57"/>
      <c r="G126" s="57"/>
      <c r="H126" s="66"/>
      <c r="I126" s="66"/>
      <c r="J126" s="57"/>
      <c r="L126" s="17"/>
      <c r="M126" s="17"/>
    </row>
    <row r="127" spans="3:13" s="26" customFormat="1" x14ac:dyDescent="0.15">
      <c r="C127" s="57"/>
      <c r="D127" s="57"/>
      <c r="E127" s="57"/>
      <c r="F127" s="57"/>
      <c r="G127" s="57"/>
      <c r="H127" s="66"/>
      <c r="I127" s="66"/>
      <c r="J127" s="57"/>
      <c r="L127" s="17"/>
      <c r="M127" s="17"/>
    </row>
    <row r="128" spans="3:13" s="26" customFormat="1" x14ac:dyDescent="0.15">
      <c r="C128" s="57"/>
      <c r="D128" s="57"/>
      <c r="E128" s="57"/>
      <c r="F128" s="57"/>
      <c r="G128" s="57"/>
      <c r="H128" s="66"/>
      <c r="I128" s="66"/>
      <c r="J128" s="57"/>
      <c r="L128" s="17"/>
      <c r="M128" s="17"/>
    </row>
    <row r="129" spans="3:13" s="26" customFormat="1" x14ac:dyDescent="0.15">
      <c r="C129" s="57"/>
      <c r="D129" s="57"/>
      <c r="E129" s="57"/>
      <c r="F129" s="57"/>
      <c r="G129" s="57"/>
      <c r="H129" s="66"/>
      <c r="I129" s="66"/>
      <c r="J129" s="57"/>
      <c r="L129" s="17"/>
      <c r="M129" s="17"/>
    </row>
    <row r="130" spans="3:13" s="26" customFormat="1" x14ac:dyDescent="0.15">
      <c r="C130" s="57"/>
      <c r="D130" s="57"/>
      <c r="E130" s="57"/>
      <c r="F130" s="57"/>
      <c r="G130" s="57"/>
      <c r="H130" s="66"/>
      <c r="I130" s="66"/>
      <c r="J130" s="57"/>
      <c r="L130" s="17"/>
      <c r="M130" s="17"/>
    </row>
    <row r="132" spans="3:13" s="26" customFormat="1" x14ac:dyDescent="0.15">
      <c r="C132" s="57"/>
      <c r="D132" s="57"/>
      <c r="E132" s="57"/>
      <c r="F132" s="57"/>
      <c r="G132" s="57"/>
      <c r="H132" s="66"/>
      <c r="I132" s="66"/>
      <c r="J132" s="57"/>
      <c r="L132" s="17"/>
      <c r="M132" s="17"/>
    </row>
    <row r="133" spans="3:13" s="26" customFormat="1" x14ac:dyDescent="0.15">
      <c r="C133" s="57"/>
      <c r="D133" s="57"/>
      <c r="E133" s="57"/>
      <c r="F133" s="57"/>
      <c r="G133" s="57"/>
      <c r="H133" s="66"/>
      <c r="I133" s="66"/>
      <c r="J133" s="57"/>
      <c r="L133" s="17"/>
      <c r="M133" s="17"/>
    </row>
    <row r="134" spans="3:13" s="26" customFormat="1" x14ac:dyDescent="0.15">
      <c r="C134" s="57"/>
      <c r="D134" s="57"/>
      <c r="E134" s="57"/>
      <c r="F134" s="57"/>
      <c r="G134" s="57"/>
      <c r="H134" s="66"/>
      <c r="I134" s="66"/>
      <c r="J134" s="57"/>
      <c r="L134" s="17"/>
      <c r="M134" s="17"/>
    </row>
    <row r="135" spans="3:13" s="26" customFormat="1" x14ac:dyDescent="0.15">
      <c r="C135" s="57"/>
      <c r="D135" s="57"/>
      <c r="E135" s="57"/>
      <c r="F135" s="57"/>
      <c r="G135" s="57"/>
      <c r="H135" s="66"/>
      <c r="I135" s="66"/>
      <c r="J135" s="57"/>
      <c r="L135" s="17"/>
      <c r="M135" s="17"/>
    </row>
    <row r="136" spans="3:13" s="26" customFormat="1" x14ac:dyDescent="0.15">
      <c r="C136" s="57"/>
      <c r="D136" s="57"/>
      <c r="E136" s="57"/>
      <c r="F136" s="57"/>
      <c r="G136" s="57"/>
      <c r="H136" s="66"/>
      <c r="I136" s="66"/>
      <c r="J136" s="57"/>
      <c r="L136" s="17"/>
      <c r="M136" s="17"/>
    </row>
    <row r="137" spans="3:13" s="26" customFormat="1" x14ac:dyDescent="0.15">
      <c r="C137" s="57"/>
      <c r="D137" s="57"/>
      <c r="E137" s="57"/>
      <c r="F137" s="57"/>
      <c r="G137" s="57"/>
      <c r="H137" s="66"/>
      <c r="I137" s="66"/>
      <c r="J137" s="57"/>
      <c r="L137" s="17"/>
      <c r="M137" s="17"/>
    </row>
    <row r="138" spans="3:13" s="26" customFormat="1" x14ac:dyDescent="0.15">
      <c r="C138" s="57"/>
      <c r="D138" s="57"/>
      <c r="E138" s="57"/>
      <c r="F138" s="57"/>
      <c r="G138" s="57"/>
      <c r="H138" s="66"/>
      <c r="I138" s="66"/>
      <c r="J138" s="57"/>
      <c r="L138" s="17"/>
      <c r="M138" s="17"/>
    </row>
    <row r="139" spans="3:13" s="26" customFormat="1" x14ac:dyDescent="0.15">
      <c r="C139" s="57"/>
      <c r="D139" s="57"/>
      <c r="E139" s="57"/>
      <c r="F139" s="57"/>
      <c r="G139" s="57"/>
      <c r="H139" s="66"/>
      <c r="I139" s="66"/>
      <c r="J139" s="57"/>
      <c r="L139" s="17"/>
      <c r="M139" s="17"/>
    </row>
    <row r="140" spans="3:13" s="26" customFormat="1" x14ac:dyDescent="0.15">
      <c r="C140" s="57"/>
      <c r="D140" s="57"/>
      <c r="E140" s="57"/>
      <c r="F140" s="57"/>
      <c r="G140" s="57"/>
      <c r="H140" s="66"/>
      <c r="I140" s="66"/>
      <c r="J140" s="57"/>
      <c r="L140" s="17"/>
      <c r="M140" s="17"/>
    </row>
    <row r="141" spans="3:13" s="26" customFormat="1" x14ac:dyDescent="0.15">
      <c r="C141" s="57"/>
      <c r="D141" s="57"/>
      <c r="E141" s="57"/>
      <c r="F141" s="57"/>
      <c r="G141" s="57"/>
      <c r="H141" s="66"/>
      <c r="I141" s="66"/>
      <c r="J141" s="57"/>
      <c r="L141" s="17"/>
      <c r="M141" s="17"/>
    </row>
    <row r="144" spans="3:13" s="26" customFormat="1" x14ac:dyDescent="0.15">
      <c r="C144" s="57"/>
      <c r="D144" s="57"/>
      <c r="E144" s="57"/>
      <c r="F144" s="57"/>
      <c r="G144" s="57"/>
      <c r="H144" s="66"/>
      <c r="I144" s="66"/>
      <c r="J144" s="57"/>
      <c r="L144" s="17"/>
      <c r="M144" s="17"/>
    </row>
    <row r="145" spans="3:13" s="26" customFormat="1" x14ac:dyDescent="0.15">
      <c r="C145" s="57"/>
      <c r="D145" s="57"/>
      <c r="E145" s="57"/>
      <c r="F145" s="57"/>
      <c r="G145" s="57"/>
      <c r="H145" s="66"/>
      <c r="I145" s="66"/>
      <c r="J145" s="57"/>
      <c r="L145" s="17"/>
      <c r="M145" s="17"/>
    </row>
  </sheetData>
  <mergeCells count="14">
    <mergeCell ref="C78:E78"/>
    <mergeCell ref="H78:J78"/>
    <mergeCell ref="C60:D60"/>
    <mergeCell ref="H60:I60"/>
    <mergeCell ref="D44:J44"/>
    <mergeCell ref="D45:E45"/>
    <mergeCell ref="D46:E46"/>
    <mergeCell ref="C47:C49"/>
    <mergeCell ref="D47:J49"/>
    <mergeCell ref="F77:I77"/>
    <mergeCell ref="H65:I65"/>
    <mergeCell ref="C75:D75"/>
    <mergeCell ref="H75:I75"/>
    <mergeCell ref="C76:J76"/>
  </mergeCells>
  <dataValidations count="3">
    <dataValidation type="list" showInputMessage="1" showErrorMessage="1" sqref="E61:G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E65597:G65597 JC65597 SY65597 ACU65597 AMQ65597 AWM65597 BGI65597 BQE65597 CAA65597 CJW65597 CTS65597 DDO65597 DNK65597 DXG65597 EHC65597 EQY65597 FAU65597 FKQ65597 FUM65597 GEI65597 GOE65597 GYA65597 HHW65597 HRS65597 IBO65597 ILK65597 IVG65597 JFC65597 JOY65597 JYU65597 KIQ65597 KSM65597 LCI65597 LME65597 LWA65597 MFW65597 MPS65597 MZO65597 NJK65597 NTG65597 ODC65597 OMY65597 OWU65597 PGQ65597 PQM65597 QAI65597 QKE65597 QUA65597 RDW65597 RNS65597 RXO65597 SHK65597 SRG65597 TBC65597 TKY65597 TUU65597 UEQ65597 UOM65597 UYI65597 VIE65597 VSA65597 WBW65597 WLS65597 WVO65597 E131133:G131133 JC131133 SY131133 ACU131133 AMQ131133 AWM131133 BGI131133 BQE131133 CAA131133 CJW131133 CTS131133 DDO131133 DNK131133 DXG131133 EHC131133 EQY131133 FAU131133 FKQ131133 FUM131133 GEI131133 GOE131133 GYA131133 HHW131133 HRS131133 IBO131133 ILK131133 IVG131133 JFC131133 JOY131133 JYU131133 KIQ131133 KSM131133 LCI131133 LME131133 LWA131133 MFW131133 MPS131133 MZO131133 NJK131133 NTG131133 ODC131133 OMY131133 OWU131133 PGQ131133 PQM131133 QAI131133 QKE131133 QUA131133 RDW131133 RNS131133 RXO131133 SHK131133 SRG131133 TBC131133 TKY131133 TUU131133 UEQ131133 UOM131133 UYI131133 VIE131133 VSA131133 WBW131133 WLS131133 WVO131133 E196669:G196669 JC196669 SY196669 ACU196669 AMQ196669 AWM196669 BGI196669 BQE196669 CAA196669 CJW196669 CTS196669 DDO196669 DNK196669 DXG196669 EHC196669 EQY196669 FAU196669 FKQ196669 FUM196669 GEI196669 GOE196669 GYA196669 HHW196669 HRS196669 IBO196669 ILK196669 IVG196669 JFC196669 JOY196669 JYU196669 KIQ196669 KSM196669 LCI196669 LME196669 LWA196669 MFW196669 MPS196669 MZO196669 NJK196669 NTG196669 ODC196669 OMY196669 OWU196669 PGQ196669 PQM196669 QAI196669 QKE196669 QUA196669 RDW196669 RNS196669 RXO196669 SHK196669 SRG196669 TBC196669 TKY196669 TUU196669 UEQ196669 UOM196669 UYI196669 VIE196669 VSA196669 WBW196669 WLS196669 WVO196669 E262205:G262205 JC262205 SY262205 ACU262205 AMQ262205 AWM262205 BGI262205 BQE262205 CAA262205 CJW262205 CTS262205 DDO262205 DNK262205 DXG262205 EHC262205 EQY262205 FAU262205 FKQ262205 FUM262205 GEI262205 GOE262205 GYA262205 HHW262205 HRS262205 IBO262205 ILK262205 IVG262205 JFC262205 JOY262205 JYU262205 KIQ262205 KSM262205 LCI262205 LME262205 LWA262205 MFW262205 MPS262205 MZO262205 NJK262205 NTG262205 ODC262205 OMY262205 OWU262205 PGQ262205 PQM262205 QAI262205 QKE262205 QUA262205 RDW262205 RNS262205 RXO262205 SHK262205 SRG262205 TBC262205 TKY262205 TUU262205 UEQ262205 UOM262205 UYI262205 VIE262205 VSA262205 WBW262205 WLS262205 WVO262205 E327741:G327741 JC327741 SY327741 ACU327741 AMQ327741 AWM327741 BGI327741 BQE327741 CAA327741 CJW327741 CTS327741 DDO327741 DNK327741 DXG327741 EHC327741 EQY327741 FAU327741 FKQ327741 FUM327741 GEI327741 GOE327741 GYA327741 HHW327741 HRS327741 IBO327741 ILK327741 IVG327741 JFC327741 JOY327741 JYU327741 KIQ327741 KSM327741 LCI327741 LME327741 LWA327741 MFW327741 MPS327741 MZO327741 NJK327741 NTG327741 ODC327741 OMY327741 OWU327741 PGQ327741 PQM327741 QAI327741 QKE327741 QUA327741 RDW327741 RNS327741 RXO327741 SHK327741 SRG327741 TBC327741 TKY327741 TUU327741 UEQ327741 UOM327741 UYI327741 VIE327741 VSA327741 WBW327741 WLS327741 WVO327741 E393277:G393277 JC393277 SY393277 ACU393277 AMQ393277 AWM393277 BGI393277 BQE393277 CAA393277 CJW393277 CTS393277 DDO393277 DNK393277 DXG393277 EHC393277 EQY393277 FAU393277 FKQ393277 FUM393277 GEI393277 GOE393277 GYA393277 HHW393277 HRS393277 IBO393277 ILK393277 IVG393277 JFC393277 JOY393277 JYU393277 KIQ393277 KSM393277 LCI393277 LME393277 LWA393277 MFW393277 MPS393277 MZO393277 NJK393277 NTG393277 ODC393277 OMY393277 OWU393277 PGQ393277 PQM393277 QAI393277 QKE393277 QUA393277 RDW393277 RNS393277 RXO393277 SHK393277 SRG393277 TBC393277 TKY393277 TUU393277 UEQ393277 UOM393277 UYI393277 VIE393277 VSA393277 WBW393277 WLS393277 WVO393277 E458813:G458813 JC458813 SY458813 ACU458813 AMQ458813 AWM458813 BGI458813 BQE458813 CAA458813 CJW458813 CTS458813 DDO458813 DNK458813 DXG458813 EHC458813 EQY458813 FAU458813 FKQ458813 FUM458813 GEI458813 GOE458813 GYA458813 HHW458813 HRS458813 IBO458813 ILK458813 IVG458813 JFC458813 JOY458813 JYU458813 KIQ458813 KSM458813 LCI458813 LME458813 LWA458813 MFW458813 MPS458813 MZO458813 NJK458813 NTG458813 ODC458813 OMY458813 OWU458813 PGQ458813 PQM458813 QAI458813 QKE458813 QUA458813 RDW458813 RNS458813 RXO458813 SHK458813 SRG458813 TBC458813 TKY458813 TUU458813 UEQ458813 UOM458813 UYI458813 VIE458813 VSA458813 WBW458813 WLS458813 WVO458813 E524349:G524349 JC524349 SY524349 ACU524349 AMQ524349 AWM524349 BGI524349 BQE524349 CAA524349 CJW524349 CTS524349 DDO524349 DNK524349 DXG524349 EHC524349 EQY524349 FAU524349 FKQ524349 FUM524349 GEI524349 GOE524349 GYA524349 HHW524349 HRS524349 IBO524349 ILK524349 IVG524349 JFC524349 JOY524349 JYU524349 KIQ524349 KSM524349 LCI524349 LME524349 LWA524349 MFW524349 MPS524349 MZO524349 NJK524349 NTG524349 ODC524349 OMY524349 OWU524349 PGQ524349 PQM524349 QAI524349 QKE524349 QUA524349 RDW524349 RNS524349 RXO524349 SHK524349 SRG524349 TBC524349 TKY524349 TUU524349 UEQ524349 UOM524349 UYI524349 VIE524349 VSA524349 WBW524349 WLS524349 WVO524349 E589885:G589885 JC589885 SY589885 ACU589885 AMQ589885 AWM589885 BGI589885 BQE589885 CAA589885 CJW589885 CTS589885 DDO589885 DNK589885 DXG589885 EHC589885 EQY589885 FAU589885 FKQ589885 FUM589885 GEI589885 GOE589885 GYA589885 HHW589885 HRS589885 IBO589885 ILK589885 IVG589885 JFC589885 JOY589885 JYU589885 KIQ589885 KSM589885 LCI589885 LME589885 LWA589885 MFW589885 MPS589885 MZO589885 NJK589885 NTG589885 ODC589885 OMY589885 OWU589885 PGQ589885 PQM589885 QAI589885 QKE589885 QUA589885 RDW589885 RNS589885 RXO589885 SHK589885 SRG589885 TBC589885 TKY589885 TUU589885 UEQ589885 UOM589885 UYI589885 VIE589885 VSA589885 WBW589885 WLS589885 WVO589885 E655421:G655421 JC655421 SY655421 ACU655421 AMQ655421 AWM655421 BGI655421 BQE655421 CAA655421 CJW655421 CTS655421 DDO655421 DNK655421 DXG655421 EHC655421 EQY655421 FAU655421 FKQ655421 FUM655421 GEI655421 GOE655421 GYA655421 HHW655421 HRS655421 IBO655421 ILK655421 IVG655421 JFC655421 JOY655421 JYU655421 KIQ655421 KSM655421 LCI655421 LME655421 LWA655421 MFW655421 MPS655421 MZO655421 NJK655421 NTG655421 ODC655421 OMY655421 OWU655421 PGQ655421 PQM655421 QAI655421 QKE655421 QUA655421 RDW655421 RNS655421 RXO655421 SHK655421 SRG655421 TBC655421 TKY655421 TUU655421 UEQ655421 UOM655421 UYI655421 VIE655421 VSA655421 WBW655421 WLS655421 WVO655421 E720957:G720957 JC720957 SY720957 ACU720957 AMQ720957 AWM720957 BGI720957 BQE720957 CAA720957 CJW720957 CTS720957 DDO720957 DNK720957 DXG720957 EHC720957 EQY720957 FAU720957 FKQ720957 FUM720957 GEI720957 GOE720957 GYA720957 HHW720957 HRS720957 IBO720957 ILK720957 IVG720957 JFC720957 JOY720957 JYU720957 KIQ720957 KSM720957 LCI720957 LME720957 LWA720957 MFW720957 MPS720957 MZO720957 NJK720957 NTG720957 ODC720957 OMY720957 OWU720957 PGQ720957 PQM720957 QAI720957 QKE720957 QUA720957 RDW720957 RNS720957 RXO720957 SHK720957 SRG720957 TBC720957 TKY720957 TUU720957 UEQ720957 UOM720957 UYI720957 VIE720957 VSA720957 WBW720957 WLS720957 WVO720957 E786493:G786493 JC786493 SY786493 ACU786493 AMQ786493 AWM786493 BGI786493 BQE786493 CAA786493 CJW786493 CTS786493 DDO786493 DNK786493 DXG786493 EHC786493 EQY786493 FAU786493 FKQ786493 FUM786493 GEI786493 GOE786493 GYA786493 HHW786493 HRS786493 IBO786493 ILK786493 IVG786493 JFC786493 JOY786493 JYU786493 KIQ786493 KSM786493 LCI786493 LME786493 LWA786493 MFW786493 MPS786493 MZO786493 NJK786493 NTG786493 ODC786493 OMY786493 OWU786493 PGQ786493 PQM786493 QAI786493 QKE786493 QUA786493 RDW786493 RNS786493 RXO786493 SHK786493 SRG786493 TBC786493 TKY786493 TUU786493 UEQ786493 UOM786493 UYI786493 VIE786493 VSA786493 WBW786493 WLS786493 WVO786493 E852029:G852029 JC852029 SY852029 ACU852029 AMQ852029 AWM852029 BGI852029 BQE852029 CAA852029 CJW852029 CTS852029 DDO852029 DNK852029 DXG852029 EHC852029 EQY852029 FAU852029 FKQ852029 FUM852029 GEI852029 GOE852029 GYA852029 HHW852029 HRS852029 IBO852029 ILK852029 IVG852029 JFC852029 JOY852029 JYU852029 KIQ852029 KSM852029 LCI852029 LME852029 LWA852029 MFW852029 MPS852029 MZO852029 NJK852029 NTG852029 ODC852029 OMY852029 OWU852029 PGQ852029 PQM852029 QAI852029 QKE852029 QUA852029 RDW852029 RNS852029 RXO852029 SHK852029 SRG852029 TBC852029 TKY852029 TUU852029 UEQ852029 UOM852029 UYI852029 VIE852029 VSA852029 WBW852029 WLS852029 WVO852029 E917565:G917565 JC917565 SY917565 ACU917565 AMQ917565 AWM917565 BGI917565 BQE917565 CAA917565 CJW917565 CTS917565 DDO917565 DNK917565 DXG917565 EHC917565 EQY917565 FAU917565 FKQ917565 FUM917565 GEI917565 GOE917565 GYA917565 HHW917565 HRS917565 IBO917565 ILK917565 IVG917565 JFC917565 JOY917565 JYU917565 KIQ917565 KSM917565 LCI917565 LME917565 LWA917565 MFW917565 MPS917565 MZO917565 NJK917565 NTG917565 ODC917565 OMY917565 OWU917565 PGQ917565 PQM917565 QAI917565 QKE917565 QUA917565 RDW917565 RNS917565 RXO917565 SHK917565 SRG917565 TBC917565 TKY917565 TUU917565 UEQ917565 UOM917565 UYI917565 VIE917565 VSA917565 WBW917565 WLS917565 WVO917565 E983101:G983101 JC983101 SY983101 ACU983101 AMQ983101 AWM983101 BGI983101 BQE983101 CAA983101 CJW983101 CTS983101 DDO983101 DNK983101 DXG983101 EHC983101 EQY983101 FAU983101 FKQ983101 FUM983101 GEI983101 GOE983101 GYA983101 HHW983101 HRS983101 IBO983101 ILK983101 IVG983101 JFC983101 JOY983101 JYU983101 KIQ983101 KSM983101 LCI983101 LME983101 LWA983101 MFW983101 MPS983101 MZO983101 NJK983101 NTG983101 ODC983101 OMY983101 OWU983101 PGQ983101 PQM983101 QAI983101 QKE983101 QUA983101 RDW983101 RNS983101 RXO983101 SHK983101 SRG983101 TBC983101 TKY983101 TUU983101 UEQ983101 UOM983101 UYI983101 VIE983101 VSA983101 WBW983101 WLS983101 WVO983101" xr:uid="{00000000-0002-0000-0000-000000000000}">
      <formula1>$BF$44:$BF$46</formula1>
    </dataValidation>
    <dataValidation type="list" allowBlank="1" showInputMessage="1" showErrorMessage="1" sqref="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xr:uid="{00000000-0002-0000-0000-000001000000}">
      <formula1>$BE$44:$BE$45</formula1>
    </dataValidation>
    <dataValidation type="list" allowBlank="1" showInputMessage="1" showErrorMessage="1" sqref="D14" xr:uid="{00000000-0002-0000-0000-000002000000}">
      <formula1>$O$14:$O$17</formula1>
    </dataValidation>
  </dataValidations>
  <hyperlinks>
    <hyperlink ref="L51" r:id="rId1" xr:uid="{00000000-0004-0000-0000-000000000000}"/>
    <hyperlink ref="L21" r:id="rId2" xr:uid="{00000000-0004-0000-0000-000001000000}"/>
    <hyperlink ref="L20" r:id="rId3" xr:uid="{00000000-0004-0000-0000-000002000000}"/>
  </hyperlinks>
  <printOptions horizontalCentered="1" verticalCentered="1"/>
  <pageMargins left="0.37" right="0.35" top="0.17" bottom="0.31" header="0.18" footer="0.16"/>
  <pageSetup scale="57" orientation="landscape" copies="2" r:id="rId4"/>
  <headerFooter alignWithMargins="0"/>
  <rowBreaks count="2" manualBreakCount="2">
    <brk id="87" min="2" max="5" man="1"/>
    <brk id="89" min="2" max="5" man="1"/>
  </rowBreaks>
  <colBreaks count="1" manualBreakCount="1">
    <brk id="11" max="100" man="1"/>
  </colBreak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V71"/>
  <sheetViews>
    <sheetView showGridLines="0" zoomScale="90" zoomScaleNormal="90" workbookViewId="0">
      <selection activeCell="L8" sqref="L8"/>
    </sheetView>
  </sheetViews>
  <sheetFormatPr baseColWidth="10" defaultColWidth="13.5" defaultRowHeight="14" customHeight="1" x14ac:dyDescent="0.15"/>
  <cols>
    <col min="1" max="2" width="2.5" customWidth="1"/>
    <col min="3" max="3" width="20.1640625" customWidth="1"/>
    <col min="4" max="4" width="18.83203125" bestFit="1" customWidth="1"/>
    <col min="7" max="7" width="20.5" bestFit="1" customWidth="1"/>
  </cols>
  <sheetData>
    <row r="1" spans="3:8" ht="14" customHeight="1" thickBot="1" x14ac:dyDescent="0.2"/>
    <row r="2" spans="3:8" ht="14" customHeight="1" x14ac:dyDescent="0.15">
      <c r="C2" s="631"/>
      <c r="D2" s="632"/>
      <c r="E2" s="632"/>
      <c r="F2" s="632"/>
      <c r="G2" s="632"/>
      <c r="H2" s="665"/>
    </row>
    <row r="3" spans="3:8" ht="14" customHeight="1" x14ac:dyDescent="0.15">
      <c r="C3" s="639"/>
      <c r="D3" s="666"/>
      <c r="E3" s="666"/>
      <c r="F3" s="666"/>
      <c r="G3" s="666"/>
      <c r="H3" s="667"/>
    </row>
    <row r="4" spans="3:8" ht="14" customHeight="1" x14ac:dyDescent="0.15">
      <c r="C4" s="639"/>
      <c r="D4" s="666"/>
      <c r="E4" s="666"/>
      <c r="F4" s="666"/>
      <c r="G4" s="666"/>
      <c r="H4" s="667"/>
    </row>
    <row r="5" spans="3:8" ht="14" customHeight="1" x14ac:dyDescent="0.15">
      <c r="C5" s="639"/>
      <c r="D5" s="666"/>
      <c r="E5" s="666"/>
      <c r="F5" s="666"/>
      <c r="G5" s="666"/>
      <c r="H5" s="667"/>
    </row>
    <row r="6" spans="3:8" ht="14" customHeight="1" x14ac:dyDescent="0.15">
      <c r="C6" s="639"/>
      <c r="D6" s="666"/>
      <c r="E6" s="666"/>
      <c r="F6" s="666"/>
      <c r="G6" s="666"/>
      <c r="H6" s="667"/>
    </row>
    <row r="7" spans="3:8" ht="14" customHeight="1" x14ac:dyDescent="0.15">
      <c r="C7" s="639"/>
      <c r="D7" s="666"/>
      <c r="E7" s="666"/>
      <c r="F7" s="666"/>
      <c r="G7" s="666"/>
      <c r="H7" s="667"/>
    </row>
    <row r="8" spans="3:8" ht="14" customHeight="1" x14ac:dyDescent="0.15">
      <c r="C8" s="639"/>
      <c r="D8" s="666"/>
      <c r="E8" s="666"/>
      <c r="F8" s="813" t="s">
        <v>139</v>
      </c>
      <c r="G8" s="630"/>
      <c r="H8" s="667"/>
    </row>
    <row r="9" spans="3:8" ht="14" customHeight="1" x14ac:dyDescent="0.15">
      <c r="C9" s="639"/>
      <c r="D9" s="666"/>
      <c r="E9" s="666"/>
      <c r="F9" s="675" t="s">
        <v>140</v>
      </c>
      <c r="G9" s="676">
        <v>0.65</v>
      </c>
      <c r="H9" s="667"/>
    </row>
    <row r="10" spans="3:8" ht="14" customHeight="1" x14ac:dyDescent="0.15">
      <c r="C10" s="639"/>
      <c r="D10" s="666"/>
      <c r="E10" s="666"/>
      <c r="F10" s="677" t="s">
        <v>141</v>
      </c>
      <c r="G10" s="676">
        <v>0.02</v>
      </c>
      <c r="H10" s="667"/>
    </row>
    <row r="11" spans="3:8" ht="14" customHeight="1" x14ac:dyDescent="0.15">
      <c r="C11" s="639"/>
      <c r="D11" s="666"/>
      <c r="E11" s="666"/>
      <c r="F11" s="677" t="s">
        <v>142</v>
      </c>
      <c r="G11" s="676">
        <v>0.08</v>
      </c>
      <c r="H11" s="667"/>
    </row>
    <row r="12" spans="3:8" ht="14" customHeight="1" x14ac:dyDescent="0.15">
      <c r="C12" s="639"/>
      <c r="D12" s="666"/>
      <c r="E12" s="666"/>
      <c r="F12" s="677" t="s">
        <v>143</v>
      </c>
      <c r="G12" s="676">
        <v>0.9</v>
      </c>
      <c r="H12" s="667"/>
    </row>
    <row r="13" spans="3:8" ht="14" customHeight="1" x14ac:dyDescent="0.15">
      <c r="C13" s="639"/>
      <c r="D13" s="666"/>
      <c r="E13" s="666"/>
      <c r="F13" s="677" t="s">
        <v>144</v>
      </c>
      <c r="G13" s="676">
        <v>1</v>
      </c>
      <c r="H13" s="667"/>
    </row>
    <row r="14" spans="3:8" ht="14" customHeight="1" x14ac:dyDescent="0.15">
      <c r="C14" s="678" t="s">
        <v>145</v>
      </c>
      <c r="D14" s="621"/>
      <c r="E14" s="621"/>
      <c r="F14" s="623" t="s">
        <v>146</v>
      </c>
      <c r="G14" s="624">
        <v>6</v>
      </c>
      <c r="H14" s="679"/>
    </row>
    <row r="15" spans="3:8" ht="14" customHeight="1" x14ac:dyDescent="0.15">
      <c r="C15" s="639" t="s">
        <v>2</v>
      </c>
      <c r="D15" s="680">
        <f>'DEAL ANALYZER'!$E$54</f>
        <v>92000</v>
      </c>
      <c r="E15" s="666"/>
      <c r="F15" s="666"/>
      <c r="G15" s="666"/>
      <c r="H15" s="667"/>
    </row>
    <row r="16" spans="3:8" ht="14" customHeight="1" x14ac:dyDescent="0.15">
      <c r="C16" s="639" t="s">
        <v>147</v>
      </c>
      <c r="D16" s="680">
        <f>'DEAL ANALYZER'!$E$53</f>
        <v>93000</v>
      </c>
      <c r="E16" s="666"/>
      <c r="F16" s="666"/>
      <c r="G16" s="666"/>
      <c r="H16" s="667"/>
    </row>
    <row r="17" spans="3:11" ht="14" customHeight="1" x14ac:dyDescent="0.15">
      <c r="C17" s="639" t="s">
        <v>148</v>
      </c>
      <c r="D17" s="680">
        <f>'DEAL ANALYZER'!$J$63</f>
        <v>730</v>
      </c>
      <c r="E17" s="666"/>
      <c r="F17" s="666"/>
      <c r="G17" s="666"/>
      <c r="H17" s="667"/>
    </row>
    <row r="18" spans="3:11" ht="14" customHeight="1" x14ac:dyDescent="0.15">
      <c r="C18" s="639" t="s">
        <v>149</v>
      </c>
      <c r="D18" s="680">
        <f>'DEAL ANALYZER'!$J$64</f>
        <v>500</v>
      </c>
      <c r="E18" s="666"/>
      <c r="F18" s="666"/>
      <c r="G18" s="666"/>
      <c r="H18" s="667"/>
    </row>
    <row r="19" spans="3:11" ht="14" customHeight="1" x14ac:dyDescent="0.15">
      <c r="C19" s="639" t="s">
        <v>150</v>
      </c>
      <c r="D19" s="680">
        <f>'DEAL ANALYZER'!$J$53</f>
        <v>129.33333333333334</v>
      </c>
      <c r="E19" s="666"/>
      <c r="F19" s="666"/>
      <c r="G19" s="666"/>
      <c r="H19" s="667"/>
    </row>
    <row r="20" spans="3:11" ht="14" customHeight="1" x14ac:dyDescent="0.15">
      <c r="C20" s="639" t="s">
        <v>151</v>
      </c>
      <c r="D20" s="680"/>
      <c r="E20" s="676">
        <v>0.02</v>
      </c>
      <c r="F20" s="666"/>
      <c r="G20" s="666"/>
      <c r="H20" s="667"/>
    </row>
    <row r="21" spans="3:11" ht="14" customHeight="1" x14ac:dyDescent="0.15">
      <c r="C21" s="681" t="s">
        <v>152</v>
      </c>
      <c r="D21" s="622"/>
      <c r="E21" s="666"/>
      <c r="F21" s="666"/>
      <c r="G21" s="666"/>
      <c r="H21" s="667"/>
    </row>
    <row r="22" spans="3:11" ht="12" customHeight="1" x14ac:dyDescent="0.15">
      <c r="C22" s="639" t="s">
        <v>153</v>
      </c>
      <c r="D22" s="680">
        <f>SUM(D15:D21)</f>
        <v>186359.33333333334</v>
      </c>
      <c r="E22" s="666"/>
      <c r="F22" s="666"/>
      <c r="G22" s="666"/>
      <c r="H22" s="667"/>
    </row>
    <row r="23" spans="3:11" ht="14" customHeight="1" thickBot="1" x14ac:dyDescent="0.2">
      <c r="C23" s="682"/>
      <c r="D23" s="683"/>
      <c r="E23" s="683"/>
      <c r="F23" s="683"/>
      <c r="G23" s="683"/>
      <c r="H23" s="684"/>
    </row>
    <row r="24" spans="3:11" ht="14" customHeight="1" thickBot="1" x14ac:dyDescent="0.2"/>
    <row r="25" spans="3:11" ht="14" customHeight="1" x14ac:dyDescent="0.15">
      <c r="C25" s="873" t="s">
        <v>154</v>
      </c>
      <c r="D25" s="874"/>
      <c r="E25" s="874"/>
      <c r="F25" s="632"/>
      <c r="G25" s="632"/>
      <c r="H25" s="632"/>
      <c r="I25" s="665"/>
    </row>
    <row r="26" spans="3:11" ht="14" customHeight="1" x14ac:dyDescent="0.15">
      <c r="C26" s="639"/>
      <c r="D26" s="666"/>
      <c r="E26" s="666"/>
      <c r="F26" s="666"/>
      <c r="G26" s="666"/>
      <c r="H26" s="666"/>
      <c r="I26" s="667"/>
    </row>
    <row r="27" spans="3:11" ht="14" customHeight="1" x14ac:dyDescent="0.15">
      <c r="C27" s="685" t="s">
        <v>155</v>
      </c>
      <c r="D27" s="620">
        <v>250000</v>
      </c>
      <c r="E27" s="666"/>
      <c r="F27" s="666"/>
      <c r="G27" s="666"/>
      <c r="H27" s="666"/>
      <c r="I27" s="667"/>
      <c r="K27" s="1"/>
    </row>
    <row r="28" spans="3:11" ht="14" customHeight="1" x14ac:dyDescent="0.15">
      <c r="C28" s="685"/>
      <c r="D28" s="620"/>
      <c r="E28" s="666"/>
      <c r="F28" s="666"/>
      <c r="G28" s="666"/>
      <c r="H28" s="666"/>
      <c r="I28" s="667"/>
    </row>
    <row r="29" spans="3:11" ht="14" customHeight="1" x14ac:dyDescent="0.15">
      <c r="C29" s="685" t="s">
        <v>2</v>
      </c>
      <c r="D29" s="620">
        <v>92000</v>
      </c>
      <c r="E29" s="666"/>
      <c r="F29" s="666"/>
      <c r="G29" s="666"/>
      <c r="H29" s="666"/>
      <c r="I29" s="667"/>
    </row>
    <row r="30" spans="3:11" ht="14" customHeight="1" x14ac:dyDescent="0.15">
      <c r="C30" s="685"/>
      <c r="D30" s="620"/>
      <c r="E30" s="666"/>
      <c r="F30" s="686"/>
      <c r="G30" s="666"/>
      <c r="H30" s="666"/>
      <c r="I30" s="667"/>
    </row>
    <row r="31" spans="3:11" ht="14" customHeight="1" x14ac:dyDescent="0.15">
      <c r="C31" s="685" t="s">
        <v>147</v>
      </c>
      <c r="D31" s="620">
        <v>93000</v>
      </c>
      <c r="E31" s="666"/>
      <c r="F31" s="666"/>
      <c r="G31" s="666"/>
      <c r="H31" s="666"/>
      <c r="I31" s="667"/>
    </row>
    <row r="32" spans="3:11" ht="14" customHeight="1" x14ac:dyDescent="0.15">
      <c r="C32" s="685"/>
      <c r="D32" s="620"/>
      <c r="E32" s="666"/>
      <c r="F32" s="666"/>
      <c r="G32" s="666"/>
      <c r="H32" s="687"/>
      <c r="I32" s="667"/>
    </row>
    <row r="33" spans="3:16" ht="14" customHeight="1" x14ac:dyDescent="0.15">
      <c r="C33" s="685" t="s">
        <v>156</v>
      </c>
      <c r="D33" s="620">
        <v>4500</v>
      </c>
      <c r="E33" s="666"/>
      <c r="F33" s="666"/>
      <c r="G33" s="666"/>
      <c r="H33" s="666"/>
      <c r="I33" s="667"/>
    </row>
    <row r="34" spans="3:16" ht="14" customHeight="1" x14ac:dyDescent="0.15">
      <c r="C34" s="685"/>
      <c r="D34" s="620"/>
      <c r="E34" s="666"/>
      <c r="F34" s="666"/>
      <c r="G34" s="666"/>
      <c r="H34" s="666"/>
      <c r="I34" s="667"/>
    </row>
    <row r="35" spans="3:16" ht="14" customHeight="1" x14ac:dyDescent="0.15">
      <c r="C35" s="685" t="s">
        <v>152</v>
      </c>
      <c r="D35" s="620"/>
      <c r="E35" s="666"/>
      <c r="F35" s="666"/>
      <c r="G35" s="666"/>
      <c r="H35" s="666"/>
      <c r="I35" s="667"/>
    </row>
    <row r="36" spans="3:16" ht="14" customHeight="1" x14ac:dyDescent="0.15">
      <c r="C36" s="685"/>
      <c r="D36" s="620"/>
      <c r="E36" s="666"/>
      <c r="F36" s="666"/>
      <c r="G36" s="666"/>
      <c r="H36" s="254"/>
      <c r="I36" s="688"/>
      <c r="J36" s="619"/>
    </row>
    <row r="37" spans="3:16" ht="14" customHeight="1" x14ac:dyDescent="0.15">
      <c r="C37" s="685" t="s">
        <v>149</v>
      </c>
      <c r="D37" s="620">
        <v>450</v>
      </c>
      <c r="E37" s="666"/>
      <c r="F37" s="666"/>
      <c r="G37" s="666"/>
      <c r="H37" s="666"/>
      <c r="I37" s="667"/>
      <c r="K37" s="616"/>
      <c r="L37" s="616"/>
    </row>
    <row r="38" spans="3:16" ht="14" customHeight="1" x14ac:dyDescent="0.15">
      <c r="C38" s="685"/>
      <c r="D38" s="620"/>
      <c r="E38" s="666"/>
      <c r="F38" s="666"/>
      <c r="G38" s="666"/>
      <c r="H38" s="666"/>
      <c r="I38" s="667"/>
      <c r="K38" s="616"/>
      <c r="L38" s="616"/>
      <c r="M38" s="618"/>
      <c r="N38" s="619"/>
      <c r="O38" s="618"/>
      <c r="P38" s="617"/>
    </row>
    <row r="39" spans="3:16" ht="14" customHeight="1" x14ac:dyDescent="0.15">
      <c r="C39" s="685" t="s">
        <v>157</v>
      </c>
      <c r="D39" s="620">
        <v>500</v>
      </c>
      <c r="E39" s="666"/>
      <c r="F39" s="689" t="s">
        <v>158</v>
      </c>
      <c r="G39" s="689" t="s">
        <v>159</v>
      </c>
      <c r="H39" s="689" t="s">
        <v>160</v>
      </c>
      <c r="I39" s="667"/>
      <c r="J39" s="616"/>
      <c r="L39" s="616"/>
    </row>
    <row r="40" spans="3:16" ht="14" customHeight="1" x14ac:dyDescent="0.15">
      <c r="C40" s="685"/>
      <c r="D40" s="620"/>
      <c r="E40" s="689" t="s">
        <v>161</v>
      </c>
      <c r="F40" s="690">
        <v>250000</v>
      </c>
      <c r="G40" s="691">
        <v>1758</v>
      </c>
      <c r="H40" s="692">
        <f>SUM(F40/G40)</f>
        <v>142.2070534698521</v>
      </c>
      <c r="I40" s="667"/>
      <c r="K40" s="616"/>
      <c r="L40" s="616"/>
    </row>
    <row r="41" spans="3:16" ht="14" customHeight="1" x14ac:dyDescent="0.15">
      <c r="C41" s="685" t="s">
        <v>162</v>
      </c>
      <c r="D41" s="620">
        <f>SUM(D29:D39)*2%</f>
        <v>3809</v>
      </c>
      <c r="E41" s="689" t="s">
        <v>163</v>
      </c>
      <c r="F41" s="690">
        <f>SUM(D29*1)</f>
        <v>92000</v>
      </c>
      <c r="G41" s="668">
        <f>G40*1</f>
        <v>1758</v>
      </c>
      <c r="H41" s="692">
        <f>SUM(F41/G41)</f>
        <v>52.332195676905577</v>
      </c>
      <c r="I41" s="688"/>
      <c r="J41" s="617"/>
      <c r="K41" s="616"/>
      <c r="L41" s="616"/>
    </row>
    <row r="42" spans="3:16" ht="14" customHeight="1" x14ac:dyDescent="0.15">
      <c r="C42" s="639"/>
      <c r="D42" s="693"/>
      <c r="E42" s="689" t="s">
        <v>164</v>
      </c>
      <c r="F42" s="694">
        <f>SUM(D43*1)</f>
        <v>194259</v>
      </c>
      <c r="G42" s="668">
        <f>G41*1</f>
        <v>1758</v>
      </c>
      <c r="H42" s="695">
        <f>SUM(F42/G42)</f>
        <v>110.5</v>
      </c>
      <c r="I42" s="667"/>
      <c r="K42" s="616"/>
      <c r="L42" s="616"/>
    </row>
    <row r="43" spans="3:16" ht="14" customHeight="1" x14ac:dyDescent="0.15">
      <c r="C43" s="696" t="s">
        <v>165</v>
      </c>
      <c r="D43" s="697">
        <f>SUM(D29:D41)</f>
        <v>194259</v>
      </c>
      <c r="E43" s="698">
        <f>SUM(D43/D27)</f>
        <v>0.77703599999999995</v>
      </c>
      <c r="F43" s="699" t="s">
        <v>166</v>
      </c>
      <c r="G43" s="700"/>
      <c r="H43" s="666"/>
      <c r="I43" s="667"/>
      <c r="K43" s="616"/>
      <c r="L43" s="616"/>
    </row>
    <row r="44" spans="3:16" ht="14" customHeight="1" x14ac:dyDescent="0.15">
      <c r="C44" s="639"/>
      <c r="D44" s="693"/>
      <c r="E44" s="666"/>
      <c r="F44" s="666"/>
      <c r="G44" s="666"/>
      <c r="H44" s="666"/>
      <c r="I44" s="667"/>
      <c r="K44" s="616"/>
      <c r="L44" s="616"/>
    </row>
    <row r="45" spans="3:16" ht="14" customHeight="1" x14ac:dyDescent="0.15">
      <c r="C45" s="639"/>
      <c r="D45" s="693"/>
      <c r="E45" s="666"/>
      <c r="F45" s="57" t="s">
        <v>167</v>
      </c>
      <c r="G45" s="689" t="s">
        <v>168</v>
      </c>
      <c r="H45" s="17" t="s">
        <v>169</v>
      </c>
      <c r="I45" s="667"/>
      <c r="K45" s="616"/>
      <c r="L45" s="616"/>
    </row>
    <row r="46" spans="3:16" ht="14" customHeight="1" x14ac:dyDescent="0.15">
      <c r="C46" s="639" t="s">
        <v>170</v>
      </c>
      <c r="D46" s="701">
        <f>SUM(D43*0.12/360*30)</f>
        <v>1942.59</v>
      </c>
      <c r="E46" s="666"/>
      <c r="F46" s="702">
        <v>1950</v>
      </c>
      <c r="G46" s="668">
        <f>G40*1</f>
        <v>1758</v>
      </c>
      <c r="H46" s="695">
        <f>SUM(F46/G46)</f>
        <v>1.1092150170648465</v>
      </c>
      <c r="I46" s="667"/>
      <c r="K46" s="616"/>
      <c r="L46" s="616"/>
    </row>
    <row r="47" spans="3:16" ht="14" customHeight="1" x14ac:dyDescent="0.15">
      <c r="C47" s="639" t="s">
        <v>171</v>
      </c>
      <c r="D47" s="701">
        <f>SUM(D46*6)</f>
        <v>11655.539999999999</v>
      </c>
      <c r="E47" s="666"/>
      <c r="F47" s="702">
        <v>1700</v>
      </c>
      <c r="G47" s="668">
        <f>G40*1</f>
        <v>1758</v>
      </c>
      <c r="H47" s="695">
        <f>SUM(F47/G47)</f>
        <v>0.9670079635949943</v>
      </c>
      <c r="I47" s="667"/>
      <c r="K47" s="616"/>
      <c r="L47" s="616"/>
    </row>
    <row r="48" spans="3:16" ht="14" customHeight="1" x14ac:dyDescent="0.15">
      <c r="C48" s="639"/>
      <c r="D48" s="693"/>
      <c r="E48" s="666"/>
      <c r="F48" s="666"/>
      <c r="G48" s="666"/>
      <c r="H48" s="666"/>
      <c r="I48" s="667"/>
      <c r="K48" s="616"/>
      <c r="L48" s="616"/>
    </row>
    <row r="49" spans="3:22" ht="14" customHeight="1" x14ac:dyDescent="0.15">
      <c r="C49" s="696" t="s">
        <v>172</v>
      </c>
      <c r="D49" s="697">
        <f>SUM(D43+D47)</f>
        <v>205914.54</v>
      </c>
      <c r="E49" s="698">
        <f>SUM(D49/D27)</f>
        <v>0.82365816000000003</v>
      </c>
      <c r="F49" s="877" t="s">
        <v>173</v>
      </c>
      <c r="G49" s="877"/>
      <c r="H49" s="666"/>
      <c r="I49" s="667"/>
      <c r="K49" s="616"/>
      <c r="L49" s="616"/>
    </row>
    <row r="50" spans="3:22" ht="14" customHeight="1" x14ac:dyDescent="0.15">
      <c r="C50" s="639"/>
      <c r="D50" s="693"/>
      <c r="E50" s="666"/>
      <c r="F50" s="666"/>
      <c r="G50" s="666"/>
      <c r="H50" s="666"/>
      <c r="I50" s="667"/>
    </row>
    <row r="51" spans="3:22" ht="14" customHeight="1" x14ac:dyDescent="0.15">
      <c r="C51" s="639" t="s">
        <v>174</v>
      </c>
      <c r="D51" s="180">
        <v>0.65</v>
      </c>
      <c r="E51" s="180">
        <v>0.85</v>
      </c>
      <c r="F51" s="180">
        <v>0.9</v>
      </c>
      <c r="G51" s="180">
        <v>0.95</v>
      </c>
      <c r="H51" s="180">
        <v>1</v>
      </c>
      <c r="I51" s="667"/>
      <c r="K51" s="11"/>
      <c r="M51" s="615"/>
      <c r="N51" s="615"/>
    </row>
    <row r="52" spans="3:22" ht="14" customHeight="1" x14ac:dyDescent="0.15">
      <c r="C52" s="639" t="s">
        <v>175</v>
      </c>
      <c r="D52" s="693">
        <f>SUM(D27*D51)</f>
        <v>162500</v>
      </c>
      <c r="E52" s="693">
        <f>SUM(D27*85%)</f>
        <v>212500</v>
      </c>
      <c r="F52" s="693">
        <f>SUM(D27*90%)</f>
        <v>225000</v>
      </c>
      <c r="G52" s="693">
        <f>SUM(D27*95%)</f>
        <v>237500</v>
      </c>
      <c r="H52" s="693">
        <f>SUM(D27*100%)</f>
        <v>250000</v>
      </c>
      <c r="I52" s="667"/>
      <c r="M52" s="615"/>
      <c r="N52" s="615"/>
    </row>
    <row r="53" spans="3:22" ht="14" customHeight="1" x14ac:dyDescent="0.15">
      <c r="C53" s="639"/>
      <c r="D53" s="693"/>
      <c r="E53" s="666"/>
      <c r="F53" s="666"/>
      <c r="G53" s="666"/>
      <c r="H53" s="666"/>
      <c r="I53" s="667"/>
      <c r="M53" s="615"/>
      <c r="N53" s="615"/>
    </row>
    <row r="54" spans="3:22" ht="14" customHeight="1" x14ac:dyDescent="0.15">
      <c r="C54" s="639" t="s">
        <v>176</v>
      </c>
      <c r="D54" s="697">
        <f>SUM(D43*1)</f>
        <v>194259</v>
      </c>
      <c r="E54" s="697">
        <f>SUM(D43*1)</f>
        <v>194259</v>
      </c>
      <c r="F54" s="697">
        <f>SUM(D43*1)</f>
        <v>194259</v>
      </c>
      <c r="G54" s="697">
        <f>SUM(D43*1)</f>
        <v>194259</v>
      </c>
      <c r="H54" s="697">
        <f>SUM(D43*1)</f>
        <v>194259</v>
      </c>
      <c r="I54" s="667"/>
      <c r="M54" s="615"/>
      <c r="N54" s="615"/>
    </row>
    <row r="55" spans="3:22" ht="14" customHeight="1" x14ac:dyDescent="0.15">
      <c r="C55" s="639"/>
      <c r="D55" s="693"/>
      <c r="E55" s="666"/>
      <c r="F55" s="666"/>
      <c r="G55" s="666"/>
      <c r="H55" s="666"/>
      <c r="I55" s="667"/>
      <c r="M55" s="615"/>
      <c r="N55" s="615"/>
    </row>
    <row r="56" spans="3:22" ht="14" customHeight="1" x14ac:dyDescent="0.15">
      <c r="C56" s="639" t="s">
        <v>177</v>
      </c>
      <c r="D56" s="693">
        <f>SUM(D47*1)</f>
        <v>11655.539999999999</v>
      </c>
      <c r="E56" s="693">
        <f>SUM(D47*1)</f>
        <v>11655.539999999999</v>
      </c>
      <c r="F56" s="693">
        <f>SUM(D47*1)</f>
        <v>11655.539999999999</v>
      </c>
      <c r="G56" s="693">
        <f>SUM(D47*1)</f>
        <v>11655.539999999999</v>
      </c>
      <c r="H56" s="693">
        <f>SUM(D47*1)</f>
        <v>11655.539999999999</v>
      </c>
      <c r="I56" s="667"/>
      <c r="M56" s="615"/>
      <c r="N56" s="615"/>
    </row>
    <row r="57" spans="3:22" ht="14" customHeight="1" x14ac:dyDescent="0.15">
      <c r="C57" s="639"/>
      <c r="D57" s="693"/>
      <c r="E57" s="666"/>
      <c r="F57" s="666"/>
      <c r="G57" s="666"/>
      <c r="H57" s="666"/>
      <c r="I57" s="667"/>
      <c r="M57" s="615"/>
      <c r="N57" s="615"/>
    </row>
    <row r="58" spans="3:22" ht="14" customHeight="1" x14ac:dyDescent="0.15">
      <c r="C58" s="639" t="s">
        <v>178</v>
      </c>
      <c r="D58" s="693">
        <f>SUM(D52*6%)</f>
        <v>9750</v>
      </c>
      <c r="E58" s="693">
        <f>SUM(E52*6%)</f>
        <v>12750</v>
      </c>
      <c r="F58" s="693">
        <f>SUM(F52*6%)</f>
        <v>13500</v>
      </c>
      <c r="G58" s="693">
        <f>SUM(G52*6%)</f>
        <v>14250</v>
      </c>
      <c r="H58" s="693">
        <f>SUM(H52*6%)</f>
        <v>15000</v>
      </c>
      <c r="I58" s="667"/>
      <c r="M58" s="615"/>
      <c r="N58" s="615"/>
    </row>
    <row r="59" spans="3:22" ht="14" customHeight="1" x14ac:dyDescent="0.15">
      <c r="C59" s="639"/>
      <c r="D59" s="693"/>
      <c r="E59" s="666"/>
      <c r="F59" s="666"/>
      <c r="G59" s="666"/>
      <c r="H59" s="666"/>
      <c r="I59" s="667"/>
      <c r="M59" s="615"/>
      <c r="N59" s="615"/>
    </row>
    <row r="60" spans="3:22" ht="14" customHeight="1" x14ac:dyDescent="0.15">
      <c r="C60" s="639" t="s">
        <v>179</v>
      </c>
      <c r="D60" s="693">
        <f>SUM(D52*0%)</f>
        <v>0</v>
      </c>
      <c r="E60" s="693">
        <f>SUM(E52*0%)</f>
        <v>0</v>
      </c>
      <c r="F60" s="693">
        <f>SUM(F52*0%)</f>
        <v>0</v>
      </c>
      <c r="G60" s="693">
        <f>SUM(G52*0%)</f>
        <v>0</v>
      </c>
      <c r="H60" s="693">
        <f>SUM(H52*0%)</f>
        <v>0</v>
      </c>
      <c r="I60" s="667"/>
      <c r="M60" s="615"/>
      <c r="N60" s="615"/>
    </row>
    <row r="61" spans="3:22" ht="14" customHeight="1" x14ac:dyDescent="0.15">
      <c r="C61" s="639"/>
      <c r="D61" s="666"/>
      <c r="E61" s="666"/>
      <c r="F61" s="666"/>
      <c r="G61" s="666"/>
      <c r="H61" s="666"/>
      <c r="I61" s="667"/>
      <c r="M61" s="615"/>
      <c r="N61" s="615"/>
    </row>
    <row r="62" spans="3:22" ht="14" customHeight="1" x14ac:dyDescent="0.15">
      <c r="C62" s="703" t="s">
        <v>180</v>
      </c>
      <c r="D62" s="704">
        <f>SUM(D52-D54-D60-D58-D56)</f>
        <v>-53164.54</v>
      </c>
      <c r="E62" s="704">
        <f>SUM(E52-E54-E60-E58-E56)</f>
        <v>-6164.5399999999991</v>
      </c>
      <c r="F62" s="704">
        <f>SUM(F52-F54-F60-F58-F56)</f>
        <v>5585.4600000000009</v>
      </c>
      <c r="G62" s="704">
        <f>SUM(G52-G54-G60-G58-G56)</f>
        <v>17335.46</v>
      </c>
      <c r="H62" s="704">
        <f>SUM(H52-H54-H60-H58-H56)</f>
        <v>29085.46</v>
      </c>
      <c r="I62" s="667"/>
      <c r="M62" s="615"/>
      <c r="N62" s="615"/>
    </row>
    <row r="63" spans="3:22" ht="14" customHeight="1" x14ac:dyDescent="0.15">
      <c r="C63" s="639" t="s">
        <v>181</v>
      </c>
      <c r="D63" s="693">
        <f>SUM(D54*0.04)</f>
        <v>7770.3600000000006</v>
      </c>
      <c r="E63" s="693">
        <f>SUM(E54*0.04)</f>
        <v>7770.3600000000006</v>
      </c>
      <c r="F63" s="693">
        <f>SUM(F54*0.04)</f>
        <v>7770.3600000000006</v>
      </c>
      <c r="G63" s="693">
        <f>SUM(G54*0.04)</f>
        <v>7770.3600000000006</v>
      </c>
      <c r="H63" s="693">
        <f>SUM(H54*0.04)</f>
        <v>7770.3600000000006</v>
      </c>
      <c r="I63" s="667"/>
      <c r="M63" s="615"/>
      <c r="N63" s="615"/>
    </row>
    <row r="64" spans="3:22" ht="14" customHeight="1" x14ac:dyDescent="0.15">
      <c r="C64" s="639" t="s">
        <v>182</v>
      </c>
      <c r="D64" s="488">
        <f>SUM(D52/G40)</f>
        <v>92.434584755403861</v>
      </c>
      <c r="E64" s="488">
        <f>SUM(E52/G40)</f>
        <v>120.87599544937429</v>
      </c>
      <c r="F64" s="488">
        <f>SUM(F52/G40)</f>
        <v>127.9863481228669</v>
      </c>
      <c r="G64" s="488">
        <f>SUM(G52/G40)</f>
        <v>135.0967007963595</v>
      </c>
      <c r="H64" s="488">
        <f>SUM(H52/G40)</f>
        <v>142.2070534698521</v>
      </c>
      <c r="I64" s="667"/>
      <c r="J64" s="875"/>
      <c r="K64" s="817"/>
      <c r="L64" s="817"/>
      <c r="M64" s="876"/>
      <c r="N64" s="876"/>
      <c r="O64" s="876"/>
      <c r="P64" s="817"/>
      <c r="Q64" s="876"/>
      <c r="R64" s="876"/>
      <c r="S64" s="876"/>
      <c r="T64" s="876"/>
      <c r="U64" s="817"/>
      <c r="V64" s="817"/>
    </row>
    <row r="65" spans="3:22" ht="14" customHeight="1" x14ac:dyDescent="0.15">
      <c r="C65" s="705" t="s">
        <v>183</v>
      </c>
      <c r="D65" s="706">
        <f>SUM(D62-D63)</f>
        <v>-60934.9</v>
      </c>
      <c r="E65" s="706">
        <f>SUM(E62-E63)</f>
        <v>-13934.9</v>
      </c>
      <c r="F65" s="706">
        <f>SUM(F62-F63)</f>
        <v>-2184.8999999999996</v>
      </c>
      <c r="G65" s="706">
        <f>SUM(G62-G63)</f>
        <v>9565.0999999999985</v>
      </c>
      <c r="H65" s="706">
        <f>SUM(H62-H63)</f>
        <v>21315.1</v>
      </c>
      <c r="I65" s="667"/>
      <c r="J65" s="875"/>
      <c r="K65" s="817"/>
      <c r="L65" s="817"/>
      <c r="M65" s="818"/>
      <c r="N65" s="818"/>
      <c r="O65" s="818"/>
      <c r="P65" s="817"/>
      <c r="Q65" s="818"/>
      <c r="R65" s="818"/>
      <c r="S65" s="818"/>
      <c r="T65" s="818"/>
      <c r="U65" s="817"/>
      <c r="V65" s="817"/>
    </row>
    <row r="66" spans="3:22" ht="12" customHeight="1" x14ac:dyDescent="0.15">
      <c r="C66" s="707" t="s">
        <v>184</v>
      </c>
      <c r="D66" s="689" t="s">
        <v>185</v>
      </c>
      <c r="E66" s="689" t="s">
        <v>186</v>
      </c>
      <c r="F66" s="689" t="s">
        <v>187</v>
      </c>
      <c r="G66" s="689" t="s">
        <v>188</v>
      </c>
      <c r="H66" s="689" t="s">
        <v>189</v>
      </c>
      <c r="I66" s="667"/>
      <c r="J66" s="818"/>
      <c r="K66" s="614"/>
      <c r="L66" s="816"/>
      <c r="M66" s="816"/>
      <c r="N66" s="816"/>
      <c r="O66" s="816"/>
      <c r="P66" s="816"/>
      <c r="Q66" s="816"/>
      <c r="R66" s="872"/>
      <c r="S66" s="872"/>
      <c r="T66" s="872"/>
      <c r="U66" s="816"/>
      <c r="V66" s="816"/>
    </row>
    <row r="67" spans="3:22" ht="14" customHeight="1" x14ac:dyDescent="0.15">
      <c r="C67" s="708">
        <v>1693.67</v>
      </c>
      <c r="D67" s="668">
        <f>SUM(G40*1)</f>
        <v>1758</v>
      </c>
      <c r="E67" s="709" t="s">
        <v>190</v>
      </c>
      <c r="F67" s="710" t="s">
        <v>191</v>
      </c>
      <c r="G67" s="710" t="s">
        <v>192</v>
      </c>
      <c r="H67" s="711">
        <f>SUM(F46*1)</f>
        <v>1950</v>
      </c>
      <c r="I67" s="667"/>
      <c r="J67" s="818"/>
      <c r="K67" s="614"/>
      <c r="L67" s="816"/>
      <c r="M67" s="816"/>
      <c r="N67" s="816"/>
      <c r="O67" s="816"/>
      <c r="P67" s="816"/>
      <c r="Q67" s="816"/>
      <c r="R67" s="872"/>
      <c r="S67" s="872"/>
      <c r="T67" s="872"/>
      <c r="U67" s="816"/>
      <c r="V67" s="816"/>
    </row>
    <row r="68" spans="3:22" ht="21.75" customHeight="1" x14ac:dyDescent="0.15">
      <c r="C68" s="712" t="s">
        <v>193</v>
      </c>
      <c r="D68" s="713" t="s">
        <v>194</v>
      </c>
      <c r="E68" s="477" t="s">
        <v>195</v>
      </c>
      <c r="F68" s="477" t="s">
        <v>196</v>
      </c>
      <c r="G68" s="714" t="s">
        <v>197</v>
      </c>
      <c r="H68" s="715" t="s">
        <v>198</v>
      </c>
      <c r="I68" s="667"/>
      <c r="J68" s="818"/>
      <c r="K68" s="614"/>
      <c r="L68" s="816"/>
      <c r="M68" s="816"/>
      <c r="N68" s="816"/>
      <c r="O68" s="816"/>
      <c r="P68" s="816"/>
      <c r="Q68" s="816"/>
      <c r="R68" s="872"/>
      <c r="S68" s="872"/>
      <c r="T68" s="872"/>
      <c r="U68" s="816"/>
      <c r="V68" s="816"/>
    </row>
    <row r="69" spans="3:22" ht="12.75" customHeight="1" x14ac:dyDescent="0.15">
      <c r="C69" s="716"/>
      <c r="D69" s="717">
        <f>PMT(8%/12,360,F52,0,0)</f>
        <v>-1650.9702912285964</v>
      </c>
      <c r="E69" s="709">
        <v>75</v>
      </c>
      <c r="F69" s="692">
        <f>SUM(C67/12)</f>
        <v>141.13916666666668</v>
      </c>
      <c r="G69" s="717">
        <f>SUM(H67*0.1)</f>
        <v>195</v>
      </c>
      <c r="H69" s="718">
        <f>SUM(D69-E69-F69-G69+H67)</f>
        <v>-112.10945789526295</v>
      </c>
      <c r="I69" s="667"/>
      <c r="J69" s="818"/>
      <c r="K69" s="614"/>
      <c r="L69" s="816"/>
      <c r="M69" s="816"/>
      <c r="N69" s="816"/>
      <c r="O69" s="816"/>
      <c r="P69" s="816"/>
      <c r="Q69" s="816"/>
      <c r="R69" s="872"/>
      <c r="S69" s="872"/>
      <c r="T69" s="872"/>
      <c r="U69" s="816"/>
      <c r="V69" s="816"/>
    </row>
    <row r="70" spans="3:22" ht="14" customHeight="1" x14ac:dyDescent="0.15">
      <c r="C70" s="639"/>
      <c r="D70" s="666"/>
      <c r="E70" s="666"/>
      <c r="F70" s="666"/>
      <c r="G70" s="666"/>
      <c r="H70" s="666"/>
      <c r="I70" s="667"/>
      <c r="J70" s="613"/>
      <c r="K70" s="612"/>
      <c r="L70" s="816"/>
      <c r="M70" s="816"/>
      <c r="N70" s="816"/>
      <c r="O70" s="816"/>
      <c r="P70" s="816"/>
      <c r="Q70" s="816"/>
      <c r="R70" s="816"/>
      <c r="S70" s="816"/>
      <c r="T70" s="816"/>
      <c r="U70" s="816"/>
      <c r="V70" s="816"/>
    </row>
    <row r="71" spans="3:22" ht="14" customHeight="1" thickBot="1" x14ac:dyDescent="0.2">
      <c r="C71" s="682"/>
      <c r="D71" s="683"/>
      <c r="E71" s="683"/>
      <c r="F71" s="683"/>
      <c r="G71" s="683"/>
      <c r="H71" s="683"/>
      <c r="I71" s="684"/>
    </row>
  </sheetData>
  <mergeCells count="8">
    <mergeCell ref="R66:R69"/>
    <mergeCell ref="S66:S69"/>
    <mergeCell ref="T66:T69"/>
    <mergeCell ref="C25:E25"/>
    <mergeCell ref="J64:J65"/>
    <mergeCell ref="M64:O64"/>
    <mergeCell ref="Q64:T64"/>
    <mergeCell ref="F49:G49"/>
  </mergeCells>
  <pageMargins left="0.75" right="0.75" top="1" bottom="0.67" header="0.5" footer="0.5"/>
  <pageSetup orientation="portrait" horizontalDpi="4294967293"/>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294"/>
  <sheetViews>
    <sheetView showGridLines="0" showZeros="0" zoomScaleNormal="100" zoomScaleSheetLayoutView="140" zoomScalePageLayoutView="160" workbookViewId="0">
      <selection activeCell="A3" sqref="A3"/>
    </sheetView>
  </sheetViews>
  <sheetFormatPr baseColWidth="10" defaultColWidth="10.83203125" defaultRowHeight="16" x14ac:dyDescent="0.2"/>
  <cols>
    <col min="1" max="1" width="3.83203125" style="501" customWidth="1"/>
    <col min="2" max="2" width="18.1640625" style="501" customWidth="1"/>
    <col min="3" max="3" width="8.5" style="579" customWidth="1"/>
    <col min="4" max="4" width="8.1640625" style="499" customWidth="1"/>
    <col min="5" max="5" width="4.5" style="499" customWidth="1"/>
    <col min="6" max="6" width="7.5" style="499" customWidth="1"/>
    <col min="7" max="7" width="13" style="499" customWidth="1"/>
    <col min="8" max="8" width="7.5" style="499" customWidth="1"/>
    <col min="9" max="9" width="13" style="499" customWidth="1"/>
    <col min="10" max="10" width="2.5" style="499" customWidth="1"/>
    <col min="11" max="11" width="4.83203125" style="499" customWidth="1"/>
    <col min="12" max="12" width="8.5" style="499" customWidth="1"/>
    <col min="13" max="13" width="9.5" style="499" customWidth="1"/>
    <col min="14" max="14" width="11.83203125" style="499" customWidth="1"/>
    <col min="15" max="15" width="3.5" style="499" customWidth="1"/>
    <col min="16" max="19" width="11.1640625" style="500" customWidth="1"/>
    <col min="20" max="20" width="13.83203125" style="500" customWidth="1"/>
    <col min="21" max="21" width="11.1640625" style="500" customWidth="1"/>
    <col min="22" max="24" width="10.83203125" style="500"/>
    <col min="25" max="16384" width="10.83203125" style="501"/>
  </cols>
  <sheetData>
    <row r="1" spans="2:24" ht="17" thickBot="1" x14ac:dyDescent="0.25">
      <c r="C1" s="499"/>
    </row>
    <row r="2" spans="2:24" ht="69" customHeight="1" x14ac:dyDescent="0.2">
      <c r="B2" s="719"/>
      <c r="C2" s="759"/>
      <c r="D2" s="812" t="s">
        <v>199</v>
      </c>
      <c r="E2" s="720"/>
      <c r="F2" s="720"/>
      <c r="G2" s="720"/>
      <c r="H2" s="720"/>
      <c r="I2" s="720"/>
      <c r="J2" s="720"/>
      <c r="K2" s="720"/>
      <c r="L2" s="720"/>
      <c r="M2" s="720"/>
      <c r="N2" s="721"/>
    </row>
    <row r="3" spans="2:24" ht="24" customHeight="1" x14ac:dyDescent="0.2">
      <c r="B3" s="722"/>
      <c r="C3" s="502" t="s">
        <v>200</v>
      </c>
      <c r="D3" s="964">
        <f>'DEAL ANALYZER'!D11</f>
        <v>0</v>
      </c>
      <c r="E3" s="964"/>
      <c r="F3" s="964"/>
      <c r="G3" s="964"/>
      <c r="H3" s="964"/>
      <c r="I3" s="502" t="s">
        <v>201</v>
      </c>
      <c r="J3" s="965" t="str">
        <f>'DEAL ANALYZER'!J46</f>
        <v>N</v>
      </c>
      <c r="K3" s="965"/>
      <c r="L3" s="965"/>
      <c r="M3" s="502" t="s">
        <v>53</v>
      </c>
      <c r="N3" s="723"/>
      <c r="P3" s="503" t="s">
        <v>202</v>
      </c>
      <c r="Q3" s="504"/>
      <c r="R3" s="504"/>
      <c r="S3" s="504"/>
      <c r="T3" s="504"/>
      <c r="U3" s="504"/>
      <c r="V3" s="504"/>
      <c r="W3" s="504"/>
    </row>
    <row r="4" spans="2:24" ht="24" customHeight="1" x14ac:dyDescent="0.2">
      <c r="B4" s="722"/>
      <c r="C4" s="502" t="s">
        <v>203</v>
      </c>
      <c r="D4" s="966">
        <f>'DEAL ANALYZER'!D15</f>
        <v>0</v>
      </c>
      <c r="E4" s="966"/>
      <c r="F4" s="502" t="s">
        <v>204</v>
      </c>
      <c r="G4" s="819">
        <f>'DEAL ANALYZER'!D16</f>
        <v>0</v>
      </c>
      <c r="H4" s="502" t="s">
        <v>205</v>
      </c>
      <c r="I4" s="505">
        <f>'DEAL ANALYZER'!D17</f>
        <v>0</v>
      </c>
      <c r="J4" s="506"/>
      <c r="K4" s="507"/>
      <c r="L4" s="502" t="s">
        <v>206</v>
      </c>
      <c r="M4" s="967" t="e">
        <f>G251/I4</f>
        <v>#DIV/0!</v>
      </c>
      <c r="N4" s="968"/>
    </row>
    <row r="5" spans="2:24" ht="25" customHeight="1" x14ac:dyDescent="0.2">
      <c r="B5" s="722"/>
      <c r="C5" s="969" t="s">
        <v>207</v>
      </c>
      <c r="D5" s="969"/>
      <c r="E5" s="969"/>
      <c r="F5" s="969"/>
      <c r="G5" s="969"/>
      <c r="H5" s="969"/>
      <c r="I5" s="969"/>
      <c r="J5" s="969"/>
      <c r="K5" s="969"/>
      <c r="L5" s="969"/>
      <c r="M5" s="969"/>
      <c r="N5" s="970"/>
      <c r="O5" s="501"/>
    </row>
    <row r="6" spans="2:24" s="511" customFormat="1" ht="20" customHeight="1" x14ac:dyDescent="0.15">
      <c r="B6" s="724"/>
      <c r="C6" s="508"/>
      <c r="D6" s="509"/>
      <c r="E6" s="510"/>
      <c r="F6" s="509"/>
      <c r="G6" s="510"/>
      <c r="H6" s="510"/>
      <c r="I6" s="509"/>
      <c r="J6" s="510"/>
      <c r="K6" s="509"/>
      <c r="L6" s="509"/>
      <c r="M6" s="509"/>
      <c r="N6" s="725"/>
      <c r="P6" s="512"/>
      <c r="Q6" s="512"/>
      <c r="R6" s="512"/>
      <c r="S6" s="512"/>
      <c r="T6" s="512"/>
      <c r="U6" s="512"/>
      <c r="V6" s="512"/>
      <c r="W6" s="512"/>
      <c r="X6" s="512"/>
    </row>
    <row r="7" spans="2:24" s="515" customFormat="1" ht="20" customHeight="1" x14ac:dyDescent="0.15">
      <c r="B7" s="726"/>
      <c r="C7" s="513"/>
      <c r="D7" s="514"/>
      <c r="E7" s="514"/>
      <c r="F7" s="514"/>
      <c r="G7" s="514"/>
      <c r="H7" s="514"/>
      <c r="I7" s="514"/>
      <c r="J7" s="514"/>
      <c r="K7" s="514"/>
      <c r="L7" s="514"/>
      <c r="M7" s="514"/>
      <c r="N7" s="727"/>
      <c r="P7" s="516"/>
      <c r="Q7" s="516"/>
      <c r="R7" s="516"/>
      <c r="S7" s="516"/>
      <c r="T7" s="516"/>
      <c r="U7" s="516"/>
      <c r="V7" s="516"/>
      <c r="W7" s="516"/>
      <c r="X7" s="516"/>
    </row>
    <row r="8" spans="2:24" s="519" customFormat="1" ht="29" customHeight="1" x14ac:dyDescent="0.2">
      <c r="B8" s="728"/>
      <c r="C8" s="971" t="s">
        <v>208</v>
      </c>
      <c r="D8" s="971"/>
      <c r="E8" s="971"/>
      <c r="F8" s="971"/>
      <c r="G8" s="971"/>
      <c r="H8" s="971"/>
      <c r="I8" s="971"/>
      <c r="J8" s="971"/>
      <c r="K8" s="971"/>
      <c r="L8" s="971"/>
      <c r="M8" s="971"/>
      <c r="N8" s="972"/>
      <c r="O8" s="517"/>
      <c r="P8" s="518"/>
      <c r="Q8" s="518"/>
      <c r="R8" s="518"/>
      <c r="S8" s="518"/>
      <c r="T8" s="518"/>
      <c r="U8" s="518"/>
      <c r="V8" s="518"/>
      <c r="W8" s="518"/>
      <c r="X8" s="518"/>
    </row>
    <row r="9" spans="2:24" s="519" customFormat="1" ht="14" customHeight="1" x14ac:dyDescent="0.15">
      <c r="B9" s="728"/>
      <c r="C9" s="939" t="s">
        <v>209</v>
      </c>
      <c r="D9" s="939"/>
      <c r="E9" s="832" t="s">
        <v>210</v>
      </c>
      <c r="F9" s="939" t="s">
        <v>211</v>
      </c>
      <c r="G9" s="939"/>
      <c r="H9" s="939"/>
      <c r="I9" s="939"/>
      <c r="J9" s="939"/>
      <c r="K9" s="832" t="s">
        <v>212</v>
      </c>
      <c r="L9" s="832" t="s">
        <v>213</v>
      </c>
      <c r="M9" s="832" t="s">
        <v>214</v>
      </c>
      <c r="N9" s="729" t="s">
        <v>83</v>
      </c>
      <c r="O9" s="517"/>
      <c r="P9" s="518"/>
      <c r="Q9" s="518"/>
      <c r="R9" s="518"/>
      <c r="S9" s="518"/>
      <c r="T9" s="518"/>
      <c r="U9" s="518"/>
      <c r="V9" s="518"/>
      <c r="W9" s="518"/>
      <c r="X9" s="518"/>
    </row>
    <row r="10" spans="2:24" s="519" customFormat="1" ht="13" x14ac:dyDescent="0.15">
      <c r="B10" s="728"/>
      <c r="C10" s="827" t="s">
        <v>215</v>
      </c>
      <c r="D10" s="828"/>
      <c r="E10" s="520"/>
      <c r="F10" s="894" t="s">
        <v>216</v>
      </c>
      <c r="G10" s="895"/>
      <c r="H10" s="895"/>
      <c r="I10" s="895"/>
      <c r="J10" s="896"/>
      <c r="K10" s="520">
        <v>2000</v>
      </c>
      <c r="L10" s="521" t="s">
        <v>217</v>
      </c>
      <c r="M10" s="522">
        <v>4</v>
      </c>
      <c r="N10" s="730">
        <f>SUM(K10*M10)</f>
        <v>8000</v>
      </c>
      <c r="O10" s="517"/>
      <c r="P10" s="518"/>
      <c r="Q10" s="518"/>
      <c r="R10" s="518"/>
      <c r="S10" s="518"/>
      <c r="T10" s="518"/>
      <c r="U10" s="518"/>
      <c r="V10" s="518"/>
      <c r="W10" s="518"/>
      <c r="X10" s="518"/>
    </row>
    <row r="11" spans="2:24" s="519" customFormat="1" ht="15" customHeight="1" x14ac:dyDescent="0.2">
      <c r="B11" s="728"/>
      <c r="C11" s="949" t="s">
        <v>218</v>
      </c>
      <c r="D11" s="950"/>
      <c r="E11" s="520"/>
      <c r="F11" s="894" t="s">
        <v>219</v>
      </c>
      <c r="G11" s="895"/>
      <c r="H11" s="895"/>
      <c r="I11" s="895"/>
      <c r="J11" s="896"/>
      <c r="K11" s="520"/>
      <c r="L11" s="521" t="s">
        <v>217</v>
      </c>
      <c r="M11" s="522">
        <v>2.5</v>
      </c>
      <c r="N11" s="730">
        <f t="shared" ref="N11:N43" si="0">SUM(K11*M11)</f>
        <v>0</v>
      </c>
      <c r="O11" s="523"/>
      <c r="P11" s="523"/>
      <c r="Q11" s="523"/>
      <c r="R11" s="523"/>
      <c r="S11" s="523"/>
      <c r="T11" s="523"/>
      <c r="U11" s="524"/>
      <c r="V11" s="518"/>
      <c r="W11" s="518"/>
      <c r="X11" s="518"/>
    </row>
    <row r="12" spans="2:24" s="519" customFormat="1" x14ac:dyDescent="0.2">
      <c r="B12" s="728"/>
      <c r="C12" s="949"/>
      <c r="D12" s="950"/>
      <c r="E12" s="520"/>
      <c r="F12" s="894" t="s">
        <v>220</v>
      </c>
      <c r="G12" s="895"/>
      <c r="H12" s="895"/>
      <c r="I12" s="895"/>
      <c r="J12" s="896"/>
      <c r="K12" s="520"/>
      <c r="L12" s="521" t="s">
        <v>217</v>
      </c>
      <c r="M12" s="522">
        <v>2</v>
      </c>
      <c r="N12" s="730">
        <f t="shared" si="0"/>
        <v>0</v>
      </c>
      <c r="O12" s="523"/>
      <c r="P12" s="523"/>
      <c r="Q12" s="523"/>
      <c r="R12" s="523"/>
      <c r="S12" s="523"/>
      <c r="T12" s="523"/>
      <c r="U12" s="524"/>
      <c r="V12" s="518"/>
      <c r="W12" s="518"/>
      <c r="X12" s="518"/>
    </row>
    <row r="13" spans="2:24" s="519" customFormat="1" ht="13" x14ac:dyDescent="0.15">
      <c r="B13" s="728"/>
      <c r="C13" s="823"/>
      <c r="D13" s="824"/>
      <c r="E13" s="520"/>
      <c r="F13" s="894" t="s">
        <v>221</v>
      </c>
      <c r="G13" s="895"/>
      <c r="H13" s="895"/>
      <c r="I13" s="895"/>
      <c r="J13" s="896"/>
      <c r="K13" s="520"/>
      <c r="L13" s="521" t="s">
        <v>222</v>
      </c>
      <c r="M13" s="522">
        <v>900</v>
      </c>
      <c r="N13" s="730">
        <f t="shared" si="0"/>
        <v>0</v>
      </c>
      <c r="O13" s="517"/>
      <c r="P13" s="518"/>
      <c r="Q13" s="518"/>
      <c r="R13" s="518"/>
      <c r="S13" s="518"/>
      <c r="T13" s="518"/>
      <c r="U13" s="518"/>
      <c r="V13" s="518"/>
      <c r="W13" s="518"/>
      <c r="X13" s="518"/>
    </row>
    <row r="14" spans="2:24" s="519" customFormat="1" ht="13" x14ac:dyDescent="0.15">
      <c r="B14" s="728"/>
      <c r="C14" s="825"/>
      <c r="D14" s="826"/>
      <c r="E14" s="520"/>
      <c r="F14" s="894" t="s">
        <v>223</v>
      </c>
      <c r="G14" s="895"/>
      <c r="H14" s="895"/>
      <c r="I14" s="895"/>
      <c r="J14" s="896"/>
      <c r="K14" s="520"/>
      <c r="L14" s="521" t="s">
        <v>222</v>
      </c>
      <c r="M14" s="522">
        <v>600</v>
      </c>
      <c r="N14" s="730">
        <f t="shared" si="0"/>
        <v>0</v>
      </c>
      <c r="O14" s="517"/>
      <c r="P14" s="518"/>
      <c r="Q14" s="518"/>
      <c r="R14" s="518"/>
      <c r="S14" s="518"/>
      <c r="T14" s="518"/>
      <c r="U14" s="518"/>
      <c r="V14" s="518"/>
      <c r="W14" s="518"/>
      <c r="X14" s="518"/>
    </row>
    <row r="15" spans="2:24" s="519" customFormat="1" ht="13" x14ac:dyDescent="0.15">
      <c r="B15" s="728"/>
      <c r="C15" s="825"/>
      <c r="D15" s="826"/>
      <c r="E15" s="520"/>
      <c r="F15" s="894" t="s">
        <v>224</v>
      </c>
      <c r="G15" s="895"/>
      <c r="H15" s="895"/>
      <c r="I15" s="895"/>
      <c r="J15" s="896"/>
      <c r="K15" s="520"/>
      <c r="L15" s="521" t="s">
        <v>217</v>
      </c>
      <c r="M15" s="522">
        <v>0.35</v>
      </c>
      <c r="N15" s="730">
        <f t="shared" si="0"/>
        <v>0</v>
      </c>
      <c r="O15" s="517"/>
      <c r="P15" s="518"/>
      <c r="Q15" s="518"/>
      <c r="R15" s="518"/>
      <c r="S15" s="518"/>
      <c r="T15" s="518"/>
      <c r="U15" s="518"/>
      <c r="V15" s="518"/>
      <c r="W15" s="518"/>
      <c r="X15" s="518"/>
    </row>
    <row r="16" spans="2:24" s="519" customFormat="1" ht="13" x14ac:dyDescent="0.15">
      <c r="B16" s="728"/>
      <c r="C16" s="825"/>
      <c r="D16" s="826"/>
      <c r="E16" s="520"/>
      <c r="F16" s="894" t="s">
        <v>225</v>
      </c>
      <c r="G16" s="895"/>
      <c r="H16" s="895"/>
      <c r="I16" s="895"/>
      <c r="J16" s="896"/>
      <c r="K16" s="520"/>
      <c r="L16" s="521" t="s">
        <v>217</v>
      </c>
      <c r="M16" s="522">
        <v>0.2</v>
      </c>
      <c r="N16" s="730">
        <f t="shared" si="0"/>
        <v>0</v>
      </c>
      <c r="O16" s="517"/>
      <c r="P16" s="518"/>
      <c r="Q16" s="518"/>
      <c r="R16" s="518"/>
      <c r="S16" s="518"/>
      <c r="T16" s="518"/>
      <c r="U16" s="518"/>
      <c r="V16" s="518"/>
      <c r="W16" s="518"/>
      <c r="X16" s="518"/>
    </row>
    <row r="17" spans="2:29" s="519" customFormat="1" ht="13" x14ac:dyDescent="0.15">
      <c r="B17" s="728"/>
      <c r="C17" s="825"/>
      <c r="D17" s="826"/>
      <c r="E17" s="520"/>
      <c r="F17" s="894" t="s">
        <v>226</v>
      </c>
      <c r="G17" s="895"/>
      <c r="H17" s="895"/>
      <c r="I17" s="895"/>
      <c r="J17" s="896"/>
      <c r="K17" s="520"/>
      <c r="L17" s="521" t="s">
        <v>227</v>
      </c>
      <c r="M17" s="522">
        <v>3</v>
      </c>
      <c r="N17" s="730">
        <f t="shared" si="0"/>
        <v>0</v>
      </c>
      <c r="O17" s="517"/>
      <c r="P17" s="518"/>
      <c r="Q17" s="518"/>
      <c r="R17" s="518"/>
      <c r="S17" s="518"/>
      <c r="T17" s="518"/>
      <c r="U17" s="518"/>
      <c r="V17" s="518"/>
      <c r="W17" s="518"/>
      <c r="X17" s="518"/>
    </row>
    <row r="18" spans="2:29" s="519" customFormat="1" ht="13" x14ac:dyDescent="0.15">
      <c r="B18" s="728"/>
      <c r="C18" s="829"/>
      <c r="D18" s="830"/>
      <c r="E18" s="520"/>
      <c r="F18" s="894" t="s">
        <v>228</v>
      </c>
      <c r="G18" s="895"/>
      <c r="H18" s="895"/>
      <c r="I18" s="895"/>
      <c r="J18" s="896"/>
      <c r="K18" s="520"/>
      <c r="L18" s="521" t="s">
        <v>227</v>
      </c>
      <c r="M18" s="522">
        <v>4</v>
      </c>
      <c r="N18" s="730">
        <f t="shared" si="0"/>
        <v>0</v>
      </c>
      <c r="O18" s="517"/>
      <c r="P18" s="518"/>
      <c r="Q18" s="518"/>
      <c r="R18" s="518"/>
      <c r="S18" s="518"/>
      <c r="T18" s="518"/>
      <c r="U18" s="518"/>
      <c r="V18" s="518"/>
      <c r="W18" s="518"/>
      <c r="X18" s="518"/>
    </row>
    <row r="19" spans="2:29" s="519" customFormat="1" ht="13" x14ac:dyDescent="0.15">
      <c r="B19" s="728"/>
      <c r="C19" s="827" t="s">
        <v>229</v>
      </c>
      <c r="D19" s="828"/>
      <c r="E19" s="520"/>
      <c r="F19" s="894" t="s">
        <v>230</v>
      </c>
      <c r="G19" s="895"/>
      <c r="H19" s="895"/>
      <c r="I19" s="895"/>
      <c r="J19" s="896"/>
      <c r="K19" s="520">
        <v>2000</v>
      </c>
      <c r="L19" s="521" t="s">
        <v>217</v>
      </c>
      <c r="M19" s="522">
        <v>0.5</v>
      </c>
      <c r="N19" s="730">
        <f t="shared" si="0"/>
        <v>1000</v>
      </c>
      <c r="O19" s="517"/>
      <c r="P19" s="518"/>
      <c r="Q19" s="518"/>
      <c r="R19" s="518"/>
      <c r="S19" s="518"/>
      <c r="T19" s="518"/>
      <c r="U19" s="518"/>
      <c r="V19" s="518"/>
      <c r="W19" s="518"/>
      <c r="X19" s="518"/>
    </row>
    <row r="20" spans="2:29" s="519" customFormat="1" ht="13" x14ac:dyDescent="0.15">
      <c r="B20" s="728"/>
      <c r="C20" s="829"/>
      <c r="D20" s="830"/>
      <c r="E20" s="520"/>
      <c r="F20" s="894" t="s">
        <v>231</v>
      </c>
      <c r="G20" s="895"/>
      <c r="H20" s="895"/>
      <c r="I20" s="895"/>
      <c r="J20" s="896"/>
      <c r="K20" s="520"/>
      <c r="L20" s="521" t="s">
        <v>227</v>
      </c>
      <c r="M20" s="522">
        <v>6</v>
      </c>
      <c r="N20" s="730">
        <f t="shared" si="0"/>
        <v>0</v>
      </c>
      <c r="O20" s="517"/>
      <c r="P20" s="518"/>
      <c r="Q20" s="518"/>
      <c r="R20" s="518"/>
      <c r="S20" s="518"/>
      <c r="T20" s="518"/>
      <c r="U20" s="518"/>
      <c r="V20" s="518"/>
      <c r="W20" s="518"/>
      <c r="X20" s="518"/>
    </row>
    <row r="21" spans="2:29" s="519" customFormat="1" ht="13" x14ac:dyDescent="0.15">
      <c r="B21" s="728"/>
      <c r="C21" s="827" t="s">
        <v>232</v>
      </c>
      <c r="D21" s="828"/>
      <c r="E21" s="520"/>
      <c r="F21" s="894" t="s">
        <v>233</v>
      </c>
      <c r="G21" s="895"/>
      <c r="H21" s="895"/>
      <c r="I21" s="895"/>
      <c r="J21" s="896"/>
      <c r="K21" s="520"/>
      <c r="L21" s="521" t="s">
        <v>217</v>
      </c>
      <c r="M21" s="522">
        <v>0.75</v>
      </c>
      <c r="N21" s="730">
        <f t="shared" si="0"/>
        <v>0</v>
      </c>
      <c r="O21" s="517"/>
      <c r="P21" s="518"/>
      <c r="Q21" s="518"/>
      <c r="R21" s="518"/>
      <c r="S21" s="518">
        <v>4</v>
      </c>
      <c r="T21" s="518"/>
      <c r="U21" s="518"/>
      <c r="V21" s="518"/>
      <c r="W21" s="518"/>
      <c r="X21" s="518"/>
    </row>
    <row r="22" spans="2:29" s="499" customFormat="1" x14ac:dyDescent="0.2">
      <c r="B22" s="722"/>
      <c r="C22" s="825"/>
      <c r="D22" s="826"/>
      <c r="E22" s="525"/>
      <c r="F22" s="894" t="s">
        <v>234</v>
      </c>
      <c r="G22" s="895"/>
      <c r="H22" s="895"/>
      <c r="I22" s="895"/>
      <c r="J22" s="896"/>
      <c r="K22" s="525"/>
      <c r="L22" s="521" t="s">
        <v>217</v>
      </c>
      <c r="M22" s="522">
        <v>7</v>
      </c>
      <c r="N22" s="730">
        <f t="shared" si="0"/>
        <v>0</v>
      </c>
      <c r="O22" s="526"/>
      <c r="P22" s="526"/>
      <c r="Q22" s="526"/>
      <c r="R22" s="526"/>
      <c r="S22" s="526"/>
      <c r="T22" s="526"/>
      <c r="U22" s="526"/>
      <c r="V22" s="526"/>
      <c r="W22" s="526"/>
      <c r="X22" s="526"/>
    </row>
    <row r="23" spans="2:29" s="531" customFormat="1" ht="17" customHeight="1" x14ac:dyDescent="0.15">
      <c r="B23" s="731"/>
      <c r="C23" s="825"/>
      <c r="D23" s="826"/>
      <c r="E23" s="527"/>
      <c r="F23" s="894" t="s">
        <v>235</v>
      </c>
      <c r="G23" s="895"/>
      <c r="H23" s="895"/>
      <c r="I23" s="895"/>
      <c r="J23" s="896"/>
      <c r="K23" s="528"/>
      <c r="L23" s="521" t="s">
        <v>217</v>
      </c>
      <c r="M23" s="522">
        <v>6</v>
      </c>
      <c r="N23" s="730">
        <f t="shared" si="0"/>
        <v>0</v>
      </c>
      <c r="O23" s="529"/>
      <c r="P23" s="530"/>
      <c r="Q23" s="530"/>
      <c r="R23" s="530"/>
      <c r="S23" s="530"/>
      <c r="T23" s="530"/>
      <c r="U23" s="530"/>
      <c r="V23" s="530"/>
      <c r="W23" s="530"/>
      <c r="X23" s="530"/>
      <c r="Y23" s="530"/>
      <c r="Z23" s="530"/>
      <c r="AA23" s="530"/>
      <c r="AB23" s="529"/>
      <c r="AC23" s="529"/>
    </row>
    <row r="24" spans="2:29" s="519" customFormat="1" ht="14" x14ac:dyDescent="0.15">
      <c r="B24" s="728"/>
      <c r="C24" s="825"/>
      <c r="D24" s="826"/>
      <c r="E24" s="520"/>
      <c r="F24" s="894" t="s">
        <v>236</v>
      </c>
      <c r="G24" s="895"/>
      <c r="H24" s="895"/>
      <c r="I24" s="895"/>
      <c r="J24" s="896"/>
      <c r="K24" s="520">
        <v>2800</v>
      </c>
      <c r="L24" s="521" t="s">
        <v>217</v>
      </c>
      <c r="M24" s="522">
        <v>2.25</v>
      </c>
      <c r="N24" s="730">
        <f t="shared" si="0"/>
        <v>6300</v>
      </c>
      <c r="O24" s="517"/>
      <c r="P24" s="532"/>
      <c r="Q24" s="532"/>
      <c r="R24" s="532"/>
      <c r="S24" s="532"/>
      <c r="T24" s="532"/>
      <c r="U24" s="532"/>
      <c r="V24" s="532"/>
      <c r="W24" s="532"/>
      <c r="X24" s="532"/>
      <c r="Y24" s="532"/>
      <c r="Z24" s="532"/>
      <c r="AA24" s="532"/>
      <c r="AB24" s="517"/>
      <c r="AC24" s="517"/>
    </row>
    <row r="25" spans="2:29" s="519" customFormat="1" ht="13" x14ac:dyDescent="0.15">
      <c r="B25" s="728"/>
      <c r="C25" s="825"/>
      <c r="D25" s="826"/>
      <c r="E25" s="520"/>
      <c r="F25" s="894" t="s">
        <v>237</v>
      </c>
      <c r="G25" s="895"/>
      <c r="H25" s="895"/>
      <c r="I25" s="895"/>
      <c r="J25" s="896"/>
      <c r="K25" s="520"/>
      <c r="L25" s="521" t="s">
        <v>217</v>
      </c>
      <c r="M25" s="522">
        <v>7</v>
      </c>
      <c r="N25" s="730">
        <f t="shared" si="0"/>
        <v>0</v>
      </c>
      <c r="O25" s="517"/>
      <c r="P25" s="517"/>
      <c r="Q25" s="517"/>
      <c r="R25" s="517"/>
      <c r="S25" s="517"/>
      <c r="T25" s="517"/>
      <c r="U25" s="517"/>
      <c r="V25" s="517"/>
      <c r="W25" s="517"/>
      <c r="X25" s="517"/>
      <c r="Y25" s="517"/>
      <c r="Z25" s="517"/>
      <c r="AA25" s="517"/>
      <c r="AB25" s="517"/>
      <c r="AC25" s="517"/>
    </row>
    <row r="26" spans="2:29" s="519" customFormat="1" ht="13" x14ac:dyDescent="0.15">
      <c r="B26" s="728"/>
      <c r="C26" s="825"/>
      <c r="D26" s="826"/>
      <c r="E26" s="520"/>
      <c r="F26" s="894" t="s">
        <v>238</v>
      </c>
      <c r="G26" s="895"/>
      <c r="H26" s="895"/>
      <c r="I26" s="895"/>
      <c r="J26" s="896"/>
      <c r="K26" s="520"/>
      <c r="L26" s="521" t="s">
        <v>217</v>
      </c>
      <c r="M26" s="522">
        <v>2.5</v>
      </c>
      <c r="N26" s="730">
        <f t="shared" si="0"/>
        <v>0</v>
      </c>
      <c r="O26" s="517"/>
      <c r="P26" s="518"/>
      <c r="Q26" s="518"/>
      <c r="R26" s="518"/>
      <c r="S26" s="518"/>
      <c r="T26" s="518"/>
      <c r="U26" s="518"/>
      <c r="V26" s="518"/>
      <c r="W26" s="518"/>
      <c r="X26" s="518"/>
    </row>
    <row r="27" spans="2:29" s="519" customFormat="1" ht="13" x14ac:dyDescent="0.15">
      <c r="B27" s="728"/>
      <c r="C27" s="825"/>
      <c r="D27" s="826"/>
      <c r="E27" s="520"/>
      <c r="F27" s="894" t="s">
        <v>239</v>
      </c>
      <c r="G27" s="895"/>
      <c r="H27" s="895"/>
      <c r="I27" s="895"/>
      <c r="J27" s="896"/>
      <c r="K27" s="520"/>
      <c r="L27" s="521" t="s">
        <v>240</v>
      </c>
      <c r="M27" s="522">
        <v>500</v>
      </c>
      <c r="N27" s="730">
        <f t="shared" si="0"/>
        <v>0</v>
      </c>
      <c r="O27" s="517"/>
      <c r="P27" s="518"/>
      <c r="Q27" s="518"/>
      <c r="R27" s="518"/>
      <c r="S27" s="518"/>
      <c r="T27" s="518"/>
      <c r="U27" s="518"/>
      <c r="V27" s="518"/>
      <c r="W27" s="518"/>
      <c r="X27" s="518"/>
    </row>
    <row r="28" spans="2:29" s="519" customFormat="1" ht="13" x14ac:dyDescent="0.15">
      <c r="B28" s="728"/>
      <c r="C28" s="829"/>
      <c r="D28" s="830"/>
      <c r="E28" s="520"/>
      <c r="F28" s="894" t="s">
        <v>241</v>
      </c>
      <c r="G28" s="895"/>
      <c r="H28" s="895"/>
      <c r="I28" s="895"/>
      <c r="J28" s="896"/>
      <c r="K28" s="520"/>
      <c r="L28" s="521" t="s">
        <v>217</v>
      </c>
      <c r="M28" s="522">
        <v>0.75</v>
      </c>
      <c r="N28" s="730">
        <f t="shared" si="0"/>
        <v>0</v>
      </c>
      <c r="O28" s="517"/>
      <c r="P28" s="518"/>
      <c r="Q28" s="518"/>
      <c r="R28" s="518"/>
      <c r="S28" s="518"/>
      <c r="T28" s="518"/>
      <c r="U28" s="518"/>
      <c r="V28" s="518"/>
      <c r="W28" s="518"/>
      <c r="X28" s="518"/>
    </row>
    <row r="29" spans="2:29" s="519" customFormat="1" ht="13" x14ac:dyDescent="0.15">
      <c r="B29" s="728"/>
      <c r="C29" s="827" t="s">
        <v>242</v>
      </c>
      <c r="D29" s="828"/>
      <c r="E29" s="520"/>
      <c r="F29" s="894" t="s">
        <v>243</v>
      </c>
      <c r="G29" s="895"/>
      <c r="H29" s="895"/>
      <c r="I29" s="895"/>
      <c r="J29" s="896"/>
      <c r="K29" s="520"/>
      <c r="L29" s="521" t="s">
        <v>240</v>
      </c>
      <c r="M29" s="522">
        <v>5000</v>
      </c>
      <c r="N29" s="730">
        <f t="shared" si="0"/>
        <v>0</v>
      </c>
      <c r="O29" s="517"/>
      <c r="P29" s="518"/>
      <c r="Q29" s="518"/>
      <c r="R29" s="518"/>
      <c r="S29" s="518"/>
      <c r="T29" s="518"/>
      <c r="U29" s="518"/>
      <c r="V29" s="518"/>
      <c r="W29" s="518"/>
      <c r="X29" s="518"/>
    </row>
    <row r="30" spans="2:29" s="519" customFormat="1" ht="13" x14ac:dyDescent="0.15">
      <c r="B30" s="728"/>
      <c r="C30" s="825"/>
      <c r="D30" s="826"/>
      <c r="E30" s="520"/>
      <c r="F30" s="894" t="s">
        <v>244</v>
      </c>
      <c r="G30" s="895"/>
      <c r="H30" s="895"/>
      <c r="I30" s="895"/>
      <c r="J30" s="896"/>
      <c r="K30" s="520"/>
      <c r="L30" s="521" t="s">
        <v>217</v>
      </c>
      <c r="M30" s="522">
        <v>6</v>
      </c>
      <c r="N30" s="730">
        <f t="shared" si="0"/>
        <v>0</v>
      </c>
      <c r="O30" s="533"/>
      <c r="P30" s="518"/>
      <c r="Q30" s="518"/>
      <c r="R30" s="518"/>
      <c r="S30" s="518"/>
      <c r="T30" s="518"/>
      <c r="U30" s="518"/>
      <c r="V30" s="518"/>
      <c r="W30" s="518"/>
      <c r="X30" s="518"/>
    </row>
    <row r="31" spans="2:29" s="519" customFormat="1" ht="14" x14ac:dyDescent="0.15">
      <c r="B31" s="728"/>
      <c r="C31" s="825"/>
      <c r="D31" s="826"/>
      <c r="E31" s="520"/>
      <c r="F31" s="894" t="s">
        <v>245</v>
      </c>
      <c r="G31" s="895"/>
      <c r="H31" s="895"/>
      <c r="I31" s="895"/>
      <c r="J31" s="896"/>
      <c r="K31" s="520"/>
      <c r="L31" s="521" t="s">
        <v>217</v>
      </c>
      <c r="M31" s="522">
        <v>18</v>
      </c>
      <c r="N31" s="730">
        <f t="shared" si="0"/>
        <v>0</v>
      </c>
      <c r="O31" s="533"/>
      <c r="P31" s="518"/>
      <c r="Q31" s="518"/>
      <c r="R31" s="534"/>
      <c r="S31" s="518"/>
      <c r="T31" s="518"/>
      <c r="U31" s="518"/>
      <c r="V31" s="518"/>
      <c r="W31" s="518"/>
      <c r="X31" s="518"/>
    </row>
    <row r="32" spans="2:29" s="519" customFormat="1" ht="13" x14ac:dyDescent="0.15">
      <c r="B32" s="728"/>
      <c r="C32" s="825"/>
      <c r="D32" s="826"/>
      <c r="E32" s="520"/>
      <c r="F32" s="894" t="s">
        <v>246</v>
      </c>
      <c r="G32" s="895"/>
      <c r="H32" s="895"/>
      <c r="I32" s="895"/>
      <c r="J32" s="896"/>
      <c r="K32" s="520"/>
      <c r="L32" s="521" t="s">
        <v>217</v>
      </c>
      <c r="M32" s="522">
        <v>11.5</v>
      </c>
      <c r="N32" s="730">
        <f t="shared" si="0"/>
        <v>0</v>
      </c>
      <c r="O32" s="533"/>
      <c r="P32" s="518"/>
      <c r="Q32" s="518"/>
      <c r="R32" s="518"/>
      <c r="S32" s="535"/>
      <c r="T32" s="535"/>
      <c r="U32" s="518"/>
      <c r="V32" s="518"/>
      <c r="W32" s="518"/>
      <c r="X32" s="518"/>
    </row>
    <row r="33" spans="2:30" s="519" customFormat="1" ht="13" x14ac:dyDescent="0.15">
      <c r="B33" s="728"/>
      <c r="C33" s="825"/>
      <c r="D33" s="826"/>
      <c r="E33" s="520"/>
      <c r="F33" s="894" t="s">
        <v>247</v>
      </c>
      <c r="G33" s="895"/>
      <c r="H33" s="895"/>
      <c r="I33" s="895"/>
      <c r="J33" s="896"/>
      <c r="K33" s="520">
        <v>100</v>
      </c>
      <c r="L33" s="521" t="s">
        <v>217</v>
      </c>
      <c r="M33" s="522">
        <v>3.5</v>
      </c>
      <c r="N33" s="730">
        <f t="shared" si="0"/>
        <v>350</v>
      </c>
      <c r="O33" s="533"/>
      <c r="P33" s="518"/>
      <c r="Q33" s="518"/>
      <c r="R33" s="517"/>
      <c r="S33" s="517"/>
      <c r="T33" s="517"/>
      <c r="U33" s="517"/>
      <c r="V33" s="517"/>
      <c r="W33" s="517"/>
      <c r="X33" s="517"/>
      <c r="Y33" s="533"/>
      <c r="Z33" s="533"/>
      <c r="AA33" s="533"/>
      <c r="AB33" s="533"/>
      <c r="AC33" s="533"/>
      <c r="AD33" s="533"/>
    </row>
    <row r="34" spans="2:30" s="519" customFormat="1" ht="14" x14ac:dyDescent="0.15">
      <c r="B34" s="728"/>
      <c r="C34" s="829"/>
      <c r="D34" s="830"/>
      <c r="E34" s="520"/>
      <c r="F34" s="894" t="s">
        <v>248</v>
      </c>
      <c r="G34" s="895"/>
      <c r="H34" s="895"/>
      <c r="I34" s="895"/>
      <c r="J34" s="896"/>
      <c r="K34" s="520"/>
      <c r="L34" s="521" t="s">
        <v>217</v>
      </c>
      <c r="M34" s="522">
        <v>0.75</v>
      </c>
      <c r="N34" s="730">
        <f t="shared" si="0"/>
        <v>0</v>
      </c>
      <c r="O34" s="533"/>
      <c r="P34" s="518"/>
      <c r="Q34" s="518"/>
      <c r="R34" s="517"/>
      <c r="S34" s="518"/>
      <c r="T34" s="530"/>
      <c r="U34" s="530"/>
      <c r="V34" s="530"/>
      <c r="W34" s="530"/>
      <c r="X34" s="530"/>
      <c r="Y34" s="536"/>
      <c r="Z34" s="536"/>
      <c r="AA34" s="536"/>
      <c r="AB34" s="536"/>
      <c r="AC34" s="536"/>
      <c r="AD34" s="536"/>
    </row>
    <row r="35" spans="2:30" s="519" customFormat="1" ht="13" x14ac:dyDescent="0.15">
      <c r="B35" s="728"/>
      <c r="C35" s="827" t="s">
        <v>249</v>
      </c>
      <c r="D35" s="828"/>
      <c r="E35" s="520"/>
      <c r="F35" s="894" t="s">
        <v>250</v>
      </c>
      <c r="G35" s="895"/>
      <c r="H35" s="895"/>
      <c r="I35" s="895"/>
      <c r="J35" s="896"/>
      <c r="K35" s="520"/>
      <c r="L35" s="521" t="s">
        <v>217</v>
      </c>
      <c r="M35" s="522">
        <v>2</v>
      </c>
      <c r="N35" s="730">
        <f t="shared" si="0"/>
        <v>0</v>
      </c>
      <c r="O35" s="533"/>
      <c r="P35" s="518"/>
      <c r="Q35" s="518"/>
      <c r="R35" s="517"/>
      <c r="S35" s="517"/>
      <c r="T35" s="517"/>
      <c r="U35" s="517"/>
      <c r="V35" s="517"/>
      <c r="W35" s="517"/>
      <c r="X35" s="517"/>
      <c r="Y35" s="533"/>
      <c r="Z35" s="533"/>
      <c r="AA35" s="533"/>
      <c r="AB35" s="533"/>
      <c r="AC35" s="533"/>
      <c r="AD35" s="533"/>
    </row>
    <row r="36" spans="2:30" s="519" customFormat="1" ht="13" x14ac:dyDescent="0.15">
      <c r="B36" s="728"/>
      <c r="C36" s="825"/>
      <c r="D36" s="826"/>
      <c r="E36" s="520"/>
      <c r="F36" s="894" t="s">
        <v>251</v>
      </c>
      <c r="G36" s="895"/>
      <c r="H36" s="895"/>
      <c r="I36" s="895"/>
      <c r="J36" s="896"/>
      <c r="K36" s="520"/>
      <c r="L36" s="521" t="s">
        <v>217</v>
      </c>
      <c r="M36" s="522">
        <v>1</v>
      </c>
      <c r="N36" s="730">
        <f t="shared" si="0"/>
        <v>0</v>
      </c>
      <c r="O36" s="533"/>
      <c r="P36" s="518"/>
      <c r="Q36" s="518"/>
      <c r="R36" s="517"/>
      <c r="S36" s="517"/>
      <c r="T36" s="517"/>
      <c r="U36" s="517"/>
      <c r="V36" s="517"/>
      <c r="W36" s="517"/>
      <c r="X36" s="517"/>
      <c r="Y36" s="533"/>
      <c r="Z36" s="533"/>
      <c r="AA36" s="533"/>
      <c r="AB36" s="533"/>
      <c r="AC36" s="533"/>
      <c r="AD36" s="533"/>
    </row>
    <row r="37" spans="2:30" s="519" customFormat="1" ht="13" x14ac:dyDescent="0.15">
      <c r="B37" s="728"/>
      <c r="C37" s="825"/>
      <c r="D37" s="826"/>
      <c r="E37" s="520"/>
      <c r="F37" s="894" t="s">
        <v>252</v>
      </c>
      <c r="G37" s="895"/>
      <c r="H37" s="895"/>
      <c r="I37" s="895"/>
      <c r="J37" s="896"/>
      <c r="K37" s="520"/>
      <c r="L37" s="521" t="s">
        <v>227</v>
      </c>
      <c r="M37" s="522">
        <v>1.65</v>
      </c>
      <c r="N37" s="730">
        <f t="shared" si="0"/>
        <v>0</v>
      </c>
      <c r="O37" s="533"/>
      <c r="P37" s="518"/>
      <c r="Q37" s="518"/>
      <c r="R37" s="517"/>
      <c r="S37" s="517"/>
      <c r="T37" s="517"/>
      <c r="U37" s="517"/>
      <c r="V37" s="517"/>
      <c r="W37" s="517"/>
      <c r="X37" s="517"/>
      <c r="Y37" s="533"/>
      <c r="Z37" s="533"/>
      <c r="AA37" s="533"/>
      <c r="AB37" s="533"/>
      <c r="AC37" s="533"/>
      <c r="AD37" s="533"/>
    </row>
    <row r="38" spans="2:30" s="519" customFormat="1" ht="13" x14ac:dyDescent="0.15">
      <c r="B38" s="728"/>
      <c r="C38" s="825"/>
      <c r="D38" s="826"/>
      <c r="E38" s="520"/>
      <c r="F38" s="894" t="s">
        <v>253</v>
      </c>
      <c r="G38" s="895"/>
      <c r="H38" s="895"/>
      <c r="I38" s="895"/>
      <c r="J38" s="896"/>
      <c r="K38" s="520">
        <v>700</v>
      </c>
      <c r="L38" s="521" t="s">
        <v>217</v>
      </c>
      <c r="M38" s="522">
        <v>1.75</v>
      </c>
      <c r="N38" s="730">
        <f t="shared" si="0"/>
        <v>1225</v>
      </c>
      <c r="O38" s="533"/>
      <c r="Q38" s="518"/>
      <c r="R38" s="518"/>
      <c r="S38" s="518"/>
      <c r="T38" s="518"/>
      <c r="U38" s="518"/>
      <c r="V38" s="518"/>
      <c r="W38" s="518"/>
      <c r="X38" s="518"/>
    </row>
    <row r="39" spans="2:30" s="519" customFormat="1" ht="13" x14ac:dyDescent="0.15">
      <c r="B39" s="728"/>
      <c r="C39" s="825"/>
      <c r="D39" s="826"/>
      <c r="E39" s="520"/>
      <c r="F39" s="894" t="s">
        <v>254</v>
      </c>
      <c r="G39" s="895"/>
      <c r="H39" s="895"/>
      <c r="I39" s="895"/>
      <c r="J39" s="896"/>
      <c r="K39" s="520"/>
      <c r="L39" s="521" t="s">
        <v>217</v>
      </c>
      <c r="M39" s="522">
        <v>1</v>
      </c>
      <c r="N39" s="730">
        <f t="shared" si="0"/>
        <v>0</v>
      </c>
      <c r="O39" s="533"/>
      <c r="P39" s="518"/>
      <c r="Q39" s="518"/>
      <c r="R39" s="518"/>
      <c r="S39" s="518"/>
      <c r="T39" s="518"/>
      <c r="U39" s="518"/>
      <c r="V39" s="518"/>
      <c r="W39" s="518"/>
      <c r="X39" s="518"/>
    </row>
    <row r="40" spans="2:30" s="519" customFormat="1" ht="13" x14ac:dyDescent="0.15">
      <c r="B40" s="728"/>
      <c r="C40" s="829"/>
      <c r="D40" s="830"/>
      <c r="E40" s="520"/>
      <c r="F40" s="894" t="s">
        <v>255</v>
      </c>
      <c r="G40" s="895"/>
      <c r="H40" s="895"/>
      <c r="I40" s="895"/>
      <c r="J40" s="896"/>
      <c r="K40" s="520"/>
      <c r="L40" s="521" t="s">
        <v>217</v>
      </c>
      <c r="M40" s="522">
        <v>1</v>
      </c>
      <c r="N40" s="730">
        <f t="shared" si="0"/>
        <v>0</v>
      </c>
      <c r="O40" s="533"/>
      <c r="P40" s="518"/>
      <c r="Q40" s="518"/>
      <c r="R40" s="518"/>
      <c r="S40" s="518"/>
      <c r="T40" s="518"/>
      <c r="U40" s="518"/>
      <c r="V40" s="518"/>
      <c r="W40" s="518"/>
      <c r="X40" s="518"/>
    </row>
    <row r="41" spans="2:30" s="519" customFormat="1" ht="13" x14ac:dyDescent="0.15">
      <c r="B41" s="728"/>
      <c r="C41" s="827" t="s">
        <v>256</v>
      </c>
      <c r="D41" s="828"/>
      <c r="E41" s="520"/>
      <c r="F41" s="894" t="s">
        <v>257</v>
      </c>
      <c r="G41" s="895"/>
      <c r="H41" s="895"/>
      <c r="I41" s="895"/>
      <c r="J41" s="896"/>
      <c r="K41" s="520">
        <v>18</v>
      </c>
      <c r="L41" s="521" t="s">
        <v>222</v>
      </c>
      <c r="M41" s="522">
        <v>300</v>
      </c>
      <c r="N41" s="730">
        <f t="shared" si="0"/>
        <v>5400</v>
      </c>
      <c r="O41" s="533"/>
      <c r="P41" s="518"/>
      <c r="Q41" s="518"/>
      <c r="R41" s="518"/>
      <c r="S41" s="518"/>
      <c r="T41" s="518"/>
      <c r="U41" s="518"/>
      <c r="V41" s="518"/>
      <c r="W41" s="518"/>
      <c r="X41" s="518"/>
    </row>
    <row r="42" spans="2:30" s="519" customFormat="1" ht="13" x14ac:dyDescent="0.15">
      <c r="B42" s="728"/>
      <c r="C42" s="825"/>
      <c r="D42" s="826"/>
      <c r="E42" s="520"/>
      <c r="F42" s="894" t="s">
        <v>258</v>
      </c>
      <c r="G42" s="895"/>
      <c r="H42" s="895"/>
      <c r="I42" s="895"/>
      <c r="J42" s="896"/>
      <c r="K42" s="520"/>
      <c r="L42" s="521" t="s">
        <v>222</v>
      </c>
      <c r="M42" s="522">
        <v>450</v>
      </c>
      <c r="N42" s="730">
        <f t="shared" si="0"/>
        <v>0</v>
      </c>
      <c r="O42" s="533"/>
      <c r="P42" s="518"/>
      <c r="Q42" s="518"/>
      <c r="R42" s="518"/>
      <c r="S42" s="518"/>
      <c r="T42" s="518"/>
      <c r="U42" s="518"/>
      <c r="V42" s="518"/>
      <c r="W42" s="518"/>
      <c r="X42" s="518"/>
    </row>
    <row r="43" spans="2:30" s="519" customFormat="1" ht="13" x14ac:dyDescent="0.15">
      <c r="B43" s="728"/>
      <c r="C43" s="829"/>
      <c r="D43" s="830"/>
      <c r="E43" s="520"/>
      <c r="F43" s="894" t="s">
        <v>259</v>
      </c>
      <c r="G43" s="895"/>
      <c r="H43" s="895"/>
      <c r="I43" s="895"/>
      <c r="J43" s="896"/>
      <c r="K43" s="520"/>
      <c r="L43" s="521" t="s">
        <v>222</v>
      </c>
      <c r="M43" s="522">
        <v>850</v>
      </c>
      <c r="N43" s="730">
        <f t="shared" si="0"/>
        <v>0</v>
      </c>
      <c r="O43" s="533"/>
      <c r="P43" s="518"/>
      <c r="Q43" s="518"/>
      <c r="R43" s="518"/>
      <c r="S43" s="518"/>
      <c r="T43" s="518"/>
      <c r="U43" s="518"/>
      <c r="V43" s="518"/>
      <c r="W43" s="518"/>
      <c r="X43" s="518"/>
    </row>
    <row r="44" spans="2:30" s="519" customFormat="1" ht="13" x14ac:dyDescent="0.15">
      <c r="B44" s="728"/>
      <c r="C44" s="537"/>
      <c r="D44" s="537"/>
      <c r="E44" s="538"/>
      <c r="F44" s="831"/>
      <c r="G44" s="831"/>
      <c r="H44" s="831"/>
      <c r="I44" s="831"/>
      <c r="J44" s="831"/>
      <c r="K44" s="538"/>
      <c r="L44" s="539"/>
      <c r="M44" s="540"/>
      <c r="N44" s="732"/>
      <c r="O44" s="533"/>
      <c r="P44" s="518"/>
      <c r="Q44" s="518"/>
      <c r="R44" s="518"/>
      <c r="S44" s="518"/>
      <c r="T44" s="518"/>
      <c r="U44" s="518"/>
      <c r="V44" s="518"/>
      <c r="W44" s="518"/>
      <c r="X44" s="518"/>
    </row>
    <row r="45" spans="2:30" s="519" customFormat="1" ht="14" thickBot="1" x14ac:dyDescent="0.2">
      <c r="B45" s="733"/>
      <c r="C45" s="734"/>
      <c r="D45" s="734"/>
      <c r="E45" s="735"/>
      <c r="F45" s="736"/>
      <c r="G45" s="736"/>
      <c r="H45" s="736"/>
      <c r="I45" s="736"/>
      <c r="J45" s="736"/>
      <c r="K45" s="735"/>
      <c r="L45" s="737"/>
      <c r="M45" s="738"/>
      <c r="N45" s="739"/>
      <c r="O45" s="533"/>
      <c r="P45" s="518"/>
      <c r="Q45" s="518"/>
      <c r="R45" s="518"/>
      <c r="S45" s="518"/>
      <c r="T45" s="518"/>
      <c r="U45" s="518"/>
      <c r="V45" s="518"/>
      <c r="W45" s="518"/>
      <c r="X45" s="518"/>
    </row>
    <row r="46" spans="2:30" s="519" customFormat="1" ht="14" thickBot="1" x14ac:dyDescent="0.2">
      <c r="C46" s="537"/>
      <c r="D46" s="537"/>
      <c r="E46" s="533"/>
      <c r="F46" s="541"/>
      <c r="G46" s="541"/>
      <c r="H46" s="541"/>
      <c r="I46" s="541"/>
      <c r="J46" s="541"/>
      <c r="K46" s="533"/>
      <c r="L46" s="542"/>
      <c r="M46" s="543"/>
      <c r="N46" s="544"/>
      <c r="O46" s="533"/>
      <c r="P46" s="518"/>
      <c r="Q46" s="518"/>
      <c r="R46" s="518"/>
      <c r="S46" s="518"/>
      <c r="T46" s="518"/>
      <c r="U46" s="518"/>
      <c r="V46" s="518"/>
      <c r="W46" s="518"/>
      <c r="X46" s="518"/>
    </row>
    <row r="47" spans="2:30" s="499" customFormat="1" ht="20" x14ac:dyDescent="0.2">
      <c r="B47" s="719"/>
      <c r="C47" s="937" t="s">
        <v>260</v>
      </c>
      <c r="D47" s="937"/>
      <c r="E47" s="937"/>
      <c r="F47" s="937"/>
      <c r="G47" s="937"/>
      <c r="H47" s="937"/>
      <c r="I47" s="937"/>
      <c r="J47" s="937"/>
      <c r="K47" s="937"/>
      <c r="L47" s="937"/>
      <c r="M47" s="937"/>
      <c r="N47" s="938"/>
      <c r="P47" s="526"/>
      <c r="Q47" s="526"/>
      <c r="R47" s="526"/>
      <c r="S47" s="526"/>
      <c r="T47" s="526"/>
      <c r="U47" s="526"/>
      <c r="V47" s="526"/>
      <c r="W47" s="526"/>
      <c r="X47" s="526"/>
    </row>
    <row r="48" spans="2:30" s="519" customFormat="1" ht="14" customHeight="1" x14ac:dyDescent="0.15">
      <c r="B48" s="728"/>
      <c r="C48" s="939" t="s">
        <v>209</v>
      </c>
      <c r="D48" s="939"/>
      <c r="E48" s="832" t="s">
        <v>210</v>
      </c>
      <c r="F48" s="939" t="s">
        <v>211</v>
      </c>
      <c r="G48" s="939"/>
      <c r="H48" s="939"/>
      <c r="I48" s="939"/>
      <c r="J48" s="939"/>
      <c r="K48" s="832" t="s">
        <v>212</v>
      </c>
      <c r="L48" s="832" t="s">
        <v>213</v>
      </c>
      <c r="M48" s="832" t="s">
        <v>214</v>
      </c>
      <c r="N48" s="729" t="s">
        <v>83</v>
      </c>
      <c r="O48" s="517"/>
      <c r="P48" s="518"/>
      <c r="Q48" s="518"/>
      <c r="R48" s="518"/>
      <c r="S48" s="518"/>
      <c r="T48" s="518"/>
      <c r="U48" s="518"/>
      <c r="V48" s="518"/>
      <c r="W48" s="518"/>
      <c r="X48" s="518"/>
    </row>
    <row r="49" spans="2:24" s="519" customFormat="1" ht="13" x14ac:dyDescent="0.15">
      <c r="B49" s="728"/>
      <c r="C49" s="901" t="s">
        <v>261</v>
      </c>
      <c r="D49" s="902"/>
      <c r="E49" s="520"/>
      <c r="F49" s="894" t="s">
        <v>262</v>
      </c>
      <c r="G49" s="895"/>
      <c r="H49" s="895"/>
      <c r="I49" s="895"/>
      <c r="J49" s="896"/>
      <c r="K49" s="520"/>
      <c r="L49" s="521" t="s">
        <v>222</v>
      </c>
      <c r="M49" s="522">
        <v>775</v>
      </c>
      <c r="N49" s="730">
        <f>SUM(K49*M49)</f>
        <v>0</v>
      </c>
      <c r="P49" s="518"/>
      <c r="Q49" s="518"/>
      <c r="R49" s="518"/>
      <c r="S49" s="518"/>
      <c r="T49" s="518"/>
      <c r="U49" s="518"/>
      <c r="V49" s="518"/>
      <c r="W49" s="518"/>
      <c r="X49" s="518"/>
    </row>
    <row r="50" spans="2:24" s="519" customFormat="1" ht="13" x14ac:dyDescent="0.15">
      <c r="B50" s="728"/>
      <c r="C50" s="905"/>
      <c r="D50" s="906"/>
      <c r="E50" s="520"/>
      <c r="F50" s="894" t="s">
        <v>263</v>
      </c>
      <c r="G50" s="895"/>
      <c r="H50" s="895"/>
      <c r="I50" s="895"/>
      <c r="J50" s="896"/>
      <c r="K50" s="520"/>
      <c r="L50" s="521" t="s">
        <v>222</v>
      </c>
      <c r="M50" s="522">
        <v>1000</v>
      </c>
      <c r="N50" s="730">
        <f t="shared" ref="N50:N81" si="1">SUM(K50*M50)</f>
        <v>0</v>
      </c>
      <c r="P50" s="518"/>
      <c r="Q50" s="518"/>
      <c r="R50" s="518"/>
      <c r="S50" s="518"/>
      <c r="T50" s="518"/>
      <c r="U50" s="518"/>
      <c r="V50" s="518"/>
      <c r="W50" s="518"/>
      <c r="X50" s="518"/>
    </row>
    <row r="51" spans="2:24" s="519" customFormat="1" ht="13" x14ac:dyDescent="0.15">
      <c r="B51" s="728"/>
      <c r="C51" s="905"/>
      <c r="D51" s="906"/>
      <c r="E51" s="520"/>
      <c r="F51" s="894" t="s">
        <v>264</v>
      </c>
      <c r="G51" s="895"/>
      <c r="H51" s="895"/>
      <c r="I51" s="895"/>
      <c r="J51" s="896"/>
      <c r="K51" s="520"/>
      <c r="L51" s="521" t="s">
        <v>222</v>
      </c>
      <c r="M51" s="522">
        <v>225</v>
      </c>
      <c r="N51" s="730">
        <f t="shared" si="1"/>
        <v>0</v>
      </c>
      <c r="P51" s="518"/>
      <c r="Q51" s="518"/>
      <c r="R51" s="518"/>
      <c r="S51" s="518"/>
      <c r="T51" s="518"/>
      <c r="U51" s="518"/>
      <c r="V51" s="518"/>
      <c r="W51" s="518"/>
      <c r="X51" s="518"/>
    </row>
    <row r="52" spans="2:24" s="519" customFormat="1" ht="13" x14ac:dyDescent="0.15">
      <c r="B52" s="728"/>
      <c r="C52" s="905"/>
      <c r="D52" s="906"/>
      <c r="E52" s="520"/>
      <c r="F52" s="894" t="s">
        <v>265</v>
      </c>
      <c r="G52" s="895"/>
      <c r="H52" s="895"/>
      <c r="I52" s="895"/>
      <c r="J52" s="896"/>
      <c r="K52" s="520"/>
      <c r="L52" s="521" t="s">
        <v>217</v>
      </c>
      <c r="M52" s="522">
        <v>4</v>
      </c>
      <c r="N52" s="730">
        <f t="shared" si="1"/>
        <v>0</v>
      </c>
      <c r="P52" s="518"/>
      <c r="Q52" s="518"/>
      <c r="R52" s="518"/>
      <c r="S52" s="518"/>
      <c r="T52" s="518"/>
      <c r="U52" s="518"/>
      <c r="V52" s="518"/>
      <c r="W52" s="518"/>
      <c r="X52" s="518"/>
    </row>
    <row r="53" spans="2:24" s="519" customFormat="1" ht="13" x14ac:dyDescent="0.15">
      <c r="B53" s="728"/>
      <c r="C53" s="899"/>
      <c r="D53" s="900"/>
      <c r="E53" s="520"/>
      <c r="F53" s="894" t="s">
        <v>266</v>
      </c>
      <c r="G53" s="895"/>
      <c r="H53" s="895"/>
      <c r="I53" s="895"/>
      <c r="J53" s="896"/>
      <c r="K53" s="520"/>
      <c r="L53" s="521" t="s">
        <v>217</v>
      </c>
      <c r="M53" s="522">
        <v>30</v>
      </c>
      <c r="N53" s="730">
        <f t="shared" si="1"/>
        <v>0</v>
      </c>
      <c r="P53" s="518"/>
      <c r="Q53" s="518"/>
      <c r="R53" s="518"/>
      <c r="S53" s="518"/>
      <c r="T53" s="518"/>
      <c r="U53" s="518"/>
      <c r="V53" s="518"/>
      <c r="W53" s="518"/>
      <c r="X53" s="518"/>
    </row>
    <row r="54" spans="2:24" s="519" customFormat="1" ht="13" x14ac:dyDescent="0.15">
      <c r="B54" s="728"/>
      <c r="C54" s="901" t="s">
        <v>267</v>
      </c>
      <c r="D54" s="902"/>
      <c r="E54" s="520"/>
      <c r="F54" s="894" t="s">
        <v>268</v>
      </c>
      <c r="G54" s="895"/>
      <c r="H54" s="895"/>
      <c r="I54" s="895"/>
      <c r="J54" s="896"/>
      <c r="K54" s="520"/>
      <c r="L54" s="521" t="s">
        <v>240</v>
      </c>
      <c r="M54" s="522">
        <v>5000</v>
      </c>
      <c r="N54" s="730">
        <f t="shared" si="1"/>
        <v>0</v>
      </c>
      <c r="P54" s="518"/>
      <c r="Q54" s="518"/>
      <c r="R54" s="518"/>
      <c r="S54" s="518"/>
      <c r="T54" s="518"/>
      <c r="U54" s="518"/>
      <c r="V54" s="518"/>
      <c r="W54" s="518"/>
      <c r="X54" s="518"/>
    </row>
    <row r="55" spans="2:24" s="519" customFormat="1" ht="13" x14ac:dyDescent="0.15">
      <c r="B55" s="728"/>
      <c r="C55" s="905"/>
      <c r="D55" s="906"/>
      <c r="E55" s="520"/>
      <c r="F55" s="894" t="s">
        <v>269</v>
      </c>
      <c r="G55" s="895"/>
      <c r="H55" s="895"/>
      <c r="I55" s="895"/>
      <c r="J55" s="896"/>
      <c r="K55" s="520"/>
      <c r="L55" s="521" t="s">
        <v>240</v>
      </c>
      <c r="M55" s="522">
        <v>3500</v>
      </c>
      <c r="N55" s="730">
        <f t="shared" si="1"/>
        <v>0</v>
      </c>
      <c r="P55" s="518"/>
      <c r="Q55" s="518"/>
      <c r="R55" s="518"/>
      <c r="S55" s="518"/>
      <c r="T55" s="518"/>
      <c r="U55" s="518"/>
      <c r="V55" s="518"/>
      <c r="W55" s="518"/>
      <c r="X55" s="518"/>
    </row>
    <row r="56" spans="2:24" s="519" customFormat="1" ht="13" x14ac:dyDescent="0.15">
      <c r="B56" s="728"/>
      <c r="C56" s="905"/>
      <c r="D56" s="906"/>
      <c r="E56" s="520"/>
      <c r="F56" s="894" t="s">
        <v>270</v>
      </c>
      <c r="G56" s="895"/>
      <c r="H56" s="895"/>
      <c r="I56" s="895"/>
      <c r="J56" s="896"/>
      <c r="K56" s="520"/>
      <c r="L56" s="521" t="s">
        <v>240</v>
      </c>
      <c r="M56" s="522">
        <v>2000</v>
      </c>
      <c r="N56" s="730">
        <f t="shared" si="1"/>
        <v>0</v>
      </c>
      <c r="P56" s="518"/>
      <c r="Q56" s="518"/>
      <c r="R56" s="518"/>
      <c r="S56" s="518"/>
      <c r="T56" s="518"/>
      <c r="U56" s="518"/>
      <c r="V56" s="518"/>
      <c r="W56" s="518"/>
      <c r="X56" s="518"/>
    </row>
    <row r="57" spans="2:24" s="519" customFormat="1" ht="13" x14ac:dyDescent="0.15">
      <c r="B57" s="728"/>
      <c r="C57" s="905"/>
      <c r="D57" s="906"/>
      <c r="E57" s="520"/>
      <c r="F57" s="894" t="s">
        <v>271</v>
      </c>
      <c r="G57" s="895"/>
      <c r="H57" s="895"/>
      <c r="I57" s="895"/>
      <c r="J57" s="896"/>
      <c r="K57" s="520">
        <v>2</v>
      </c>
      <c r="L57" s="521" t="s">
        <v>240</v>
      </c>
      <c r="M57" s="522">
        <v>500</v>
      </c>
      <c r="N57" s="730">
        <f t="shared" si="1"/>
        <v>1000</v>
      </c>
      <c r="P57" s="518"/>
      <c r="Q57" s="518"/>
      <c r="R57" s="518"/>
      <c r="S57" s="518"/>
      <c r="T57" s="518"/>
      <c r="U57" s="518"/>
      <c r="V57" s="518"/>
      <c r="W57" s="518"/>
      <c r="X57" s="518"/>
    </row>
    <row r="58" spans="2:24" s="519" customFormat="1" ht="13" x14ac:dyDescent="0.15">
      <c r="B58" s="728"/>
      <c r="C58" s="905"/>
      <c r="D58" s="906"/>
      <c r="E58" s="520"/>
      <c r="F58" s="894" t="s">
        <v>272</v>
      </c>
      <c r="G58" s="895"/>
      <c r="H58" s="895"/>
      <c r="I58" s="895"/>
      <c r="J58" s="896"/>
      <c r="K58" s="520"/>
      <c r="L58" s="521" t="s">
        <v>222</v>
      </c>
      <c r="M58" s="522">
        <v>500</v>
      </c>
      <c r="N58" s="730">
        <f t="shared" si="1"/>
        <v>0</v>
      </c>
      <c r="P58" s="518"/>
      <c r="Q58" s="518"/>
      <c r="R58" s="518"/>
      <c r="S58" s="518"/>
      <c r="T58" s="518"/>
      <c r="U58" s="518"/>
      <c r="V58" s="518"/>
      <c r="W58" s="518"/>
      <c r="X58" s="518"/>
    </row>
    <row r="59" spans="2:24" s="519" customFormat="1" ht="13" x14ac:dyDescent="0.15">
      <c r="B59" s="728"/>
      <c r="C59" s="899"/>
      <c r="D59" s="900"/>
      <c r="E59" s="520"/>
      <c r="F59" s="894" t="s">
        <v>273</v>
      </c>
      <c r="G59" s="895"/>
      <c r="H59" s="895"/>
      <c r="I59" s="895"/>
      <c r="J59" s="896"/>
      <c r="K59" s="520"/>
      <c r="L59" s="521" t="s">
        <v>222</v>
      </c>
      <c r="M59" s="522">
        <v>130</v>
      </c>
      <c r="N59" s="730">
        <f t="shared" si="1"/>
        <v>0</v>
      </c>
      <c r="P59" s="518"/>
      <c r="Q59" s="518"/>
      <c r="R59" s="518"/>
      <c r="S59" s="518"/>
      <c r="T59" s="518"/>
      <c r="U59" s="518"/>
      <c r="V59" s="518"/>
      <c r="W59" s="518"/>
      <c r="X59" s="518"/>
    </row>
    <row r="60" spans="2:24" s="519" customFormat="1" ht="13" x14ac:dyDescent="0.15">
      <c r="B60" s="728"/>
      <c r="C60" s="901" t="s">
        <v>274</v>
      </c>
      <c r="D60" s="902"/>
      <c r="E60" s="520"/>
      <c r="F60" s="894" t="s">
        <v>275</v>
      </c>
      <c r="G60" s="895"/>
      <c r="H60" s="895"/>
      <c r="I60" s="895"/>
      <c r="J60" s="896"/>
      <c r="K60" s="520"/>
      <c r="L60" s="521" t="s">
        <v>217</v>
      </c>
      <c r="M60" s="522">
        <v>2</v>
      </c>
      <c r="N60" s="730">
        <f t="shared" si="1"/>
        <v>0</v>
      </c>
      <c r="P60" s="518"/>
      <c r="Q60" s="518"/>
      <c r="R60" s="518"/>
      <c r="S60" s="518"/>
      <c r="T60" s="518"/>
      <c r="U60" s="518"/>
      <c r="V60" s="518"/>
      <c r="W60" s="518"/>
      <c r="X60" s="518"/>
    </row>
    <row r="61" spans="2:24" s="519" customFormat="1" ht="13" x14ac:dyDescent="0.15">
      <c r="B61" s="728"/>
      <c r="C61" s="905"/>
      <c r="D61" s="906"/>
      <c r="E61" s="520"/>
      <c r="F61" s="894" t="s">
        <v>276</v>
      </c>
      <c r="G61" s="895"/>
      <c r="H61" s="895"/>
      <c r="I61" s="895"/>
      <c r="J61" s="896"/>
      <c r="K61" s="520"/>
      <c r="L61" s="521" t="s">
        <v>217</v>
      </c>
      <c r="M61" s="522">
        <v>7</v>
      </c>
      <c r="N61" s="730">
        <f t="shared" si="1"/>
        <v>0</v>
      </c>
      <c r="P61" s="518"/>
      <c r="Q61" s="518"/>
      <c r="R61" s="518"/>
      <c r="S61" s="518"/>
      <c r="T61" s="518"/>
      <c r="U61" s="518"/>
      <c r="V61" s="518"/>
      <c r="W61" s="518"/>
      <c r="X61" s="518"/>
    </row>
    <row r="62" spans="2:24" s="519" customFormat="1" ht="13" x14ac:dyDescent="0.15">
      <c r="B62" s="728"/>
      <c r="C62" s="905"/>
      <c r="D62" s="906"/>
      <c r="E62" s="520"/>
      <c r="F62" s="894" t="s">
        <v>277</v>
      </c>
      <c r="G62" s="895"/>
      <c r="H62" s="895"/>
      <c r="I62" s="895"/>
      <c r="J62" s="896"/>
      <c r="K62" s="520">
        <v>500</v>
      </c>
      <c r="L62" s="521" t="s">
        <v>217</v>
      </c>
      <c r="M62" s="522">
        <v>4</v>
      </c>
      <c r="N62" s="730">
        <f t="shared" si="1"/>
        <v>2000</v>
      </c>
      <c r="P62" s="518"/>
      <c r="Q62" s="518"/>
      <c r="R62" s="518"/>
      <c r="S62" s="518"/>
      <c r="T62" s="518"/>
      <c r="U62" s="518"/>
      <c r="V62" s="518"/>
      <c r="W62" s="518"/>
      <c r="X62" s="518"/>
    </row>
    <row r="63" spans="2:24" s="519" customFormat="1" ht="13" x14ac:dyDescent="0.15">
      <c r="B63" s="728"/>
      <c r="C63" s="899"/>
      <c r="D63" s="900"/>
      <c r="E63" s="520"/>
      <c r="F63" s="894" t="s">
        <v>278</v>
      </c>
      <c r="G63" s="895"/>
      <c r="H63" s="895"/>
      <c r="I63" s="895"/>
      <c r="J63" s="896"/>
      <c r="K63" s="520"/>
      <c r="L63" s="521" t="s">
        <v>217</v>
      </c>
      <c r="M63" s="522">
        <v>2</v>
      </c>
      <c r="N63" s="730">
        <f t="shared" si="1"/>
        <v>0</v>
      </c>
      <c r="P63" s="518"/>
      <c r="Q63" s="518"/>
      <c r="R63" s="518"/>
      <c r="S63" s="518"/>
      <c r="T63" s="518"/>
      <c r="U63" s="518"/>
      <c r="V63" s="518"/>
      <c r="W63" s="518"/>
      <c r="X63" s="518"/>
    </row>
    <row r="64" spans="2:24" s="519" customFormat="1" ht="13" x14ac:dyDescent="0.15">
      <c r="B64" s="728"/>
      <c r="C64" s="901" t="s">
        <v>279</v>
      </c>
      <c r="D64" s="902"/>
      <c r="E64" s="520"/>
      <c r="F64" s="894" t="s">
        <v>280</v>
      </c>
      <c r="G64" s="895"/>
      <c r="H64" s="895"/>
      <c r="I64" s="895"/>
      <c r="J64" s="896"/>
      <c r="K64" s="520"/>
      <c r="L64" s="521" t="s">
        <v>222</v>
      </c>
      <c r="M64" s="522">
        <v>3000</v>
      </c>
      <c r="N64" s="730">
        <f t="shared" si="1"/>
        <v>0</v>
      </c>
      <c r="P64" s="518"/>
      <c r="Q64" s="518"/>
      <c r="R64" s="518"/>
      <c r="S64" s="518"/>
      <c r="T64" s="518"/>
      <c r="U64" s="518"/>
      <c r="V64" s="518"/>
      <c r="W64" s="518"/>
      <c r="X64" s="518"/>
    </row>
    <row r="65" spans="2:24" s="519" customFormat="1" ht="13" x14ac:dyDescent="0.15">
      <c r="B65" s="728"/>
      <c r="C65" s="905"/>
      <c r="D65" s="906"/>
      <c r="E65" s="520"/>
      <c r="F65" s="894" t="s">
        <v>281</v>
      </c>
      <c r="G65" s="895"/>
      <c r="H65" s="895"/>
      <c r="I65" s="895"/>
      <c r="J65" s="896"/>
      <c r="K65" s="520"/>
      <c r="L65" s="521" t="s">
        <v>222</v>
      </c>
      <c r="M65" s="522">
        <v>2000</v>
      </c>
      <c r="N65" s="730">
        <f t="shared" si="1"/>
        <v>0</v>
      </c>
      <c r="P65" s="518"/>
      <c r="Q65" s="518"/>
      <c r="R65" s="518"/>
      <c r="S65" s="518"/>
      <c r="T65" s="518"/>
      <c r="U65" s="518"/>
      <c r="V65" s="518"/>
      <c r="W65" s="518"/>
      <c r="X65" s="518"/>
    </row>
    <row r="66" spans="2:24" s="519" customFormat="1" ht="13" x14ac:dyDescent="0.15">
      <c r="B66" s="728"/>
      <c r="C66" s="905"/>
      <c r="D66" s="906"/>
      <c r="E66" s="520"/>
      <c r="F66" s="894" t="s">
        <v>282</v>
      </c>
      <c r="G66" s="895"/>
      <c r="H66" s="895"/>
      <c r="I66" s="895"/>
      <c r="J66" s="896"/>
      <c r="K66" s="520"/>
      <c r="L66" s="521" t="s">
        <v>217</v>
      </c>
      <c r="M66" s="522">
        <v>15</v>
      </c>
      <c r="N66" s="730">
        <f t="shared" si="1"/>
        <v>0</v>
      </c>
      <c r="P66" s="518"/>
      <c r="Q66" s="518"/>
      <c r="R66" s="518"/>
      <c r="S66" s="518"/>
      <c r="T66" s="518"/>
      <c r="U66" s="518"/>
      <c r="V66" s="518"/>
      <c r="W66" s="518"/>
      <c r="X66" s="518"/>
    </row>
    <row r="67" spans="2:24" s="519" customFormat="1" ht="13" x14ac:dyDescent="0.15">
      <c r="B67" s="728"/>
      <c r="C67" s="905"/>
      <c r="D67" s="906"/>
      <c r="E67" s="520"/>
      <c r="F67" s="894" t="s">
        <v>283</v>
      </c>
      <c r="G67" s="895"/>
      <c r="H67" s="895"/>
      <c r="I67" s="895"/>
      <c r="J67" s="896"/>
      <c r="K67" s="520"/>
      <c r="L67" s="521" t="s">
        <v>217</v>
      </c>
      <c r="M67" s="522">
        <v>19</v>
      </c>
      <c r="N67" s="730">
        <f t="shared" si="1"/>
        <v>0</v>
      </c>
      <c r="P67" s="518"/>
      <c r="Q67" s="518"/>
      <c r="R67" s="518"/>
      <c r="S67" s="518"/>
      <c r="T67" s="518"/>
      <c r="U67" s="518"/>
      <c r="V67" s="518"/>
      <c r="W67" s="518"/>
      <c r="X67" s="518"/>
    </row>
    <row r="68" spans="2:24" s="519" customFormat="1" ht="13" x14ac:dyDescent="0.15">
      <c r="B68" s="728"/>
      <c r="C68" s="905"/>
      <c r="D68" s="906"/>
      <c r="E68" s="520"/>
      <c r="F68" s="894" t="s">
        <v>284</v>
      </c>
      <c r="G68" s="895"/>
      <c r="H68" s="895"/>
      <c r="I68" s="895"/>
      <c r="J68" s="896"/>
      <c r="K68" s="520"/>
      <c r="L68" s="521" t="s">
        <v>217</v>
      </c>
      <c r="M68" s="522">
        <v>7</v>
      </c>
      <c r="N68" s="730">
        <f t="shared" si="1"/>
        <v>0</v>
      </c>
      <c r="P68" s="518"/>
      <c r="Q68" s="518"/>
      <c r="R68" s="518"/>
      <c r="S68" s="518"/>
      <c r="T68" s="518"/>
      <c r="U68" s="518"/>
      <c r="V68" s="518"/>
      <c r="W68" s="518"/>
      <c r="X68" s="518"/>
    </row>
    <row r="69" spans="2:24" s="519" customFormat="1" ht="13" x14ac:dyDescent="0.15">
      <c r="B69" s="728"/>
      <c r="C69" s="905"/>
      <c r="D69" s="906"/>
      <c r="E69" s="520"/>
      <c r="F69" s="894" t="s">
        <v>285</v>
      </c>
      <c r="G69" s="895"/>
      <c r="H69" s="895"/>
      <c r="I69" s="895"/>
      <c r="J69" s="896"/>
      <c r="K69" s="520"/>
      <c r="L69" s="521" t="s">
        <v>217</v>
      </c>
      <c r="M69" s="522">
        <v>2</v>
      </c>
      <c r="N69" s="730">
        <f t="shared" si="1"/>
        <v>0</v>
      </c>
      <c r="P69" s="518"/>
      <c r="Q69" s="518"/>
      <c r="R69" s="518"/>
      <c r="S69" s="518"/>
      <c r="T69" s="518"/>
      <c r="U69" s="518"/>
      <c r="V69" s="518"/>
      <c r="W69" s="518"/>
      <c r="X69" s="518"/>
    </row>
    <row r="70" spans="2:24" s="519" customFormat="1" ht="13" x14ac:dyDescent="0.15">
      <c r="B70" s="728"/>
      <c r="C70" s="905"/>
      <c r="D70" s="906"/>
      <c r="E70" s="520"/>
      <c r="F70" s="894" t="s">
        <v>286</v>
      </c>
      <c r="G70" s="895"/>
      <c r="H70" s="895"/>
      <c r="I70" s="895"/>
      <c r="J70" s="896"/>
      <c r="K70" s="520"/>
      <c r="L70" s="521" t="s">
        <v>227</v>
      </c>
      <c r="M70" s="522">
        <v>20</v>
      </c>
      <c r="N70" s="730">
        <f t="shared" si="1"/>
        <v>0</v>
      </c>
      <c r="P70" s="518"/>
      <c r="Q70" s="518"/>
      <c r="R70" s="518"/>
      <c r="S70" s="518"/>
      <c r="T70" s="518"/>
      <c r="U70" s="518"/>
      <c r="V70" s="518"/>
      <c r="W70" s="518"/>
      <c r="X70" s="518"/>
    </row>
    <row r="71" spans="2:24" s="519" customFormat="1" ht="13" x14ac:dyDescent="0.15">
      <c r="B71" s="728"/>
      <c r="C71" s="899"/>
      <c r="D71" s="900"/>
      <c r="E71" s="520"/>
      <c r="F71" s="894" t="s">
        <v>287</v>
      </c>
      <c r="G71" s="895"/>
      <c r="H71" s="895"/>
      <c r="I71" s="895"/>
      <c r="J71" s="896"/>
      <c r="K71" s="520"/>
      <c r="L71" s="521" t="s">
        <v>227</v>
      </c>
      <c r="M71" s="522">
        <v>40</v>
      </c>
      <c r="N71" s="730">
        <f t="shared" si="1"/>
        <v>0</v>
      </c>
      <c r="P71" s="518"/>
      <c r="Q71" s="518"/>
      <c r="R71" s="518"/>
      <c r="S71" s="518"/>
      <c r="T71" s="518"/>
      <c r="U71" s="518"/>
      <c r="V71" s="518"/>
      <c r="W71" s="518"/>
      <c r="X71" s="518"/>
    </row>
    <row r="72" spans="2:24" s="519" customFormat="1" ht="13" x14ac:dyDescent="0.15">
      <c r="B72" s="728"/>
      <c r="C72" s="901" t="s">
        <v>288</v>
      </c>
      <c r="D72" s="902"/>
      <c r="E72" s="520"/>
      <c r="F72" s="894" t="s">
        <v>289</v>
      </c>
      <c r="G72" s="895"/>
      <c r="H72" s="895"/>
      <c r="I72" s="895"/>
      <c r="J72" s="896"/>
      <c r="K72" s="520"/>
      <c r="L72" s="521" t="s">
        <v>222</v>
      </c>
      <c r="M72" s="522">
        <v>2500</v>
      </c>
      <c r="N72" s="730">
        <f t="shared" si="1"/>
        <v>0</v>
      </c>
      <c r="P72" s="518"/>
      <c r="Q72" s="518"/>
      <c r="R72" s="518"/>
      <c r="S72" s="518"/>
      <c r="T72" s="518"/>
      <c r="U72" s="518"/>
      <c r="V72" s="518"/>
      <c r="W72" s="518"/>
      <c r="X72" s="518"/>
    </row>
    <row r="73" spans="2:24" s="519" customFormat="1" ht="13" x14ac:dyDescent="0.15">
      <c r="B73" s="728"/>
      <c r="C73" s="899"/>
      <c r="D73" s="900"/>
      <c r="E73" s="520"/>
      <c r="F73" s="894" t="s">
        <v>290</v>
      </c>
      <c r="G73" s="895"/>
      <c r="H73" s="895"/>
      <c r="I73" s="895"/>
      <c r="J73" s="896"/>
      <c r="K73" s="520"/>
      <c r="L73" s="521" t="s">
        <v>222</v>
      </c>
      <c r="M73" s="522">
        <v>2000</v>
      </c>
      <c r="N73" s="730">
        <f t="shared" si="1"/>
        <v>0</v>
      </c>
      <c r="P73" s="518"/>
      <c r="Q73" s="518"/>
      <c r="R73" s="518"/>
      <c r="S73" s="518"/>
      <c r="T73" s="518"/>
      <c r="U73" s="518"/>
      <c r="V73" s="518"/>
      <c r="W73" s="518"/>
      <c r="X73" s="518"/>
    </row>
    <row r="74" spans="2:24" s="519" customFormat="1" ht="13" x14ac:dyDescent="0.15">
      <c r="B74" s="728"/>
      <c r="C74" s="901" t="s">
        <v>291</v>
      </c>
      <c r="D74" s="902"/>
      <c r="E74" s="520"/>
      <c r="F74" s="894" t="s">
        <v>292</v>
      </c>
      <c r="G74" s="895"/>
      <c r="H74" s="895"/>
      <c r="I74" s="895"/>
      <c r="J74" s="896"/>
      <c r="K74" s="520"/>
      <c r="L74" s="521" t="s">
        <v>227</v>
      </c>
      <c r="M74" s="522">
        <v>15</v>
      </c>
      <c r="N74" s="730">
        <f t="shared" si="1"/>
        <v>0</v>
      </c>
      <c r="P74" s="518"/>
      <c r="Q74" s="518"/>
      <c r="R74" s="518"/>
      <c r="S74" s="518"/>
      <c r="T74" s="518"/>
      <c r="U74" s="518"/>
      <c r="V74" s="518"/>
      <c r="W74" s="518"/>
      <c r="X74" s="518"/>
    </row>
    <row r="75" spans="2:24" s="519" customFormat="1" ht="13" x14ac:dyDescent="0.15">
      <c r="B75" s="728"/>
      <c r="C75" s="905"/>
      <c r="D75" s="906"/>
      <c r="E75" s="520"/>
      <c r="F75" s="894" t="s">
        <v>293</v>
      </c>
      <c r="G75" s="895"/>
      <c r="H75" s="895"/>
      <c r="I75" s="895"/>
      <c r="J75" s="896"/>
      <c r="K75" s="520"/>
      <c r="L75" s="521" t="s">
        <v>227</v>
      </c>
      <c r="M75" s="522">
        <v>45</v>
      </c>
      <c r="N75" s="730">
        <f t="shared" si="1"/>
        <v>0</v>
      </c>
      <c r="P75" s="518"/>
      <c r="Q75" s="518"/>
      <c r="R75" s="518"/>
      <c r="S75" s="518"/>
      <c r="T75" s="518"/>
      <c r="U75" s="518"/>
      <c r="V75" s="518"/>
      <c r="W75" s="518"/>
      <c r="X75" s="518"/>
    </row>
    <row r="76" spans="2:24" s="519" customFormat="1" ht="13" x14ac:dyDescent="0.15">
      <c r="B76" s="728"/>
      <c r="C76" s="899"/>
      <c r="D76" s="900"/>
      <c r="E76" s="520"/>
      <c r="F76" s="894" t="s">
        <v>294</v>
      </c>
      <c r="G76" s="895"/>
      <c r="H76" s="895"/>
      <c r="I76" s="895"/>
      <c r="J76" s="896"/>
      <c r="K76" s="520"/>
      <c r="L76" s="521" t="s">
        <v>227</v>
      </c>
      <c r="M76" s="522">
        <v>8</v>
      </c>
      <c r="N76" s="730">
        <f t="shared" si="1"/>
        <v>0</v>
      </c>
      <c r="P76" s="518"/>
      <c r="Q76" s="518"/>
      <c r="R76" s="518"/>
      <c r="S76" s="518"/>
      <c r="T76" s="518"/>
      <c r="U76" s="518"/>
      <c r="V76" s="518"/>
      <c r="W76" s="518"/>
      <c r="X76" s="518"/>
    </row>
    <row r="77" spans="2:24" s="519" customFormat="1" ht="13" x14ac:dyDescent="0.15">
      <c r="B77" s="728"/>
      <c r="C77" s="901" t="s">
        <v>295</v>
      </c>
      <c r="D77" s="902"/>
      <c r="E77" s="520"/>
      <c r="F77" s="907" t="s">
        <v>296</v>
      </c>
      <c r="G77" s="908"/>
      <c r="H77" s="908"/>
      <c r="I77" s="908"/>
      <c r="J77" s="909"/>
      <c r="K77" s="625"/>
      <c r="L77" s="626" t="s">
        <v>222</v>
      </c>
      <c r="M77" s="627">
        <v>10000</v>
      </c>
      <c r="N77" s="730">
        <f t="shared" si="1"/>
        <v>0</v>
      </c>
      <c r="P77" s="518"/>
      <c r="Q77" s="518"/>
      <c r="R77" s="518"/>
      <c r="S77" s="518"/>
      <c r="T77" s="518"/>
      <c r="U77" s="518"/>
      <c r="V77" s="518"/>
      <c r="W77" s="518"/>
      <c r="X77" s="518"/>
    </row>
    <row r="78" spans="2:24" s="519" customFormat="1" ht="13" x14ac:dyDescent="0.15">
      <c r="B78" s="728"/>
      <c r="C78" s="951" t="s">
        <v>297</v>
      </c>
      <c r="D78" s="963"/>
      <c r="E78" s="520"/>
      <c r="F78" s="894" t="s">
        <v>298</v>
      </c>
      <c r="G78" s="895"/>
      <c r="H78" s="895"/>
      <c r="I78" s="895"/>
      <c r="J78" s="896"/>
      <c r="K78" s="520"/>
      <c r="L78" s="521" t="s">
        <v>222</v>
      </c>
      <c r="M78" s="522">
        <v>4500</v>
      </c>
      <c r="N78" s="730">
        <f t="shared" si="1"/>
        <v>0</v>
      </c>
      <c r="P78" s="518"/>
      <c r="Q78" s="518"/>
      <c r="R78" s="518"/>
      <c r="S78" s="518"/>
      <c r="T78" s="518"/>
      <c r="U78" s="518"/>
      <c r="V78" s="518"/>
      <c r="W78" s="518"/>
      <c r="X78" s="518"/>
    </row>
    <row r="79" spans="2:24" s="519" customFormat="1" ht="13" x14ac:dyDescent="0.15">
      <c r="B79" s="728"/>
      <c r="C79" s="901" t="s">
        <v>299</v>
      </c>
      <c r="D79" s="902"/>
      <c r="E79" s="520"/>
      <c r="F79" s="907" t="s">
        <v>300</v>
      </c>
      <c r="G79" s="908"/>
      <c r="H79" s="908"/>
      <c r="I79" s="908"/>
      <c r="J79" s="909"/>
      <c r="K79" s="625"/>
      <c r="L79" s="626" t="s">
        <v>222</v>
      </c>
      <c r="M79" s="627">
        <v>15000</v>
      </c>
      <c r="N79" s="730">
        <f t="shared" si="1"/>
        <v>0</v>
      </c>
      <c r="P79" s="518"/>
      <c r="Q79" s="518"/>
      <c r="R79" s="518"/>
      <c r="S79" s="518"/>
      <c r="T79" s="518"/>
      <c r="U79" s="518"/>
      <c r="V79" s="518"/>
      <c r="W79" s="518"/>
      <c r="X79" s="518"/>
    </row>
    <row r="80" spans="2:24" s="519" customFormat="1" ht="13" x14ac:dyDescent="0.15">
      <c r="B80" s="728"/>
      <c r="C80" s="903" t="s">
        <v>218</v>
      </c>
      <c r="D80" s="904"/>
      <c r="E80" s="520"/>
      <c r="F80" s="907" t="s">
        <v>301</v>
      </c>
      <c r="G80" s="908"/>
      <c r="H80" s="908"/>
      <c r="I80" s="908"/>
      <c r="J80" s="909"/>
      <c r="K80" s="625"/>
      <c r="L80" s="626" t="s">
        <v>222</v>
      </c>
      <c r="M80" s="627">
        <v>5500</v>
      </c>
      <c r="N80" s="730">
        <f t="shared" si="1"/>
        <v>0</v>
      </c>
      <c r="P80" s="518"/>
      <c r="Q80" s="518"/>
      <c r="R80" s="518"/>
      <c r="S80" s="518"/>
      <c r="T80" s="518"/>
      <c r="U80" s="518"/>
      <c r="V80" s="518"/>
      <c r="W80" s="518"/>
      <c r="X80" s="518"/>
    </row>
    <row r="81" spans="2:24" s="519" customFormat="1" ht="13" x14ac:dyDescent="0.15">
      <c r="B81" s="728"/>
      <c r="C81" s="960"/>
      <c r="D81" s="912"/>
      <c r="E81" s="520"/>
      <c r="F81" s="907" t="s">
        <v>302</v>
      </c>
      <c r="G81" s="908"/>
      <c r="H81" s="908"/>
      <c r="I81" s="908"/>
      <c r="J81" s="909"/>
      <c r="K81" s="625"/>
      <c r="L81" s="626" t="s">
        <v>222</v>
      </c>
      <c r="M81" s="627">
        <v>3000</v>
      </c>
      <c r="N81" s="730">
        <f t="shared" si="1"/>
        <v>0</v>
      </c>
      <c r="P81" s="518"/>
      <c r="Q81" s="518"/>
      <c r="R81" s="518"/>
      <c r="S81" s="518"/>
      <c r="T81" s="518"/>
      <c r="U81" s="518"/>
      <c r="V81" s="518"/>
      <c r="W81" s="518"/>
      <c r="X81" s="518"/>
    </row>
    <row r="82" spans="2:24" s="499" customFormat="1" x14ac:dyDescent="0.2">
      <c r="B82" s="722"/>
      <c r="C82" s="549"/>
      <c r="D82" s="549"/>
      <c r="E82" s="498"/>
      <c r="F82" s="549"/>
      <c r="G82" s="498"/>
      <c r="H82" s="498"/>
      <c r="I82" s="550"/>
      <c r="N82" s="740"/>
      <c r="P82" s="526"/>
      <c r="Q82" s="526"/>
      <c r="R82" s="526"/>
      <c r="S82" s="526"/>
      <c r="T82" s="526"/>
      <c r="U82" s="526"/>
      <c r="V82" s="526"/>
      <c r="W82" s="526"/>
      <c r="X82" s="526"/>
    </row>
    <row r="83" spans="2:24" s="499" customFormat="1" x14ac:dyDescent="0.2">
      <c r="B83" s="722"/>
      <c r="C83" s="922" t="s">
        <v>303</v>
      </c>
      <c r="D83" s="922"/>
      <c r="E83" s="922"/>
      <c r="F83" s="922"/>
      <c r="G83" s="922"/>
      <c r="H83" s="922"/>
      <c r="I83" s="922"/>
      <c r="J83" s="922"/>
      <c r="K83" s="922"/>
      <c r="L83" s="922"/>
      <c r="M83" s="922"/>
      <c r="N83" s="923"/>
      <c r="P83" s="526"/>
      <c r="Q83" s="526"/>
      <c r="R83" s="526"/>
      <c r="S83" s="526"/>
      <c r="T83" s="526"/>
      <c r="U83" s="526"/>
      <c r="V83" s="526"/>
      <c r="W83" s="526"/>
      <c r="X83" s="526"/>
    </row>
    <row r="84" spans="2:24" s="499" customFormat="1" x14ac:dyDescent="0.2">
      <c r="B84" s="722"/>
      <c r="C84" s="961"/>
      <c r="D84" s="961"/>
      <c r="E84" s="961"/>
      <c r="F84" s="961"/>
      <c r="G84" s="961"/>
      <c r="H84" s="961"/>
      <c r="I84" s="961"/>
      <c r="J84" s="961"/>
      <c r="K84" s="961"/>
      <c r="L84" s="961"/>
      <c r="M84" s="961"/>
      <c r="N84" s="962"/>
      <c r="P84" s="526"/>
      <c r="Q84" s="526"/>
      <c r="R84" s="526"/>
      <c r="S84" s="526"/>
      <c r="T84" s="526"/>
      <c r="U84" s="526"/>
      <c r="V84" s="526"/>
      <c r="W84" s="526"/>
      <c r="X84" s="526"/>
    </row>
    <row r="85" spans="2:24" s="499" customFormat="1" x14ac:dyDescent="0.2">
      <c r="B85" s="722"/>
      <c r="C85" s="958"/>
      <c r="D85" s="958"/>
      <c r="E85" s="958"/>
      <c r="F85" s="958"/>
      <c r="G85" s="958"/>
      <c r="H85" s="958"/>
      <c r="I85" s="958"/>
      <c r="J85" s="958"/>
      <c r="K85" s="958"/>
      <c r="L85" s="958"/>
      <c r="M85" s="958"/>
      <c r="N85" s="959"/>
      <c r="P85" s="526"/>
      <c r="Q85" s="526"/>
      <c r="R85" s="526"/>
      <c r="S85" s="526"/>
      <c r="T85" s="526"/>
      <c r="U85" s="526"/>
      <c r="V85" s="526"/>
      <c r="W85" s="526"/>
      <c r="X85" s="526"/>
    </row>
    <row r="86" spans="2:24" s="499" customFormat="1" x14ac:dyDescent="0.2">
      <c r="B86" s="722"/>
      <c r="C86" s="958"/>
      <c r="D86" s="958"/>
      <c r="E86" s="958"/>
      <c r="F86" s="958"/>
      <c r="G86" s="958"/>
      <c r="H86" s="958"/>
      <c r="I86" s="958"/>
      <c r="J86" s="958"/>
      <c r="K86" s="958"/>
      <c r="L86" s="958"/>
      <c r="M86" s="958"/>
      <c r="N86" s="959"/>
      <c r="P86" s="526"/>
      <c r="Q86" s="526"/>
      <c r="R86" s="526"/>
      <c r="S86" s="526"/>
      <c r="T86" s="526"/>
      <c r="U86" s="526"/>
      <c r="V86" s="526"/>
      <c r="W86" s="526"/>
      <c r="X86" s="526"/>
    </row>
    <row r="87" spans="2:24" s="499" customFormat="1" x14ac:dyDescent="0.2">
      <c r="B87" s="722"/>
      <c r="C87" s="958"/>
      <c r="D87" s="958"/>
      <c r="E87" s="958"/>
      <c r="F87" s="958"/>
      <c r="G87" s="958"/>
      <c r="H87" s="958"/>
      <c r="I87" s="958"/>
      <c r="J87" s="958"/>
      <c r="K87" s="958"/>
      <c r="L87" s="958"/>
      <c r="M87" s="958"/>
      <c r="N87" s="959"/>
      <c r="P87" s="526"/>
      <c r="Q87" s="526"/>
      <c r="R87" s="526"/>
      <c r="S87" s="526"/>
      <c r="T87" s="526"/>
      <c r="U87" s="526"/>
      <c r="V87" s="526"/>
      <c r="W87" s="526"/>
      <c r="X87" s="526"/>
    </row>
    <row r="88" spans="2:24" s="499" customFormat="1" x14ac:dyDescent="0.2">
      <c r="B88" s="722"/>
      <c r="C88" s="958"/>
      <c r="D88" s="958"/>
      <c r="E88" s="958"/>
      <c r="F88" s="958"/>
      <c r="G88" s="958"/>
      <c r="H88" s="958"/>
      <c r="I88" s="958"/>
      <c r="J88" s="958"/>
      <c r="K88" s="958"/>
      <c r="L88" s="958"/>
      <c r="M88" s="958"/>
      <c r="N88" s="959"/>
      <c r="P88" s="526"/>
      <c r="Q88" s="526"/>
      <c r="R88" s="526"/>
      <c r="S88" s="526"/>
      <c r="T88" s="526"/>
      <c r="U88" s="526"/>
      <c r="V88" s="526"/>
      <c r="W88" s="526"/>
      <c r="X88" s="526"/>
    </row>
    <row r="89" spans="2:24" s="499" customFormat="1" x14ac:dyDescent="0.2">
      <c r="B89" s="722"/>
      <c r="C89" s="958"/>
      <c r="D89" s="958"/>
      <c r="E89" s="958"/>
      <c r="F89" s="958"/>
      <c r="G89" s="958"/>
      <c r="H89" s="958"/>
      <c r="I89" s="958"/>
      <c r="J89" s="958"/>
      <c r="K89" s="958"/>
      <c r="L89" s="958"/>
      <c r="M89" s="958"/>
      <c r="N89" s="959"/>
      <c r="P89" s="526"/>
      <c r="Q89" s="526"/>
      <c r="R89" s="526"/>
      <c r="S89" s="526"/>
      <c r="T89" s="526"/>
      <c r="U89" s="526"/>
      <c r="V89" s="526"/>
      <c r="W89" s="526"/>
      <c r="X89" s="526"/>
    </row>
    <row r="90" spans="2:24" s="499" customFormat="1" x14ac:dyDescent="0.2">
      <c r="B90" s="722"/>
      <c r="C90" s="958"/>
      <c r="D90" s="958"/>
      <c r="E90" s="958"/>
      <c r="F90" s="958"/>
      <c r="G90" s="958"/>
      <c r="H90" s="958"/>
      <c r="I90" s="958"/>
      <c r="J90" s="958"/>
      <c r="K90" s="958"/>
      <c r="L90" s="958"/>
      <c r="M90" s="958"/>
      <c r="N90" s="959"/>
      <c r="P90" s="526"/>
      <c r="Q90" s="526"/>
      <c r="R90" s="526"/>
      <c r="S90" s="526"/>
      <c r="T90" s="526"/>
      <c r="U90" s="526"/>
      <c r="V90" s="526"/>
      <c r="W90" s="526"/>
      <c r="X90" s="526"/>
    </row>
    <row r="91" spans="2:24" s="499" customFormat="1" x14ac:dyDescent="0.2">
      <c r="B91" s="722"/>
      <c r="C91" s="958"/>
      <c r="D91" s="958"/>
      <c r="E91" s="958"/>
      <c r="F91" s="958"/>
      <c r="G91" s="958"/>
      <c r="H91" s="958"/>
      <c r="I91" s="958"/>
      <c r="J91" s="958"/>
      <c r="K91" s="958"/>
      <c r="L91" s="958"/>
      <c r="M91" s="958"/>
      <c r="N91" s="959"/>
      <c r="P91" s="526"/>
      <c r="Q91" s="526"/>
      <c r="R91" s="526"/>
      <c r="S91" s="526"/>
      <c r="T91" s="526"/>
      <c r="U91" s="526"/>
      <c r="V91" s="526"/>
      <c r="W91" s="526"/>
      <c r="X91" s="526"/>
    </row>
    <row r="92" spans="2:24" s="499" customFormat="1" x14ac:dyDescent="0.2">
      <c r="B92" s="722"/>
      <c r="C92" s="958"/>
      <c r="D92" s="958"/>
      <c r="E92" s="958"/>
      <c r="F92" s="958"/>
      <c r="G92" s="958"/>
      <c r="H92" s="958"/>
      <c r="I92" s="958"/>
      <c r="J92" s="958"/>
      <c r="K92" s="958"/>
      <c r="L92" s="958"/>
      <c r="M92" s="958"/>
      <c r="N92" s="959"/>
      <c r="P92" s="526"/>
      <c r="Q92" s="526"/>
      <c r="R92" s="526"/>
      <c r="S92" s="526"/>
      <c r="T92" s="526"/>
      <c r="U92" s="526"/>
      <c r="V92" s="526"/>
      <c r="W92" s="526"/>
      <c r="X92" s="526"/>
    </row>
    <row r="93" spans="2:24" s="533" customFormat="1" ht="14" customHeight="1" x14ac:dyDescent="0.15">
      <c r="B93" s="728"/>
      <c r="C93" s="580"/>
      <c r="D93" s="580"/>
      <c r="E93" s="580"/>
      <c r="F93" s="580"/>
      <c r="G93" s="580"/>
      <c r="H93" s="580"/>
      <c r="I93" s="580"/>
      <c r="J93" s="580"/>
      <c r="K93" s="580"/>
      <c r="L93" s="580"/>
      <c r="M93" s="580"/>
      <c r="N93" s="741"/>
      <c r="P93" s="517"/>
      <c r="Q93" s="517"/>
      <c r="R93" s="517"/>
      <c r="S93" s="517"/>
      <c r="T93" s="517"/>
      <c r="U93" s="517"/>
      <c r="V93" s="517"/>
      <c r="W93" s="517"/>
      <c r="X93" s="517"/>
    </row>
    <row r="94" spans="2:24" s="533" customFormat="1" ht="14" customHeight="1" thickBot="1" x14ac:dyDescent="0.2">
      <c r="B94" s="733"/>
      <c r="C94" s="736"/>
      <c r="D94" s="736"/>
      <c r="E94" s="736"/>
      <c r="F94" s="736"/>
      <c r="G94" s="736"/>
      <c r="H94" s="736"/>
      <c r="I94" s="736"/>
      <c r="J94" s="736"/>
      <c r="K94" s="736"/>
      <c r="L94" s="736"/>
      <c r="M94" s="736"/>
      <c r="N94" s="742"/>
      <c r="P94" s="517"/>
      <c r="Q94" s="517"/>
      <c r="R94" s="517"/>
      <c r="S94" s="517"/>
      <c r="T94" s="517"/>
      <c r="U94" s="517"/>
      <c r="V94" s="517"/>
      <c r="W94" s="517"/>
      <c r="X94" s="517"/>
    </row>
    <row r="95" spans="2:24" s="533" customFormat="1" ht="14" customHeight="1" thickBot="1" x14ac:dyDescent="0.2">
      <c r="C95" s="541"/>
      <c r="D95" s="541"/>
      <c r="E95" s="541"/>
      <c r="F95" s="541"/>
      <c r="G95" s="541"/>
      <c r="H95" s="541"/>
      <c r="I95" s="541"/>
      <c r="J95" s="541"/>
      <c r="K95" s="541"/>
      <c r="L95" s="541"/>
      <c r="M95" s="541"/>
      <c r="N95" s="541"/>
      <c r="P95" s="517"/>
      <c r="Q95" s="517"/>
      <c r="R95" s="517"/>
      <c r="S95" s="517"/>
      <c r="T95" s="517"/>
      <c r="U95" s="517"/>
      <c r="V95" s="517"/>
      <c r="W95" s="517"/>
      <c r="X95" s="517"/>
    </row>
    <row r="96" spans="2:24" s="533" customFormat="1" ht="14" customHeight="1" x14ac:dyDescent="0.15">
      <c r="B96" s="743"/>
      <c r="C96" s="744"/>
      <c r="D96" s="744"/>
      <c r="E96" s="744"/>
      <c r="F96" s="744"/>
      <c r="G96" s="744"/>
      <c r="H96" s="744"/>
      <c r="I96" s="744"/>
      <c r="J96" s="744"/>
      <c r="K96" s="744"/>
      <c r="L96" s="744"/>
      <c r="M96" s="744"/>
      <c r="N96" s="745"/>
      <c r="P96" s="517"/>
      <c r="Q96" s="517"/>
      <c r="R96" s="517"/>
      <c r="S96" s="517"/>
      <c r="T96" s="517"/>
      <c r="U96" s="517"/>
      <c r="V96" s="517"/>
      <c r="W96" s="517"/>
      <c r="X96" s="517"/>
    </row>
    <row r="97" spans="2:24" s="533" customFormat="1" ht="14" customHeight="1" x14ac:dyDescent="0.15">
      <c r="B97" s="728"/>
      <c r="C97" s="541"/>
      <c r="D97" s="541"/>
      <c r="E97" s="541"/>
      <c r="F97" s="541"/>
      <c r="G97" s="541"/>
      <c r="H97" s="541"/>
      <c r="I97" s="541"/>
      <c r="J97" s="541"/>
      <c r="K97" s="541"/>
      <c r="L97" s="541"/>
      <c r="M97" s="541"/>
      <c r="N97" s="746"/>
      <c r="P97" s="517"/>
      <c r="Q97" s="517"/>
      <c r="R97" s="517"/>
      <c r="S97" s="517"/>
      <c r="T97" s="517"/>
      <c r="U97" s="517"/>
      <c r="V97" s="517"/>
      <c r="W97" s="517"/>
      <c r="X97" s="517"/>
    </row>
    <row r="98" spans="2:24" s="533" customFormat="1" ht="14" customHeight="1" x14ac:dyDescent="0.15">
      <c r="B98" s="728"/>
      <c r="C98" s="541"/>
      <c r="D98" s="541"/>
      <c r="E98" s="541"/>
      <c r="F98" s="541"/>
      <c r="G98" s="541"/>
      <c r="H98" s="541"/>
      <c r="I98" s="541"/>
      <c r="J98" s="541"/>
      <c r="K98" s="541"/>
      <c r="L98" s="541"/>
      <c r="M98" s="541"/>
      <c r="N98" s="746"/>
      <c r="P98" s="517"/>
      <c r="Q98" s="517"/>
      <c r="R98" s="517"/>
      <c r="S98" s="517"/>
      <c r="T98" s="517"/>
      <c r="U98" s="517"/>
      <c r="V98" s="517"/>
      <c r="W98" s="517"/>
      <c r="X98" s="517"/>
    </row>
    <row r="99" spans="2:24" s="533" customFormat="1" ht="14" customHeight="1" x14ac:dyDescent="0.15">
      <c r="B99" s="728"/>
      <c r="C99" s="517"/>
      <c r="D99" s="517"/>
      <c r="E99" s="517"/>
      <c r="F99" s="517"/>
      <c r="G99" s="517"/>
      <c r="H99" s="517"/>
      <c r="I99" s="517"/>
      <c r="J99" s="517"/>
      <c r="K99" s="517"/>
      <c r="L99" s="517"/>
      <c r="M99" s="517"/>
      <c r="N99" s="747"/>
      <c r="P99" s="517"/>
      <c r="Q99" s="517"/>
      <c r="R99" s="517"/>
      <c r="S99" s="517"/>
      <c r="T99" s="517"/>
      <c r="U99" s="517"/>
      <c r="V99" s="517"/>
      <c r="W99" s="517"/>
      <c r="X99" s="517"/>
    </row>
    <row r="100" spans="2:24" s="499" customFormat="1" ht="18" customHeight="1" x14ac:dyDescent="0.2">
      <c r="B100" s="722"/>
      <c r="C100" s="887" t="s">
        <v>304</v>
      </c>
      <c r="D100" s="887"/>
      <c r="E100" s="887"/>
      <c r="F100" s="887"/>
      <c r="G100" s="887"/>
      <c r="H100" s="887"/>
      <c r="I100" s="887"/>
      <c r="J100" s="887"/>
      <c r="K100" s="887"/>
      <c r="L100" s="887"/>
      <c r="M100" s="887"/>
      <c r="N100" s="916"/>
      <c r="P100" s="526"/>
      <c r="Q100" s="526"/>
      <c r="R100" s="526"/>
      <c r="S100" s="526"/>
      <c r="T100" s="526"/>
      <c r="U100" s="526"/>
      <c r="V100" s="526"/>
      <c r="W100" s="526"/>
      <c r="X100" s="526"/>
    </row>
    <row r="101" spans="2:24" s="519" customFormat="1" ht="14" customHeight="1" x14ac:dyDescent="0.15">
      <c r="B101" s="728"/>
      <c r="C101" s="939" t="s">
        <v>209</v>
      </c>
      <c r="D101" s="939"/>
      <c r="E101" s="832" t="s">
        <v>210</v>
      </c>
      <c r="F101" s="939" t="s">
        <v>211</v>
      </c>
      <c r="G101" s="939"/>
      <c r="H101" s="939"/>
      <c r="I101" s="939"/>
      <c r="J101" s="939"/>
      <c r="K101" s="832" t="s">
        <v>212</v>
      </c>
      <c r="L101" s="832" t="s">
        <v>213</v>
      </c>
      <c r="M101" s="832" t="s">
        <v>214</v>
      </c>
      <c r="N101" s="729" t="s">
        <v>83</v>
      </c>
      <c r="O101" s="517"/>
      <c r="P101" s="518"/>
      <c r="Q101" s="518"/>
      <c r="R101" s="518"/>
      <c r="S101" s="518"/>
      <c r="T101" s="518"/>
      <c r="U101" s="518"/>
      <c r="V101" s="518"/>
      <c r="W101" s="518"/>
      <c r="X101" s="518"/>
    </row>
    <row r="102" spans="2:24" s="519" customFormat="1" ht="14" customHeight="1" x14ac:dyDescent="0.15">
      <c r="B102" s="728"/>
      <c r="C102" s="901" t="s">
        <v>249</v>
      </c>
      <c r="D102" s="902"/>
      <c r="E102" s="520"/>
      <c r="F102" s="894" t="s">
        <v>305</v>
      </c>
      <c r="G102" s="895"/>
      <c r="H102" s="895"/>
      <c r="I102" s="895"/>
      <c r="J102" s="896"/>
      <c r="K102" s="520">
        <v>1788</v>
      </c>
      <c r="L102" s="521" t="s">
        <v>217</v>
      </c>
      <c r="M102" s="522">
        <v>1</v>
      </c>
      <c r="N102" s="730">
        <f>SUM(K102*M102)</f>
        <v>1788</v>
      </c>
      <c r="P102" s="518"/>
      <c r="Q102" s="518"/>
      <c r="R102" s="518"/>
      <c r="S102" s="518"/>
      <c r="T102" s="518"/>
      <c r="U102" s="518"/>
      <c r="V102" s="518"/>
      <c r="W102" s="518"/>
      <c r="X102" s="518"/>
    </row>
    <row r="103" spans="2:24" s="519" customFormat="1" ht="14" customHeight="1" x14ac:dyDescent="0.15">
      <c r="B103" s="728"/>
      <c r="C103" s="899"/>
      <c r="D103" s="900"/>
      <c r="E103" s="520"/>
      <c r="F103" s="894" t="s">
        <v>306</v>
      </c>
      <c r="G103" s="895"/>
      <c r="H103" s="895"/>
      <c r="I103" s="895"/>
      <c r="J103" s="896"/>
      <c r="K103" s="520"/>
      <c r="L103" s="521" t="s">
        <v>217</v>
      </c>
      <c r="M103" s="522">
        <v>0.5</v>
      </c>
      <c r="N103" s="730">
        <f t="shared" ref="N103:N149" si="2">SUM(K103*M103)</f>
        <v>0</v>
      </c>
      <c r="P103" s="518"/>
      <c r="Q103" s="518"/>
      <c r="R103" s="518"/>
      <c r="S103" s="518"/>
      <c r="T103" s="518"/>
      <c r="U103" s="518"/>
      <c r="V103" s="518"/>
      <c r="W103" s="518"/>
      <c r="X103" s="518"/>
    </row>
    <row r="104" spans="2:24" s="519" customFormat="1" ht="14" customHeight="1" x14ac:dyDescent="0.15">
      <c r="B104" s="728"/>
      <c r="C104" s="901" t="s">
        <v>307</v>
      </c>
      <c r="D104" s="902"/>
      <c r="E104" s="520"/>
      <c r="F104" s="894" t="s">
        <v>308</v>
      </c>
      <c r="G104" s="895"/>
      <c r="H104" s="895"/>
      <c r="I104" s="895"/>
      <c r="J104" s="896"/>
      <c r="K104" s="520"/>
      <c r="L104" s="521" t="s">
        <v>217</v>
      </c>
      <c r="M104" s="522">
        <v>7</v>
      </c>
      <c r="N104" s="730">
        <f t="shared" si="2"/>
        <v>0</v>
      </c>
      <c r="P104" s="518"/>
      <c r="Q104" s="518"/>
      <c r="R104" s="518"/>
      <c r="S104" s="518"/>
      <c r="T104" s="518"/>
      <c r="U104" s="518"/>
      <c r="V104" s="518"/>
      <c r="W104" s="518"/>
      <c r="X104" s="518"/>
    </row>
    <row r="105" spans="2:24" s="519" customFormat="1" ht="14" customHeight="1" x14ac:dyDescent="0.15">
      <c r="B105" s="728"/>
      <c r="C105" s="905"/>
      <c r="D105" s="906"/>
      <c r="E105" s="520"/>
      <c r="F105" s="894" t="s">
        <v>309</v>
      </c>
      <c r="G105" s="895"/>
      <c r="H105" s="895"/>
      <c r="I105" s="895"/>
      <c r="J105" s="896"/>
      <c r="K105" s="520"/>
      <c r="L105" s="521" t="s">
        <v>217</v>
      </c>
      <c r="M105" s="522">
        <v>6</v>
      </c>
      <c r="N105" s="730">
        <f t="shared" si="2"/>
        <v>0</v>
      </c>
      <c r="P105" s="518"/>
      <c r="Q105" s="518"/>
      <c r="R105" s="518"/>
      <c r="S105" s="518"/>
      <c r="T105" s="518"/>
      <c r="U105" s="518"/>
      <c r="V105" s="518"/>
      <c r="W105" s="518"/>
      <c r="X105" s="518"/>
    </row>
    <row r="106" spans="2:24" s="519" customFormat="1" ht="14" customHeight="1" x14ac:dyDescent="0.15">
      <c r="B106" s="728"/>
      <c r="C106" s="905"/>
      <c r="D106" s="906"/>
      <c r="E106" s="520"/>
      <c r="F106" s="894" t="s">
        <v>310</v>
      </c>
      <c r="G106" s="895"/>
      <c r="H106" s="895"/>
      <c r="I106" s="895"/>
      <c r="J106" s="896"/>
      <c r="K106" s="520"/>
      <c r="L106" s="521" t="s">
        <v>217</v>
      </c>
      <c r="M106" s="522">
        <v>4</v>
      </c>
      <c r="N106" s="730">
        <f t="shared" si="2"/>
        <v>0</v>
      </c>
      <c r="P106" s="518"/>
      <c r="Q106" s="518"/>
      <c r="R106" s="518"/>
      <c r="S106" s="518"/>
      <c r="T106" s="518"/>
      <c r="U106" s="518"/>
      <c r="V106" s="518"/>
      <c r="W106" s="518"/>
      <c r="X106" s="518"/>
    </row>
    <row r="107" spans="2:24" s="519" customFormat="1" ht="14" customHeight="1" x14ac:dyDescent="0.15">
      <c r="B107" s="728"/>
      <c r="C107" s="899"/>
      <c r="D107" s="900"/>
      <c r="E107" s="520"/>
      <c r="F107" s="894" t="s">
        <v>311</v>
      </c>
      <c r="G107" s="895"/>
      <c r="H107" s="895"/>
      <c r="I107" s="895"/>
      <c r="J107" s="896"/>
      <c r="K107" s="520">
        <v>1788</v>
      </c>
      <c r="L107" s="521" t="s">
        <v>217</v>
      </c>
      <c r="M107" s="522">
        <v>2</v>
      </c>
      <c r="N107" s="730">
        <f t="shared" si="2"/>
        <v>3576</v>
      </c>
      <c r="P107" s="518"/>
      <c r="Q107" s="518"/>
      <c r="R107" s="518"/>
      <c r="S107" s="518"/>
      <c r="T107" s="518"/>
      <c r="U107" s="518"/>
      <c r="V107" s="518"/>
      <c r="W107" s="518"/>
      <c r="X107" s="518"/>
    </row>
    <row r="108" spans="2:24" s="519" customFormat="1" ht="14" customHeight="1" x14ac:dyDescent="0.15">
      <c r="B108" s="728"/>
      <c r="C108" s="901" t="s">
        <v>312</v>
      </c>
      <c r="D108" s="902"/>
      <c r="E108" s="520"/>
      <c r="F108" s="894" t="s">
        <v>313</v>
      </c>
      <c r="G108" s="895"/>
      <c r="H108" s="895"/>
      <c r="I108" s="895"/>
      <c r="J108" s="896"/>
      <c r="K108" s="520"/>
      <c r="L108" s="521" t="s">
        <v>217</v>
      </c>
      <c r="M108" s="522">
        <v>1.35</v>
      </c>
      <c r="N108" s="730">
        <f t="shared" si="2"/>
        <v>0</v>
      </c>
      <c r="P108" s="518"/>
      <c r="Q108" s="518"/>
      <c r="R108" s="518"/>
      <c r="S108" s="518"/>
      <c r="T108" s="518"/>
      <c r="U108" s="518"/>
      <c r="V108" s="518"/>
      <c r="W108" s="518"/>
      <c r="X108" s="518"/>
    </row>
    <row r="109" spans="2:24" s="519" customFormat="1" ht="14" customHeight="1" x14ac:dyDescent="0.15">
      <c r="B109" s="728"/>
      <c r="C109" s="899"/>
      <c r="D109" s="900"/>
      <c r="E109" s="520"/>
      <c r="F109" s="894" t="s">
        <v>314</v>
      </c>
      <c r="G109" s="895"/>
      <c r="H109" s="895"/>
      <c r="I109" s="895"/>
      <c r="J109" s="896"/>
      <c r="K109" s="520"/>
      <c r="L109" s="521" t="s">
        <v>217</v>
      </c>
      <c r="M109" s="522">
        <v>2</v>
      </c>
      <c r="N109" s="730">
        <f t="shared" si="2"/>
        <v>0</v>
      </c>
      <c r="P109" s="518"/>
      <c r="Q109" s="518"/>
      <c r="R109" s="518"/>
      <c r="S109" s="518"/>
      <c r="T109" s="518"/>
      <c r="U109" s="518"/>
      <c r="V109" s="518"/>
      <c r="W109" s="518"/>
      <c r="X109" s="518"/>
    </row>
    <row r="110" spans="2:24" s="519" customFormat="1" ht="14" customHeight="1" x14ac:dyDescent="0.15">
      <c r="B110" s="728"/>
      <c r="C110" s="901" t="s">
        <v>315</v>
      </c>
      <c r="D110" s="902"/>
      <c r="E110" s="520"/>
      <c r="F110" s="894" t="s">
        <v>316</v>
      </c>
      <c r="G110" s="895"/>
      <c r="H110" s="895"/>
      <c r="I110" s="895"/>
      <c r="J110" s="896"/>
      <c r="K110" s="520"/>
      <c r="L110" s="521" t="s">
        <v>217</v>
      </c>
      <c r="M110" s="522">
        <v>10</v>
      </c>
      <c r="N110" s="730">
        <f t="shared" si="2"/>
        <v>0</v>
      </c>
      <c r="P110" s="518"/>
      <c r="Q110" s="518"/>
      <c r="R110" s="518"/>
      <c r="S110" s="518"/>
      <c r="T110" s="518"/>
      <c r="U110" s="518"/>
      <c r="V110" s="518"/>
      <c r="W110" s="518"/>
      <c r="X110" s="518"/>
    </row>
    <row r="111" spans="2:24" s="519" customFormat="1" ht="14" customHeight="1" x14ac:dyDescent="0.15">
      <c r="B111" s="728"/>
      <c r="C111" s="905"/>
      <c r="D111" s="906"/>
      <c r="E111" s="520"/>
      <c r="F111" s="894" t="s">
        <v>317</v>
      </c>
      <c r="G111" s="895"/>
      <c r="H111" s="895"/>
      <c r="I111" s="895"/>
      <c r="J111" s="896"/>
      <c r="K111" s="520"/>
      <c r="L111" s="521" t="s">
        <v>217</v>
      </c>
      <c r="M111" s="522">
        <v>15</v>
      </c>
      <c r="N111" s="730">
        <f t="shared" si="2"/>
        <v>0</v>
      </c>
      <c r="P111" s="518"/>
      <c r="Q111" s="518"/>
      <c r="R111" s="518"/>
      <c r="S111" s="518"/>
      <c r="T111" s="518"/>
      <c r="U111" s="518"/>
      <c r="V111" s="518"/>
      <c r="W111" s="518"/>
      <c r="X111" s="518"/>
    </row>
    <row r="112" spans="2:24" s="519" customFormat="1" ht="14" customHeight="1" x14ac:dyDescent="0.15">
      <c r="B112" s="728"/>
      <c r="C112" s="905"/>
      <c r="D112" s="906"/>
      <c r="E112" s="520"/>
      <c r="F112" s="894" t="s">
        <v>318</v>
      </c>
      <c r="G112" s="895"/>
      <c r="H112" s="895"/>
      <c r="I112" s="895"/>
      <c r="J112" s="896"/>
      <c r="K112" s="520"/>
      <c r="L112" s="521" t="s">
        <v>217</v>
      </c>
      <c r="M112" s="522">
        <v>8</v>
      </c>
      <c r="N112" s="730">
        <f t="shared" si="2"/>
        <v>0</v>
      </c>
      <c r="P112" s="518"/>
      <c r="Q112" s="518"/>
      <c r="R112" s="518"/>
      <c r="S112" s="518"/>
      <c r="T112" s="518"/>
      <c r="U112" s="518"/>
      <c r="V112" s="518"/>
      <c r="W112" s="518"/>
      <c r="X112" s="518"/>
    </row>
    <row r="113" spans="2:24" s="519" customFormat="1" ht="14" customHeight="1" x14ac:dyDescent="0.15">
      <c r="B113" s="728"/>
      <c r="C113" s="905"/>
      <c r="D113" s="906"/>
      <c r="E113" s="520"/>
      <c r="F113" s="894" t="s">
        <v>319</v>
      </c>
      <c r="G113" s="895"/>
      <c r="H113" s="895"/>
      <c r="I113" s="895"/>
      <c r="J113" s="896"/>
      <c r="K113" s="520"/>
      <c r="L113" s="521" t="s">
        <v>217</v>
      </c>
      <c r="M113" s="522">
        <v>9</v>
      </c>
      <c r="N113" s="730">
        <f t="shared" si="2"/>
        <v>0</v>
      </c>
      <c r="P113" s="518"/>
      <c r="Q113" s="518"/>
      <c r="R113" s="518"/>
      <c r="S113" s="518"/>
      <c r="T113" s="518"/>
      <c r="U113" s="518"/>
      <c r="V113" s="518"/>
      <c r="W113" s="518"/>
      <c r="X113" s="518"/>
    </row>
    <row r="114" spans="2:24" s="519" customFormat="1" ht="14" customHeight="1" x14ac:dyDescent="0.15">
      <c r="B114" s="728"/>
      <c r="C114" s="905"/>
      <c r="D114" s="906"/>
      <c r="E114" s="520"/>
      <c r="F114" s="894" t="s">
        <v>320</v>
      </c>
      <c r="G114" s="895"/>
      <c r="H114" s="895"/>
      <c r="I114" s="895"/>
      <c r="J114" s="896"/>
      <c r="K114" s="520"/>
      <c r="L114" s="521" t="s">
        <v>217</v>
      </c>
      <c r="M114" s="522">
        <v>16</v>
      </c>
      <c r="N114" s="730">
        <f t="shared" si="2"/>
        <v>0</v>
      </c>
      <c r="P114" s="518"/>
      <c r="Q114" s="518"/>
      <c r="R114" s="518"/>
      <c r="S114" s="518"/>
      <c r="T114" s="518"/>
      <c r="U114" s="518"/>
      <c r="V114" s="518"/>
      <c r="W114" s="518"/>
      <c r="X114" s="518"/>
    </row>
    <row r="115" spans="2:24" s="519" customFormat="1" ht="14" customHeight="1" thickBot="1" x14ac:dyDescent="0.2">
      <c r="B115" s="728"/>
      <c r="C115" s="905"/>
      <c r="D115" s="906"/>
      <c r="E115" s="551"/>
      <c r="F115" s="953" t="s">
        <v>321</v>
      </c>
      <c r="G115" s="954"/>
      <c r="H115" s="954"/>
      <c r="I115" s="954"/>
      <c r="J115" s="955"/>
      <c r="K115" s="551"/>
      <c r="L115" s="552" t="s">
        <v>217</v>
      </c>
      <c r="M115" s="553">
        <v>8</v>
      </c>
      <c r="N115" s="748">
        <f t="shared" si="2"/>
        <v>0</v>
      </c>
      <c r="P115" s="518"/>
      <c r="Q115" s="518"/>
      <c r="R115" s="518"/>
      <c r="S115" s="518"/>
      <c r="T115" s="518"/>
      <c r="U115" s="518"/>
      <c r="V115" s="518"/>
      <c r="W115" s="518"/>
      <c r="X115" s="518"/>
    </row>
    <row r="116" spans="2:24" s="519" customFormat="1" ht="14" customHeight="1" thickTop="1" x14ac:dyDescent="0.15">
      <c r="B116" s="728"/>
      <c r="C116" s="956" t="s">
        <v>322</v>
      </c>
      <c r="D116" s="957"/>
      <c r="E116" s="554"/>
      <c r="F116" s="942" t="s">
        <v>323</v>
      </c>
      <c r="G116" s="943"/>
      <c r="H116" s="943"/>
      <c r="I116" s="943"/>
      <c r="J116" s="944"/>
      <c r="K116" s="554"/>
      <c r="L116" s="555" t="s">
        <v>222</v>
      </c>
      <c r="M116" s="556">
        <v>12500</v>
      </c>
      <c r="N116" s="749">
        <f t="shared" si="2"/>
        <v>0</v>
      </c>
      <c r="P116" s="518"/>
      <c r="Q116" s="518"/>
      <c r="R116" s="518"/>
      <c r="S116" s="518"/>
      <c r="T116" s="518"/>
      <c r="U116" s="518"/>
      <c r="V116" s="518"/>
      <c r="W116" s="518"/>
      <c r="X116" s="518"/>
    </row>
    <row r="117" spans="2:24" s="519" customFormat="1" ht="14" customHeight="1" x14ac:dyDescent="0.15">
      <c r="B117" s="728"/>
      <c r="C117" s="949" t="s">
        <v>324</v>
      </c>
      <c r="D117" s="950"/>
      <c r="E117" s="520"/>
      <c r="F117" s="894" t="s">
        <v>325</v>
      </c>
      <c r="G117" s="895"/>
      <c r="H117" s="895"/>
      <c r="I117" s="895"/>
      <c r="J117" s="896"/>
      <c r="K117" s="520">
        <v>1</v>
      </c>
      <c r="L117" s="521" t="s">
        <v>222</v>
      </c>
      <c r="M117" s="522">
        <v>10500</v>
      </c>
      <c r="N117" s="730">
        <f t="shared" si="2"/>
        <v>10500</v>
      </c>
      <c r="P117" s="518"/>
      <c r="Q117" s="518"/>
      <c r="R117" s="518"/>
      <c r="S117" s="518"/>
      <c r="T117" s="518"/>
      <c r="U117" s="518"/>
      <c r="V117" s="518"/>
      <c r="W117" s="518"/>
      <c r="X117" s="518"/>
    </row>
    <row r="118" spans="2:24" s="519" customFormat="1" ht="14" customHeight="1" x14ac:dyDescent="0.15">
      <c r="B118" s="728"/>
      <c r="C118" s="949"/>
      <c r="D118" s="950"/>
      <c r="E118" s="520"/>
      <c r="F118" s="894" t="s">
        <v>326</v>
      </c>
      <c r="G118" s="895"/>
      <c r="H118" s="895"/>
      <c r="I118" s="895"/>
      <c r="J118" s="896"/>
      <c r="K118" s="520"/>
      <c r="L118" s="521" t="s">
        <v>222</v>
      </c>
      <c r="M118" s="522">
        <v>8500</v>
      </c>
      <c r="N118" s="730">
        <f t="shared" si="2"/>
        <v>0</v>
      </c>
      <c r="P118" s="518"/>
      <c r="Q118" s="518"/>
      <c r="R118" s="518"/>
      <c r="S118" s="518"/>
      <c r="T118" s="518"/>
      <c r="U118" s="518"/>
      <c r="V118" s="518"/>
      <c r="W118" s="518"/>
      <c r="X118" s="518"/>
    </row>
    <row r="119" spans="2:24" s="519" customFormat="1" ht="14" customHeight="1" x14ac:dyDescent="0.15">
      <c r="B119" s="728"/>
      <c r="C119" s="949"/>
      <c r="D119" s="950"/>
      <c r="E119" s="520"/>
      <c r="F119" s="894" t="s">
        <v>327</v>
      </c>
      <c r="G119" s="895"/>
      <c r="H119" s="895"/>
      <c r="I119" s="895"/>
      <c r="J119" s="896"/>
      <c r="K119" s="520"/>
      <c r="L119" s="521" t="s">
        <v>222</v>
      </c>
      <c r="M119" s="522">
        <v>6500</v>
      </c>
      <c r="N119" s="730">
        <f t="shared" si="2"/>
        <v>0</v>
      </c>
      <c r="P119" s="518"/>
      <c r="Q119" s="518"/>
      <c r="R119" s="518"/>
      <c r="S119" s="518"/>
      <c r="T119" s="518"/>
      <c r="U119" s="518"/>
      <c r="V119" s="518"/>
      <c r="W119" s="518"/>
      <c r="X119" s="518"/>
    </row>
    <row r="120" spans="2:24" s="519" customFormat="1" ht="14" customHeight="1" x14ac:dyDescent="0.15">
      <c r="B120" s="728"/>
      <c r="C120" s="951"/>
      <c r="D120" s="952"/>
      <c r="E120" s="520"/>
      <c r="F120" s="894" t="s">
        <v>328</v>
      </c>
      <c r="G120" s="895"/>
      <c r="H120" s="895"/>
      <c r="I120" s="895"/>
      <c r="J120" s="896"/>
      <c r="K120" s="520"/>
      <c r="L120" s="521" t="s">
        <v>222</v>
      </c>
      <c r="M120" s="522">
        <v>500</v>
      </c>
      <c r="N120" s="730">
        <f t="shared" si="2"/>
        <v>0</v>
      </c>
      <c r="P120" s="518"/>
      <c r="Q120" s="518"/>
      <c r="R120" s="518"/>
      <c r="S120" s="518"/>
      <c r="T120" s="518"/>
      <c r="U120" s="518"/>
      <c r="V120" s="518"/>
      <c r="W120" s="518"/>
      <c r="X120" s="518"/>
    </row>
    <row r="121" spans="2:24" s="519" customFormat="1" ht="14" customHeight="1" x14ac:dyDescent="0.15">
      <c r="B121" s="728"/>
      <c r="C121" s="901" t="s">
        <v>329</v>
      </c>
      <c r="D121" s="902"/>
      <c r="E121" s="520"/>
      <c r="F121" s="894" t="s">
        <v>330</v>
      </c>
      <c r="G121" s="895"/>
      <c r="H121" s="895"/>
      <c r="I121" s="895"/>
      <c r="J121" s="896"/>
      <c r="K121" s="520"/>
      <c r="L121" s="521" t="s">
        <v>222</v>
      </c>
      <c r="M121" s="522">
        <v>12000</v>
      </c>
      <c r="N121" s="730">
        <f t="shared" si="2"/>
        <v>0</v>
      </c>
      <c r="P121" s="518"/>
      <c r="Q121" s="518"/>
      <c r="R121" s="518"/>
      <c r="S121" s="518"/>
      <c r="T121" s="518"/>
      <c r="U121" s="518"/>
      <c r="V121" s="518"/>
      <c r="W121" s="518"/>
      <c r="X121" s="518"/>
    </row>
    <row r="122" spans="2:24" s="519" customFormat="1" ht="14" customHeight="1" x14ac:dyDescent="0.15">
      <c r="B122" s="728"/>
      <c r="C122" s="949" t="s">
        <v>331</v>
      </c>
      <c r="D122" s="950"/>
      <c r="E122" s="520"/>
      <c r="F122" s="894" t="s">
        <v>332</v>
      </c>
      <c r="G122" s="895"/>
      <c r="H122" s="895"/>
      <c r="I122" s="895"/>
      <c r="J122" s="896"/>
      <c r="K122" s="520"/>
      <c r="L122" s="521" t="s">
        <v>222</v>
      </c>
      <c r="M122" s="522">
        <v>7000</v>
      </c>
      <c r="N122" s="730">
        <f t="shared" si="2"/>
        <v>0</v>
      </c>
      <c r="P122" s="518"/>
      <c r="Q122" s="518"/>
      <c r="R122" s="518"/>
      <c r="S122" s="518"/>
      <c r="T122" s="518"/>
      <c r="U122" s="518"/>
      <c r="V122" s="518"/>
      <c r="W122" s="518"/>
      <c r="X122" s="518"/>
    </row>
    <row r="123" spans="2:24" s="519" customFormat="1" ht="14" customHeight="1" x14ac:dyDescent="0.15">
      <c r="B123" s="728"/>
      <c r="C123" s="949"/>
      <c r="D123" s="950"/>
      <c r="E123" s="520"/>
      <c r="F123" s="894" t="s">
        <v>333</v>
      </c>
      <c r="G123" s="895"/>
      <c r="H123" s="895"/>
      <c r="I123" s="895"/>
      <c r="J123" s="896"/>
      <c r="K123" s="520">
        <v>1</v>
      </c>
      <c r="L123" s="521" t="s">
        <v>222</v>
      </c>
      <c r="M123" s="522">
        <v>4500</v>
      </c>
      <c r="N123" s="730">
        <f t="shared" si="2"/>
        <v>4500</v>
      </c>
      <c r="P123" s="518"/>
      <c r="Q123" s="518"/>
      <c r="R123" s="518"/>
      <c r="S123" s="518"/>
      <c r="T123" s="518"/>
      <c r="U123" s="518"/>
      <c r="V123" s="518"/>
      <c r="W123" s="518"/>
      <c r="X123" s="518"/>
    </row>
    <row r="124" spans="2:24" s="519" customFormat="1" ht="14" customHeight="1" x14ac:dyDescent="0.15">
      <c r="B124" s="728"/>
      <c r="C124" s="951"/>
      <c r="D124" s="952"/>
      <c r="E124" s="520"/>
      <c r="F124" s="894" t="s">
        <v>334</v>
      </c>
      <c r="G124" s="895"/>
      <c r="H124" s="895"/>
      <c r="I124" s="895"/>
      <c r="J124" s="896"/>
      <c r="K124" s="520"/>
      <c r="L124" s="521" t="s">
        <v>222</v>
      </c>
      <c r="M124" s="522">
        <v>2000</v>
      </c>
      <c r="N124" s="730">
        <f t="shared" si="2"/>
        <v>0</v>
      </c>
      <c r="P124" s="518"/>
      <c r="Q124" s="518"/>
      <c r="R124" s="518"/>
      <c r="S124" s="518"/>
      <c r="T124" s="518"/>
      <c r="U124" s="518"/>
      <c r="V124" s="518"/>
      <c r="W124" s="518"/>
      <c r="X124" s="518"/>
    </row>
    <row r="125" spans="2:24" s="519" customFormat="1" ht="14" customHeight="1" x14ac:dyDescent="0.15">
      <c r="B125" s="728"/>
      <c r="C125" s="901" t="s">
        <v>335</v>
      </c>
      <c r="D125" s="902"/>
      <c r="E125" s="520"/>
      <c r="F125" s="894" t="s">
        <v>336</v>
      </c>
      <c r="G125" s="895"/>
      <c r="H125" s="895"/>
      <c r="I125" s="895"/>
      <c r="J125" s="896"/>
      <c r="K125" s="520"/>
      <c r="L125" s="521" t="s">
        <v>227</v>
      </c>
      <c r="M125" s="522">
        <v>185</v>
      </c>
      <c r="N125" s="730">
        <f t="shared" si="2"/>
        <v>0</v>
      </c>
      <c r="P125" s="518"/>
      <c r="Q125" s="518"/>
      <c r="R125" s="518"/>
      <c r="S125" s="518"/>
      <c r="T125" s="518"/>
      <c r="U125" s="518"/>
      <c r="V125" s="518"/>
      <c r="W125" s="518"/>
      <c r="X125" s="518"/>
    </row>
    <row r="126" spans="2:24" s="519" customFormat="1" ht="14" customHeight="1" x14ac:dyDescent="0.15">
      <c r="B126" s="728"/>
      <c r="C126" s="905"/>
      <c r="D126" s="906"/>
      <c r="E126" s="520"/>
      <c r="F126" s="894" t="s">
        <v>337</v>
      </c>
      <c r="G126" s="895"/>
      <c r="H126" s="895"/>
      <c r="I126" s="895"/>
      <c r="J126" s="896"/>
      <c r="K126" s="520"/>
      <c r="L126" s="521" t="s">
        <v>217</v>
      </c>
      <c r="M126" s="522">
        <v>65</v>
      </c>
      <c r="N126" s="730">
        <f t="shared" si="2"/>
        <v>0</v>
      </c>
      <c r="P126" s="518"/>
      <c r="Q126" s="518"/>
      <c r="R126" s="518"/>
      <c r="S126" s="518"/>
      <c r="T126" s="518"/>
      <c r="U126" s="518"/>
      <c r="V126" s="518"/>
      <c r="W126" s="518"/>
      <c r="X126" s="518"/>
    </row>
    <row r="127" spans="2:24" s="519" customFormat="1" ht="14" customHeight="1" x14ac:dyDescent="0.15">
      <c r="B127" s="728"/>
      <c r="C127" s="905"/>
      <c r="D127" s="906"/>
      <c r="E127" s="520"/>
      <c r="F127" s="894" t="s">
        <v>338</v>
      </c>
      <c r="G127" s="895"/>
      <c r="H127" s="895"/>
      <c r="I127" s="895"/>
      <c r="J127" s="896"/>
      <c r="K127" s="520"/>
      <c r="L127" s="521" t="s">
        <v>222</v>
      </c>
      <c r="M127" s="522">
        <v>350</v>
      </c>
      <c r="N127" s="730">
        <f t="shared" si="2"/>
        <v>0</v>
      </c>
      <c r="P127" s="518"/>
      <c r="Q127" s="518"/>
      <c r="R127" s="518"/>
      <c r="S127" s="518"/>
      <c r="T127" s="518"/>
      <c r="U127" s="518"/>
      <c r="V127" s="518"/>
      <c r="W127" s="518"/>
      <c r="X127" s="518"/>
    </row>
    <row r="128" spans="2:24" s="519" customFormat="1" ht="14" customHeight="1" x14ac:dyDescent="0.15">
      <c r="B128" s="728"/>
      <c r="C128" s="905"/>
      <c r="D128" s="906"/>
      <c r="E128" s="520"/>
      <c r="F128" s="894" t="s">
        <v>339</v>
      </c>
      <c r="G128" s="895"/>
      <c r="H128" s="895"/>
      <c r="I128" s="895"/>
      <c r="J128" s="896"/>
      <c r="K128" s="520"/>
      <c r="L128" s="521" t="s">
        <v>222</v>
      </c>
      <c r="M128" s="522">
        <v>350</v>
      </c>
      <c r="N128" s="730">
        <f t="shared" si="2"/>
        <v>0</v>
      </c>
      <c r="P128" s="518"/>
      <c r="Q128" s="518"/>
      <c r="R128" s="518"/>
      <c r="S128" s="518"/>
      <c r="T128" s="518"/>
      <c r="U128" s="518"/>
      <c r="V128" s="518"/>
      <c r="W128" s="518"/>
      <c r="X128" s="518"/>
    </row>
    <row r="129" spans="2:24" s="519" customFormat="1" ht="14" customHeight="1" x14ac:dyDescent="0.15">
      <c r="B129" s="728"/>
      <c r="C129" s="905"/>
      <c r="D129" s="906"/>
      <c r="E129" s="520"/>
      <c r="F129" s="894" t="s">
        <v>340</v>
      </c>
      <c r="G129" s="895"/>
      <c r="H129" s="895"/>
      <c r="I129" s="895"/>
      <c r="J129" s="896"/>
      <c r="K129" s="520"/>
      <c r="L129" s="521" t="s">
        <v>222</v>
      </c>
      <c r="M129" s="522">
        <v>250</v>
      </c>
      <c r="N129" s="730">
        <f t="shared" si="2"/>
        <v>0</v>
      </c>
      <c r="P129" s="518"/>
      <c r="Q129" s="518"/>
      <c r="R129" s="518"/>
      <c r="S129" s="518"/>
      <c r="T129" s="518"/>
      <c r="U129" s="518"/>
      <c r="V129" s="518"/>
      <c r="W129" s="518"/>
      <c r="X129" s="518"/>
    </row>
    <row r="130" spans="2:24" s="519" customFormat="1" ht="14" customHeight="1" x14ac:dyDescent="0.15">
      <c r="B130" s="728"/>
      <c r="C130" s="905"/>
      <c r="D130" s="906"/>
      <c r="E130" s="520"/>
      <c r="F130" s="894" t="s">
        <v>341</v>
      </c>
      <c r="G130" s="895"/>
      <c r="H130" s="895"/>
      <c r="I130" s="895"/>
      <c r="J130" s="896"/>
      <c r="K130" s="520"/>
      <c r="L130" s="521" t="s">
        <v>222</v>
      </c>
      <c r="M130" s="522">
        <v>1200</v>
      </c>
      <c r="N130" s="730">
        <f t="shared" si="2"/>
        <v>0</v>
      </c>
      <c r="P130" s="518"/>
      <c r="Q130" s="518"/>
      <c r="R130" s="518"/>
      <c r="S130" s="518"/>
      <c r="T130" s="518"/>
      <c r="U130" s="518"/>
      <c r="V130" s="518"/>
      <c r="W130" s="518"/>
      <c r="X130" s="518"/>
    </row>
    <row r="131" spans="2:24" s="519" customFormat="1" ht="14" customHeight="1" x14ac:dyDescent="0.15">
      <c r="B131" s="728"/>
      <c r="C131" s="905"/>
      <c r="D131" s="906"/>
      <c r="E131" s="520"/>
      <c r="F131" s="894" t="s">
        <v>342</v>
      </c>
      <c r="G131" s="895"/>
      <c r="H131" s="895"/>
      <c r="I131" s="895"/>
      <c r="J131" s="896"/>
      <c r="K131" s="520"/>
      <c r="L131" s="521" t="s">
        <v>222</v>
      </c>
      <c r="M131" s="522">
        <v>850</v>
      </c>
      <c r="N131" s="730">
        <f t="shared" si="2"/>
        <v>0</v>
      </c>
      <c r="P131" s="518"/>
      <c r="Q131" s="518"/>
      <c r="R131" s="518"/>
      <c r="S131" s="518"/>
      <c r="T131" s="518"/>
      <c r="U131" s="518"/>
      <c r="V131" s="518"/>
      <c r="W131" s="518"/>
      <c r="X131" s="518"/>
    </row>
    <row r="132" spans="2:24" s="519" customFormat="1" ht="14" customHeight="1" x14ac:dyDescent="0.15">
      <c r="B132" s="728"/>
      <c r="C132" s="905"/>
      <c r="D132" s="906"/>
      <c r="E132" s="520"/>
      <c r="F132" s="894" t="s">
        <v>343</v>
      </c>
      <c r="G132" s="895"/>
      <c r="H132" s="895"/>
      <c r="I132" s="895"/>
      <c r="J132" s="896"/>
      <c r="K132" s="520"/>
      <c r="L132" s="521" t="s">
        <v>222</v>
      </c>
      <c r="M132" s="522">
        <v>400</v>
      </c>
      <c r="N132" s="730">
        <f t="shared" si="2"/>
        <v>0</v>
      </c>
      <c r="P132" s="518"/>
      <c r="Q132" s="518"/>
      <c r="R132" s="518"/>
      <c r="S132" s="518"/>
      <c r="T132" s="518"/>
      <c r="U132" s="518"/>
      <c r="V132" s="518"/>
      <c r="W132" s="518"/>
      <c r="X132" s="518"/>
    </row>
    <row r="133" spans="2:24" s="519" customFormat="1" ht="14" customHeight="1" x14ac:dyDescent="0.15">
      <c r="B133" s="728"/>
      <c r="C133" s="905"/>
      <c r="D133" s="906"/>
      <c r="E133" s="520"/>
      <c r="F133" s="894" t="s">
        <v>344</v>
      </c>
      <c r="G133" s="895"/>
      <c r="H133" s="895"/>
      <c r="I133" s="895"/>
      <c r="J133" s="896"/>
      <c r="K133" s="520"/>
      <c r="L133" s="521" t="s">
        <v>222</v>
      </c>
      <c r="M133" s="522">
        <v>600</v>
      </c>
      <c r="N133" s="730">
        <f t="shared" si="2"/>
        <v>0</v>
      </c>
      <c r="P133" s="518"/>
      <c r="Q133" s="518"/>
      <c r="R133" s="518"/>
      <c r="S133" s="518"/>
      <c r="T133" s="518"/>
      <c r="U133" s="518"/>
      <c r="V133" s="518"/>
      <c r="W133" s="518"/>
      <c r="X133" s="518"/>
    </row>
    <row r="134" spans="2:24" s="519" customFormat="1" ht="14" customHeight="1" thickBot="1" x14ac:dyDescent="0.2">
      <c r="B134" s="728"/>
      <c r="C134" s="932"/>
      <c r="D134" s="933"/>
      <c r="E134" s="557"/>
      <c r="F134" s="934" t="s">
        <v>345</v>
      </c>
      <c r="G134" s="935"/>
      <c r="H134" s="935"/>
      <c r="I134" s="935"/>
      <c r="J134" s="936"/>
      <c r="K134" s="557"/>
      <c r="L134" s="558" t="s">
        <v>222</v>
      </c>
      <c r="M134" s="559">
        <v>350</v>
      </c>
      <c r="N134" s="750">
        <f t="shared" si="2"/>
        <v>0</v>
      </c>
      <c r="P134" s="518"/>
      <c r="Q134" s="518"/>
      <c r="R134" s="518"/>
      <c r="S134" s="518"/>
      <c r="T134" s="518"/>
      <c r="U134" s="518"/>
      <c r="V134" s="518"/>
      <c r="W134" s="518"/>
      <c r="X134" s="518"/>
    </row>
    <row r="135" spans="2:24" s="519" customFormat="1" ht="14" customHeight="1" thickTop="1" x14ac:dyDescent="0.15">
      <c r="B135" s="728"/>
      <c r="C135" s="940" t="s">
        <v>346</v>
      </c>
      <c r="D135" s="941"/>
      <c r="E135" s="554"/>
      <c r="F135" s="942" t="s">
        <v>347</v>
      </c>
      <c r="G135" s="943"/>
      <c r="H135" s="943"/>
      <c r="I135" s="943"/>
      <c r="J135" s="944"/>
      <c r="K135" s="554"/>
      <c r="L135" s="555" t="s">
        <v>222</v>
      </c>
      <c r="M135" s="556">
        <v>9000</v>
      </c>
      <c r="N135" s="749">
        <f t="shared" si="2"/>
        <v>0</v>
      </c>
      <c r="P135" s="518"/>
      <c r="Q135" s="518"/>
      <c r="R135" s="518"/>
      <c r="S135" s="518"/>
      <c r="T135" s="518"/>
      <c r="U135" s="518"/>
      <c r="V135" s="518"/>
      <c r="W135" s="518"/>
      <c r="X135" s="518"/>
    </row>
    <row r="136" spans="2:24" s="519" customFormat="1" ht="14" customHeight="1" x14ac:dyDescent="0.15">
      <c r="B136" s="728"/>
      <c r="C136" s="945" t="s">
        <v>348</v>
      </c>
      <c r="D136" s="946"/>
      <c r="E136" s="520"/>
      <c r="F136" s="894" t="s">
        <v>349</v>
      </c>
      <c r="G136" s="895"/>
      <c r="H136" s="895"/>
      <c r="I136" s="895"/>
      <c r="J136" s="896"/>
      <c r="K136" s="520">
        <v>1</v>
      </c>
      <c r="L136" s="521" t="s">
        <v>222</v>
      </c>
      <c r="M136" s="522">
        <v>5500</v>
      </c>
      <c r="N136" s="730">
        <f t="shared" si="2"/>
        <v>5500</v>
      </c>
      <c r="P136" s="518"/>
      <c r="Q136" s="518"/>
      <c r="R136" s="518"/>
      <c r="S136" s="518"/>
      <c r="T136" s="518"/>
      <c r="U136" s="518"/>
      <c r="V136" s="518"/>
      <c r="W136" s="518"/>
      <c r="X136" s="518"/>
    </row>
    <row r="137" spans="2:24" s="519" customFormat="1" ht="14" customHeight="1" x14ac:dyDescent="0.15">
      <c r="B137" s="728"/>
      <c r="C137" s="945"/>
      <c r="D137" s="946"/>
      <c r="E137" s="520"/>
      <c r="F137" s="894" t="s">
        <v>350</v>
      </c>
      <c r="G137" s="895"/>
      <c r="H137" s="895"/>
      <c r="I137" s="895"/>
      <c r="J137" s="896"/>
      <c r="K137" s="520">
        <v>1</v>
      </c>
      <c r="L137" s="521" t="s">
        <v>222</v>
      </c>
      <c r="M137" s="522">
        <v>3000</v>
      </c>
      <c r="N137" s="730">
        <f t="shared" si="2"/>
        <v>3000</v>
      </c>
      <c r="P137" s="518"/>
      <c r="Q137" s="518"/>
      <c r="R137" s="518"/>
      <c r="S137" s="518"/>
      <c r="T137" s="518"/>
      <c r="U137" s="518"/>
      <c r="V137" s="518"/>
      <c r="W137" s="518"/>
      <c r="X137" s="518"/>
    </row>
    <row r="138" spans="2:24" s="519" customFormat="1" ht="16" customHeight="1" x14ac:dyDescent="0.15">
      <c r="B138" s="728"/>
      <c r="C138" s="947"/>
      <c r="D138" s="948"/>
      <c r="E138" s="560"/>
      <c r="F138" s="561"/>
      <c r="G138" s="561"/>
      <c r="H138" s="561"/>
      <c r="I138" s="561"/>
      <c r="J138" s="561"/>
      <c r="K138" s="562"/>
      <c r="L138" s="561"/>
      <c r="M138" s="561"/>
      <c r="N138" s="751"/>
      <c r="P138" s="518"/>
      <c r="Q138" s="518"/>
      <c r="R138" s="518"/>
      <c r="S138" s="518"/>
      <c r="T138" s="518"/>
      <c r="U138" s="518"/>
      <c r="V138" s="518"/>
      <c r="W138" s="518"/>
      <c r="X138" s="518"/>
    </row>
    <row r="139" spans="2:24" s="519" customFormat="1" ht="14" customHeight="1" x14ac:dyDescent="0.15">
      <c r="B139" s="728"/>
      <c r="C139" s="901" t="s">
        <v>351</v>
      </c>
      <c r="D139" s="902"/>
      <c r="E139" s="520"/>
      <c r="F139" s="894" t="s">
        <v>352</v>
      </c>
      <c r="G139" s="895"/>
      <c r="H139" s="895"/>
      <c r="I139" s="895"/>
      <c r="J139" s="896"/>
      <c r="K139" s="520"/>
      <c r="L139" s="521" t="s">
        <v>222</v>
      </c>
      <c r="M139" s="522">
        <v>700</v>
      </c>
      <c r="N139" s="730">
        <f t="shared" si="2"/>
        <v>0</v>
      </c>
      <c r="P139" s="518"/>
      <c r="Q139" s="518"/>
      <c r="R139" s="518"/>
      <c r="S139" s="518"/>
      <c r="T139" s="518"/>
      <c r="U139" s="518"/>
      <c r="V139" s="518"/>
      <c r="W139" s="518"/>
      <c r="X139" s="518"/>
    </row>
    <row r="140" spans="2:24" s="519" customFormat="1" ht="14" customHeight="1" x14ac:dyDescent="0.15">
      <c r="B140" s="728"/>
      <c r="C140" s="905"/>
      <c r="D140" s="906"/>
      <c r="E140" s="520"/>
      <c r="F140" s="894" t="s">
        <v>353</v>
      </c>
      <c r="G140" s="895"/>
      <c r="H140" s="895"/>
      <c r="I140" s="895"/>
      <c r="J140" s="896"/>
      <c r="K140" s="520"/>
      <c r="L140" s="521" t="s">
        <v>222</v>
      </c>
      <c r="M140" s="522">
        <v>150</v>
      </c>
      <c r="N140" s="730">
        <f t="shared" si="2"/>
        <v>0</v>
      </c>
      <c r="P140" s="518"/>
      <c r="Q140" s="518"/>
      <c r="R140" s="518"/>
      <c r="S140" s="518"/>
      <c r="T140" s="518"/>
      <c r="U140" s="518"/>
      <c r="V140" s="518"/>
      <c r="W140" s="518"/>
      <c r="X140" s="518"/>
    </row>
    <row r="141" spans="2:24" s="519" customFormat="1" ht="14" customHeight="1" x14ac:dyDescent="0.15">
      <c r="B141" s="728"/>
      <c r="C141" s="905"/>
      <c r="D141" s="906"/>
      <c r="E141" s="520"/>
      <c r="F141" s="894" t="s">
        <v>354</v>
      </c>
      <c r="G141" s="895"/>
      <c r="H141" s="895"/>
      <c r="I141" s="895"/>
      <c r="J141" s="896"/>
      <c r="K141" s="520"/>
      <c r="L141" s="521" t="s">
        <v>222</v>
      </c>
      <c r="M141" s="522">
        <v>75</v>
      </c>
      <c r="N141" s="730">
        <f t="shared" si="2"/>
        <v>0</v>
      </c>
      <c r="P141" s="518"/>
      <c r="Q141" s="518"/>
      <c r="R141" s="518"/>
      <c r="S141" s="518"/>
      <c r="T141" s="518"/>
      <c r="U141" s="518"/>
      <c r="V141" s="518"/>
      <c r="W141" s="518"/>
      <c r="X141" s="518"/>
    </row>
    <row r="142" spans="2:24" s="519" customFormat="1" ht="14" customHeight="1" x14ac:dyDescent="0.15">
      <c r="B142" s="728"/>
      <c r="C142" s="905"/>
      <c r="D142" s="906"/>
      <c r="E142" s="520"/>
      <c r="F142" s="894" t="s">
        <v>338</v>
      </c>
      <c r="G142" s="895"/>
      <c r="H142" s="895"/>
      <c r="I142" s="895"/>
      <c r="J142" s="896"/>
      <c r="K142" s="520"/>
      <c r="L142" s="521" t="s">
        <v>222</v>
      </c>
      <c r="M142" s="522">
        <v>125</v>
      </c>
      <c r="N142" s="730">
        <f t="shared" si="2"/>
        <v>0</v>
      </c>
      <c r="P142" s="518"/>
      <c r="Q142" s="518"/>
      <c r="R142" s="518"/>
      <c r="S142" s="518"/>
      <c r="T142" s="518"/>
      <c r="U142" s="518"/>
      <c r="V142" s="518"/>
      <c r="W142" s="518"/>
      <c r="X142" s="518"/>
    </row>
    <row r="143" spans="2:24" s="519" customFormat="1" ht="14" customHeight="1" x14ac:dyDescent="0.15">
      <c r="B143" s="728"/>
      <c r="C143" s="905"/>
      <c r="D143" s="906"/>
      <c r="E143" s="520"/>
      <c r="F143" s="894" t="s">
        <v>339</v>
      </c>
      <c r="G143" s="895"/>
      <c r="H143" s="895"/>
      <c r="I143" s="895"/>
      <c r="J143" s="896"/>
      <c r="K143" s="520"/>
      <c r="L143" s="521" t="s">
        <v>222</v>
      </c>
      <c r="M143" s="522">
        <v>150</v>
      </c>
      <c r="N143" s="730">
        <f t="shared" si="2"/>
        <v>0</v>
      </c>
      <c r="P143" s="518"/>
      <c r="Q143" s="518"/>
      <c r="R143" s="518"/>
      <c r="S143" s="518"/>
      <c r="T143" s="518"/>
      <c r="U143" s="518"/>
      <c r="V143" s="518"/>
      <c r="W143" s="518"/>
      <c r="X143" s="518"/>
    </row>
    <row r="144" spans="2:24" s="519" customFormat="1" ht="14" customHeight="1" x14ac:dyDescent="0.15">
      <c r="B144" s="728"/>
      <c r="C144" s="905"/>
      <c r="D144" s="906"/>
      <c r="E144" s="520"/>
      <c r="F144" s="894" t="s">
        <v>355</v>
      </c>
      <c r="G144" s="895"/>
      <c r="H144" s="895"/>
      <c r="I144" s="895"/>
      <c r="J144" s="896"/>
      <c r="K144" s="520"/>
      <c r="L144" s="521" t="s">
        <v>222</v>
      </c>
      <c r="M144" s="522">
        <v>200</v>
      </c>
      <c r="N144" s="730">
        <f t="shared" si="2"/>
        <v>0</v>
      </c>
      <c r="P144" s="518"/>
      <c r="Q144" s="518"/>
      <c r="R144" s="518"/>
      <c r="S144" s="518"/>
      <c r="T144" s="518"/>
      <c r="U144" s="518"/>
      <c r="V144" s="518"/>
      <c r="W144" s="518"/>
      <c r="X144" s="518"/>
    </row>
    <row r="145" spans="2:24" s="519" customFormat="1" ht="14" customHeight="1" x14ac:dyDescent="0.15">
      <c r="B145" s="728"/>
      <c r="C145" s="905"/>
      <c r="D145" s="906"/>
      <c r="E145" s="520"/>
      <c r="F145" s="894" t="s">
        <v>356</v>
      </c>
      <c r="G145" s="895"/>
      <c r="H145" s="895"/>
      <c r="I145" s="895"/>
      <c r="J145" s="896"/>
      <c r="K145" s="520"/>
      <c r="L145" s="521" t="s">
        <v>222</v>
      </c>
      <c r="M145" s="522">
        <v>450</v>
      </c>
      <c r="N145" s="730">
        <f t="shared" si="2"/>
        <v>0</v>
      </c>
      <c r="P145" s="518"/>
      <c r="Q145" s="518"/>
      <c r="R145" s="518"/>
      <c r="S145" s="518"/>
      <c r="T145" s="518"/>
      <c r="U145" s="518"/>
      <c r="V145" s="518"/>
      <c r="W145" s="518"/>
      <c r="X145" s="518"/>
    </row>
    <row r="146" spans="2:24" s="519" customFormat="1" ht="14" customHeight="1" x14ac:dyDescent="0.15">
      <c r="B146" s="728"/>
      <c r="C146" s="905"/>
      <c r="D146" s="906"/>
      <c r="E146" s="520"/>
      <c r="F146" s="894" t="s">
        <v>357</v>
      </c>
      <c r="G146" s="895"/>
      <c r="H146" s="895"/>
      <c r="I146" s="895"/>
      <c r="J146" s="896"/>
      <c r="K146" s="520"/>
      <c r="L146" s="521" t="s">
        <v>222</v>
      </c>
      <c r="M146" s="522">
        <v>500</v>
      </c>
      <c r="N146" s="730">
        <f t="shared" si="2"/>
        <v>0</v>
      </c>
      <c r="P146" s="518"/>
      <c r="Q146" s="518"/>
      <c r="R146" s="518"/>
      <c r="S146" s="518"/>
      <c r="T146" s="518"/>
      <c r="U146" s="518"/>
      <c r="V146" s="518"/>
      <c r="W146" s="518"/>
      <c r="X146" s="518"/>
    </row>
    <row r="147" spans="2:24" s="519" customFormat="1" ht="14" customHeight="1" x14ac:dyDescent="0.15">
      <c r="B147" s="728"/>
      <c r="C147" s="905"/>
      <c r="D147" s="906"/>
      <c r="E147" s="520"/>
      <c r="F147" s="894" t="s">
        <v>358</v>
      </c>
      <c r="G147" s="895"/>
      <c r="H147" s="895"/>
      <c r="I147" s="895"/>
      <c r="J147" s="896"/>
      <c r="K147" s="520"/>
      <c r="L147" s="521" t="s">
        <v>222</v>
      </c>
      <c r="M147" s="522">
        <v>400</v>
      </c>
      <c r="N147" s="730">
        <f t="shared" si="2"/>
        <v>0</v>
      </c>
      <c r="P147" s="518"/>
      <c r="Q147" s="518"/>
      <c r="R147" s="518"/>
      <c r="S147" s="518"/>
      <c r="T147" s="518"/>
      <c r="U147" s="518"/>
      <c r="V147" s="518"/>
      <c r="W147" s="518"/>
      <c r="X147" s="518"/>
    </row>
    <row r="148" spans="2:24" s="519" customFormat="1" ht="14" customHeight="1" x14ac:dyDescent="0.15">
      <c r="B148" s="728"/>
      <c r="C148" s="905"/>
      <c r="D148" s="906"/>
      <c r="E148" s="520"/>
      <c r="F148" s="894" t="s">
        <v>359</v>
      </c>
      <c r="G148" s="895"/>
      <c r="H148" s="895"/>
      <c r="I148" s="895"/>
      <c r="J148" s="896"/>
      <c r="K148" s="520"/>
      <c r="L148" s="521" t="s">
        <v>222</v>
      </c>
      <c r="M148" s="522">
        <v>210</v>
      </c>
      <c r="N148" s="730">
        <f t="shared" si="2"/>
        <v>0</v>
      </c>
      <c r="P148" s="518"/>
      <c r="Q148" s="518"/>
      <c r="R148" s="518"/>
      <c r="S148" s="518"/>
      <c r="T148" s="518"/>
      <c r="U148" s="518"/>
      <c r="V148" s="518"/>
      <c r="W148" s="518"/>
      <c r="X148" s="518"/>
    </row>
    <row r="149" spans="2:24" s="519" customFormat="1" ht="14" customHeight="1" thickBot="1" x14ac:dyDescent="0.2">
      <c r="B149" s="728"/>
      <c r="C149" s="932"/>
      <c r="D149" s="933"/>
      <c r="E149" s="557"/>
      <c r="F149" s="934" t="s">
        <v>360</v>
      </c>
      <c r="G149" s="935"/>
      <c r="H149" s="935"/>
      <c r="I149" s="935"/>
      <c r="J149" s="936"/>
      <c r="K149" s="557"/>
      <c r="L149" s="558" t="s">
        <v>222</v>
      </c>
      <c r="M149" s="559">
        <v>75</v>
      </c>
      <c r="N149" s="750">
        <f t="shared" si="2"/>
        <v>0</v>
      </c>
      <c r="P149" s="518"/>
      <c r="Q149" s="518"/>
      <c r="R149" s="518"/>
      <c r="S149" s="518"/>
      <c r="T149" s="518"/>
      <c r="U149" s="518"/>
      <c r="V149" s="518"/>
      <c r="W149" s="518"/>
      <c r="X149" s="518"/>
    </row>
    <row r="150" spans="2:24" s="519" customFormat="1" ht="14" customHeight="1" thickTop="1" x14ac:dyDescent="0.15">
      <c r="B150" s="728"/>
      <c r="C150" s="537"/>
      <c r="D150" s="537"/>
      <c r="E150" s="533"/>
      <c r="F150" s="541"/>
      <c r="G150" s="541"/>
      <c r="H150" s="541"/>
      <c r="I150" s="541"/>
      <c r="J150" s="541"/>
      <c r="K150" s="533"/>
      <c r="L150" s="542"/>
      <c r="M150" s="543"/>
      <c r="N150" s="752"/>
      <c r="P150" s="518"/>
      <c r="Q150" s="518"/>
      <c r="R150" s="518"/>
      <c r="S150" s="518"/>
      <c r="T150" s="518"/>
      <c r="U150" s="518"/>
      <c r="V150" s="518"/>
      <c r="W150" s="518"/>
      <c r="X150" s="518"/>
    </row>
    <row r="151" spans="2:24" s="519" customFormat="1" ht="14" customHeight="1" thickBot="1" x14ac:dyDescent="0.2">
      <c r="B151" s="733"/>
      <c r="C151" s="734"/>
      <c r="D151" s="734"/>
      <c r="E151" s="735"/>
      <c r="F151" s="736"/>
      <c r="G151" s="736"/>
      <c r="H151" s="736"/>
      <c r="I151" s="736"/>
      <c r="J151" s="736"/>
      <c r="K151" s="735"/>
      <c r="L151" s="737"/>
      <c r="M151" s="738"/>
      <c r="N151" s="739"/>
      <c r="P151" s="518"/>
      <c r="Q151" s="518"/>
      <c r="R151" s="518"/>
      <c r="S151" s="518"/>
      <c r="T151" s="518"/>
      <c r="U151" s="518"/>
      <c r="V151" s="518"/>
      <c r="W151" s="518"/>
      <c r="X151" s="518"/>
    </row>
    <row r="152" spans="2:24" s="519" customFormat="1" ht="14" customHeight="1" thickBot="1" x14ac:dyDescent="0.2">
      <c r="C152" s="545"/>
      <c r="D152" s="545"/>
      <c r="E152" s="517"/>
      <c r="F152" s="517"/>
      <c r="G152" s="517"/>
      <c r="H152" s="517"/>
      <c r="I152" s="517"/>
      <c r="J152" s="517"/>
      <c r="K152" s="517"/>
      <c r="L152" s="546"/>
      <c r="M152" s="547"/>
      <c r="N152" s="548"/>
      <c r="P152" s="518"/>
      <c r="Q152" s="518"/>
      <c r="R152" s="518"/>
      <c r="S152" s="518"/>
      <c r="T152" s="518"/>
      <c r="U152" s="518"/>
      <c r="V152" s="518"/>
      <c r="W152" s="518"/>
      <c r="X152" s="518"/>
    </row>
    <row r="153" spans="2:24" s="499" customFormat="1" ht="20" x14ac:dyDescent="0.2">
      <c r="B153" s="719"/>
      <c r="C153" s="937" t="s">
        <v>361</v>
      </c>
      <c r="D153" s="937"/>
      <c r="E153" s="937"/>
      <c r="F153" s="937"/>
      <c r="G153" s="937"/>
      <c r="H153" s="937"/>
      <c r="I153" s="937"/>
      <c r="J153" s="937"/>
      <c r="K153" s="937"/>
      <c r="L153" s="937"/>
      <c r="M153" s="937"/>
      <c r="N153" s="938"/>
      <c r="P153" s="526"/>
      <c r="Q153" s="526"/>
      <c r="R153" s="526"/>
      <c r="S153" s="526"/>
      <c r="T153" s="526"/>
      <c r="U153" s="526"/>
      <c r="V153" s="526"/>
      <c r="W153" s="526"/>
      <c r="X153" s="526"/>
    </row>
    <row r="154" spans="2:24" s="519" customFormat="1" ht="14" customHeight="1" x14ac:dyDescent="0.15">
      <c r="B154" s="728"/>
      <c r="C154" s="939" t="s">
        <v>209</v>
      </c>
      <c r="D154" s="939"/>
      <c r="E154" s="832" t="s">
        <v>210</v>
      </c>
      <c r="F154" s="917" t="s">
        <v>211</v>
      </c>
      <c r="G154" s="917"/>
      <c r="H154" s="917"/>
      <c r="I154" s="917"/>
      <c r="J154" s="917"/>
      <c r="K154" s="832" t="s">
        <v>212</v>
      </c>
      <c r="L154" s="832" t="s">
        <v>213</v>
      </c>
      <c r="M154" s="832" t="s">
        <v>214</v>
      </c>
      <c r="N154" s="729" t="s">
        <v>83</v>
      </c>
      <c r="O154" s="517"/>
      <c r="P154" s="518"/>
      <c r="Q154" s="518"/>
      <c r="R154" s="518"/>
      <c r="S154" s="518"/>
      <c r="T154" s="518"/>
      <c r="U154" s="518"/>
      <c r="V154" s="518"/>
      <c r="W154" s="518"/>
      <c r="X154" s="518"/>
    </row>
    <row r="155" spans="2:24" s="519" customFormat="1" ht="13" x14ac:dyDescent="0.15">
      <c r="B155" s="728"/>
      <c r="C155" s="901" t="s">
        <v>362</v>
      </c>
      <c r="D155" s="902"/>
      <c r="E155" s="520"/>
      <c r="F155" s="894" t="s">
        <v>363</v>
      </c>
      <c r="G155" s="895"/>
      <c r="H155" s="895"/>
      <c r="I155" s="895"/>
      <c r="J155" s="896"/>
      <c r="K155" s="520"/>
      <c r="L155" s="521" t="s">
        <v>217</v>
      </c>
      <c r="M155" s="522">
        <v>30</v>
      </c>
      <c r="N155" s="730">
        <f>SUM(K155*M155)</f>
        <v>0</v>
      </c>
      <c r="P155" s="518"/>
      <c r="Q155" s="518"/>
      <c r="R155" s="518"/>
      <c r="S155" s="518"/>
      <c r="T155" s="518"/>
      <c r="U155" s="518"/>
      <c r="V155" s="518"/>
      <c r="W155" s="518"/>
      <c r="X155" s="518"/>
    </row>
    <row r="156" spans="2:24" s="519" customFormat="1" ht="13" x14ac:dyDescent="0.15">
      <c r="B156" s="728"/>
      <c r="C156" s="825"/>
      <c r="D156" s="826"/>
      <c r="E156" s="520"/>
      <c r="F156" s="820" t="s">
        <v>364</v>
      </c>
      <c r="G156" s="821"/>
      <c r="H156" s="821"/>
      <c r="I156" s="821"/>
      <c r="J156" s="822"/>
      <c r="K156" s="520"/>
      <c r="L156" s="521" t="s">
        <v>217</v>
      </c>
      <c r="M156" s="522">
        <v>15</v>
      </c>
      <c r="N156" s="730">
        <f>SUM(K156*M156)</f>
        <v>0</v>
      </c>
      <c r="P156" s="518"/>
      <c r="Q156" s="518"/>
      <c r="R156" s="518"/>
      <c r="S156" s="518"/>
      <c r="T156" s="518"/>
      <c r="U156" s="518"/>
      <c r="V156" s="518"/>
      <c r="W156" s="518"/>
      <c r="X156" s="518"/>
    </row>
    <row r="157" spans="2:24" s="519" customFormat="1" ht="13" x14ac:dyDescent="0.15">
      <c r="B157" s="728"/>
      <c r="C157" s="905"/>
      <c r="D157" s="906"/>
      <c r="E157" s="520"/>
      <c r="F157" s="894" t="s">
        <v>365</v>
      </c>
      <c r="G157" s="895"/>
      <c r="H157" s="895"/>
      <c r="I157" s="895"/>
      <c r="J157" s="896"/>
      <c r="K157" s="520">
        <v>1</v>
      </c>
      <c r="L157" s="521" t="s">
        <v>222</v>
      </c>
      <c r="M157" s="522">
        <v>1500</v>
      </c>
      <c r="N157" s="730">
        <f t="shared" ref="N157:N191" si="3">SUM(K157*M157)</f>
        <v>1500</v>
      </c>
      <c r="P157" s="518"/>
      <c r="Q157" s="518"/>
      <c r="R157" s="518"/>
      <c r="S157" s="518"/>
      <c r="T157" s="518"/>
      <c r="U157" s="518"/>
      <c r="V157" s="518"/>
      <c r="W157" s="518"/>
      <c r="X157" s="518"/>
    </row>
    <row r="158" spans="2:24" s="519" customFormat="1" ht="13" x14ac:dyDescent="0.15">
      <c r="B158" s="728"/>
      <c r="C158" s="899"/>
      <c r="D158" s="900"/>
      <c r="E158" s="520"/>
      <c r="F158" s="894" t="s">
        <v>366</v>
      </c>
      <c r="G158" s="895"/>
      <c r="H158" s="895"/>
      <c r="I158" s="895"/>
      <c r="J158" s="896"/>
      <c r="K158" s="520"/>
      <c r="L158" s="521" t="s">
        <v>217</v>
      </c>
      <c r="M158" s="522">
        <v>1.85</v>
      </c>
      <c r="N158" s="730">
        <f t="shared" si="3"/>
        <v>0</v>
      </c>
      <c r="P158" s="518"/>
      <c r="Q158" s="518"/>
      <c r="R158" s="518"/>
      <c r="S158" s="518"/>
      <c r="T158" s="518"/>
      <c r="U158" s="518"/>
      <c r="V158" s="518"/>
      <c r="W158" s="518"/>
      <c r="X158" s="518"/>
    </row>
    <row r="159" spans="2:24" s="519" customFormat="1" ht="13" x14ac:dyDescent="0.15">
      <c r="B159" s="728"/>
      <c r="C159" s="901" t="s">
        <v>367</v>
      </c>
      <c r="D159" s="902"/>
      <c r="E159" s="520"/>
      <c r="F159" s="894" t="s">
        <v>368</v>
      </c>
      <c r="G159" s="895"/>
      <c r="H159" s="895"/>
      <c r="I159" s="895"/>
      <c r="J159" s="896"/>
      <c r="K159" s="520"/>
      <c r="L159" s="521" t="s">
        <v>217</v>
      </c>
      <c r="M159" s="522">
        <v>1</v>
      </c>
      <c r="N159" s="730">
        <f t="shared" si="3"/>
        <v>0</v>
      </c>
      <c r="P159" s="518"/>
      <c r="Q159" s="518"/>
      <c r="R159" s="518"/>
      <c r="S159" s="518"/>
      <c r="T159" s="518"/>
      <c r="U159" s="518"/>
      <c r="V159" s="518"/>
      <c r="W159" s="518"/>
      <c r="X159" s="518"/>
    </row>
    <row r="160" spans="2:24" s="519" customFormat="1" ht="13" x14ac:dyDescent="0.15">
      <c r="B160" s="728"/>
      <c r="C160" s="905"/>
      <c r="D160" s="906"/>
      <c r="E160" s="520"/>
      <c r="F160" s="894" t="s">
        <v>369</v>
      </c>
      <c r="G160" s="895"/>
      <c r="H160" s="895"/>
      <c r="I160" s="895"/>
      <c r="J160" s="896"/>
      <c r="K160" s="520"/>
      <c r="L160" s="521" t="s">
        <v>217</v>
      </c>
      <c r="M160" s="522">
        <v>1.25</v>
      </c>
      <c r="N160" s="730">
        <f t="shared" si="3"/>
        <v>0</v>
      </c>
      <c r="P160" s="518"/>
      <c r="Q160" s="518"/>
      <c r="R160" s="518"/>
      <c r="S160" s="518"/>
      <c r="T160" s="518"/>
      <c r="U160" s="518"/>
      <c r="V160" s="518"/>
      <c r="W160" s="518"/>
      <c r="X160" s="518"/>
    </row>
    <row r="161" spans="2:24" s="519" customFormat="1" ht="13" x14ac:dyDescent="0.15">
      <c r="B161" s="728"/>
      <c r="C161" s="899"/>
      <c r="D161" s="900"/>
      <c r="E161" s="520"/>
      <c r="F161" s="894" t="s">
        <v>370</v>
      </c>
      <c r="G161" s="895"/>
      <c r="H161" s="895"/>
      <c r="I161" s="895"/>
      <c r="J161" s="896"/>
      <c r="K161" s="520">
        <v>1000</v>
      </c>
      <c r="L161" s="521" t="s">
        <v>217</v>
      </c>
      <c r="M161" s="522">
        <v>0.8</v>
      </c>
      <c r="N161" s="730">
        <f t="shared" si="3"/>
        <v>800</v>
      </c>
      <c r="P161" s="518"/>
      <c r="Q161" s="518"/>
      <c r="R161" s="518"/>
      <c r="S161" s="518"/>
      <c r="T161" s="518"/>
      <c r="U161" s="518"/>
      <c r="V161" s="518"/>
      <c r="W161" s="518"/>
      <c r="X161" s="518"/>
    </row>
    <row r="162" spans="2:24" s="519" customFormat="1" ht="13" x14ac:dyDescent="0.15">
      <c r="B162" s="728"/>
      <c r="C162" s="901" t="s">
        <v>371</v>
      </c>
      <c r="D162" s="902"/>
      <c r="E162" s="520"/>
      <c r="F162" s="894" t="s">
        <v>372</v>
      </c>
      <c r="G162" s="895"/>
      <c r="H162" s="895"/>
      <c r="I162" s="895"/>
      <c r="J162" s="896"/>
      <c r="K162" s="520"/>
      <c r="L162" s="521" t="s">
        <v>217</v>
      </c>
      <c r="M162" s="522">
        <v>6</v>
      </c>
      <c r="N162" s="730">
        <f t="shared" si="3"/>
        <v>0</v>
      </c>
      <c r="P162" s="518"/>
      <c r="Q162" s="518"/>
      <c r="R162" s="518"/>
      <c r="S162" s="518"/>
      <c r="T162" s="518"/>
      <c r="U162" s="518"/>
      <c r="V162" s="518"/>
      <c r="W162" s="518"/>
      <c r="X162" s="518"/>
    </row>
    <row r="163" spans="2:24" s="519" customFormat="1" ht="13" x14ac:dyDescent="0.15">
      <c r="B163" s="728"/>
      <c r="C163" s="905"/>
      <c r="D163" s="906"/>
      <c r="E163" s="520"/>
      <c r="F163" s="894" t="s">
        <v>373</v>
      </c>
      <c r="G163" s="895"/>
      <c r="H163" s="895"/>
      <c r="I163" s="895"/>
      <c r="J163" s="896"/>
      <c r="K163" s="520">
        <v>1800</v>
      </c>
      <c r="L163" s="521" t="s">
        <v>217</v>
      </c>
      <c r="M163" s="522">
        <v>2.5</v>
      </c>
      <c r="N163" s="730">
        <f t="shared" si="3"/>
        <v>4500</v>
      </c>
      <c r="P163" s="518"/>
      <c r="Q163" s="518"/>
      <c r="R163" s="518"/>
      <c r="S163" s="518"/>
      <c r="T163" s="518"/>
      <c r="U163" s="518"/>
      <c r="V163" s="518"/>
      <c r="W163" s="518"/>
      <c r="X163" s="518"/>
    </row>
    <row r="164" spans="2:24" s="519" customFormat="1" ht="13" x14ac:dyDescent="0.15">
      <c r="B164" s="728"/>
      <c r="C164" s="905"/>
      <c r="D164" s="906"/>
      <c r="E164" s="520"/>
      <c r="F164" s="894" t="s">
        <v>374</v>
      </c>
      <c r="G164" s="895"/>
      <c r="H164" s="895"/>
      <c r="I164" s="895"/>
      <c r="J164" s="896"/>
      <c r="K164" s="520"/>
      <c r="L164" s="521" t="s">
        <v>217</v>
      </c>
      <c r="M164" s="522">
        <v>4</v>
      </c>
      <c r="N164" s="730">
        <f t="shared" si="3"/>
        <v>0</v>
      </c>
      <c r="P164" s="518"/>
      <c r="Q164" s="518"/>
      <c r="R164" s="518"/>
      <c r="S164" s="518"/>
      <c r="T164" s="518"/>
      <c r="U164" s="518"/>
      <c r="V164" s="518"/>
      <c r="W164" s="518"/>
      <c r="X164" s="518"/>
    </row>
    <row r="165" spans="2:24" s="519" customFormat="1" ht="13" x14ac:dyDescent="0.15">
      <c r="B165" s="728"/>
      <c r="C165" s="905"/>
      <c r="D165" s="906"/>
      <c r="E165" s="520"/>
      <c r="F165" s="894" t="s">
        <v>375</v>
      </c>
      <c r="G165" s="895"/>
      <c r="H165" s="895"/>
      <c r="I165" s="895"/>
      <c r="J165" s="896"/>
      <c r="K165" s="520">
        <v>0</v>
      </c>
      <c r="L165" s="521" t="s">
        <v>217</v>
      </c>
      <c r="M165" s="522">
        <v>1</v>
      </c>
      <c r="N165" s="730">
        <f t="shared" si="3"/>
        <v>0</v>
      </c>
      <c r="P165" s="518"/>
      <c r="Q165" s="518"/>
      <c r="R165" s="518"/>
      <c r="S165" s="518"/>
      <c r="T165" s="518"/>
      <c r="U165" s="518"/>
      <c r="V165" s="518"/>
      <c r="W165" s="518"/>
      <c r="X165" s="518"/>
    </row>
    <row r="166" spans="2:24" s="519" customFormat="1" ht="13" x14ac:dyDescent="0.15">
      <c r="B166" s="728"/>
      <c r="C166" s="899"/>
      <c r="D166" s="900"/>
      <c r="E166" s="520"/>
      <c r="F166" s="894" t="s">
        <v>376</v>
      </c>
      <c r="G166" s="895"/>
      <c r="H166" s="895"/>
      <c r="I166" s="895"/>
      <c r="J166" s="896"/>
      <c r="K166" s="520"/>
      <c r="L166" s="521" t="s">
        <v>222</v>
      </c>
      <c r="M166" s="522">
        <v>500</v>
      </c>
      <c r="N166" s="730">
        <f t="shared" si="3"/>
        <v>0</v>
      </c>
      <c r="P166" s="518"/>
      <c r="Q166" s="518"/>
      <c r="R166" s="518"/>
      <c r="S166" s="518"/>
      <c r="T166" s="518"/>
      <c r="U166" s="518"/>
      <c r="V166" s="518"/>
      <c r="W166" s="518"/>
      <c r="X166" s="518"/>
    </row>
    <row r="167" spans="2:24" s="519" customFormat="1" ht="13" x14ac:dyDescent="0.15">
      <c r="B167" s="728"/>
      <c r="C167" s="901" t="s">
        <v>377</v>
      </c>
      <c r="D167" s="902"/>
      <c r="E167" s="520"/>
      <c r="F167" s="929" t="s">
        <v>378</v>
      </c>
      <c r="G167" s="930"/>
      <c r="H167" s="930"/>
      <c r="I167" s="930"/>
      <c r="J167" s="931"/>
      <c r="K167" s="520"/>
      <c r="L167" s="521" t="s">
        <v>222</v>
      </c>
      <c r="M167" s="522">
        <v>4000</v>
      </c>
      <c r="N167" s="730">
        <f t="shared" si="3"/>
        <v>0</v>
      </c>
      <c r="P167" s="518"/>
      <c r="Q167" s="518"/>
      <c r="R167" s="518"/>
      <c r="S167" s="518"/>
      <c r="T167" s="518"/>
      <c r="U167" s="518"/>
      <c r="V167" s="518"/>
      <c r="W167" s="518"/>
      <c r="X167" s="518"/>
    </row>
    <row r="168" spans="2:24" s="519" customFormat="1" ht="13" x14ac:dyDescent="0.15">
      <c r="B168" s="728"/>
      <c r="C168" s="905"/>
      <c r="D168" s="906"/>
      <c r="E168" s="520"/>
      <c r="F168" s="929" t="s">
        <v>379</v>
      </c>
      <c r="G168" s="930"/>
      <c r="H168" s="930"/>
      <c r="I168" s="930"/>
      <c r="J168" s="931"/>
      <c r="K168" s="520">
        <v>1</v>
      </c>
      <c r="L168" s="521" t="s">
        <v>222</v>
      </c>
      <c r="M168" s="522">
        <v>2000</v>
      </c>
      <c r="N168" s="730">
        <f t="shared" si="3"/>
        <v>2000</v>
      </c>
      <c r="P168" s="518"/>
      <c r="Q168" s="518"/>
      <c r="R168" s="518"/>
      <c r="S168" s="518"/>
      <c r="T168" s="518"/>
      <c r="U168" s="518"/>
      <c r="V168" s="518"/>
      <c r="W168" s="518"/>
      <c r="X168" s="518"/>
    </row>
    <row r="169" spans="2:24" s="519" customFormat="1" ht="13" x14ac:dyDescent="0.15">
      <c r="B169" s="728"/>
      <c r="C169" s="905"/>
      <c r="D169" s="906"/>
      <c r="E169" s="520"/>
      <c r="F169" s="894" t="s">
        <v>380</v>
      </c>
      <c r="G169" s="895"/>
      <c r="H169" s="895"/>
      <c r="I169" s="895"/>
      <c r="J169" s="896"/>
      <c r="K169" s="520"/>
      <c r="L169" s="521" t="s">
        <v>222</v>
      </c>
      <c r="M169" s="522">
        <v>175</v>
      </c>
      <c r="N169" s="730">
        <f t="shared" si="3"/>
        <v>0</v>
      </c>
      <c r="P169" s="518"/>
      <c r="Q169" s="518"/>
      <c r="R169" s="518"/>
      <c r="S169" s="518"/>
      <c r="T169" s="518"/>
      <c r="U169" s="518"/>
      <c r="V169" s="518"/>
      <c r="W169" s="518"/>
      <c r="X169" s="518"/>
    </row>
    <row r="170" spans="2:24" s="519" customFormat="1" ht="13" x14ac:dyDescent="0.15">
      <c r="B170" s="728"/>
      <c r="C170" s="905"/>
      <c r="D170" s="906"/>
      <c r="E170" s="520"/>
      <c r="F170" s="894" t="s">
        <v>381</v>
      </c>
      <c r="G170" s="895"/>
      <c r="H170" s="895"/>
      <c r="I170" s="895"/>
      <c r="J170" s="896"/>
      <c r="K170" s="520"/>
      <c r="L170" s="521" t="s">
        <v>222</v>
      </c>
      <c r="M170" s="522">
        <v>175</v>
      </c>
      <c r="N170" s="730">
        <f t="shared" si="3"/>
        <v>0</v>
      </c>
      <c r="P170" s="518"/>
      <c r="Q170" s="518"/>
      <c r="R170" s="518"/>
      <c r="S170" s="518"/>
      <c r="T170" s="518"/>
      <c r="U170" s="518"/>
      <c r="V170" s="518"/>
      <c r="W170" s="518"/>
      <c r="X170" s="518"/>
    </row>
    <row r="171" spans="2:24" s="519" customFormat="1" ht="13" x14ac:dyDescent="0.15">
      <c r="B171" s="728"/>
      <c r="C171" s="905"/>
      <c r="D171" s="906"/>
      <c r="E171" s="520"/>
      <c r="F171" s="894" t="s">
        <v>382</v>
      </c>
      <c r="G171" s="895"/>
      <c r="H171" s="895"/>
      <c r="I171" s="895"/>
      <c r="J171" s="896"/>
      <c r="K171" s="520"/>
      <c r="L171" s="521" t="s">
        <v>222</v>
      </c>
      <c r="M171" s="522">
        <v>150</v>
      </c>
      <c r="N171" s="730">
        <f t="shared" si="3"/>
        <v>0</v>
      </c>
      <c r="P171" s="518"/>
      <c r="Q171" s="518"/>
      <c r="R171" s="518"/>
      <c r="S171" s="518"/>
      <c r="T171" s="518"/>
      <c r="U171" s="518"/>
      <c r="V171" s="518"/>
      <c r="W171" s="518"/>
      <c r="X171" s="518"/>
    </row>
    <row r="172" spans="2:24" s="519" customFormat="1" ht="13" x14ac:dyDescent="0.15">
      <c r="B172" s="728"/>
      <c r="C172" s="905"/>
      <c r="D172" s="906"/>
      <c r="E172" s="520"/>
      <c r="F172" s="894" t="s">
        <v>383</v>
      </c>
      <c r="G172" s="895"/>
      <c r="H172" s="895"/>
      <c r="I172" s="895"/>
      <c r="J172" s="896"/>
      <c r="K172" s="520"/>
      <c r="L172" s="521" t="s">
        <v>222</v>
      </c>
      <c r="M172" s="522">
        <v>700</v>
      </c>
      <c r="N172" s="730">
        <f t="shared" si="3"/>
        <v>0</v>
      </c>
      <c r="P172" s="518"/>
      <c r="Q172" s="518"/>
      <c r="R172" s="518"/>
      <c r="S172" s="518"/>
      <c r="T172" s="518"/>
      <c r="U172" s="518"/>
      <c r="V172" s="518"/>
      <c r="W172" s="518"/>
      <c r="X172" s="518"/>
    </row>
    <row r="173" spans="2:24" s="519" customFormat="1" ht="13" x14ac:dyDescent="0.15">
      <c r="B173" s="728"/>
      <c r="C173" s="905"/>
      <c r="D173" s="906"/>
      <c r="E173" s="520"/>
      <c r="F173" s="894" t="s">
        <v>384</v>
      </c>
      <c r="G173" s="895"/>
      <c r="H173" s="895"/>
      <c r="I173" s="895"/>
      <c r="J173" s="896"/>
      <c r="K173" s="520"/>
      <c r="L173" s="521" t="s">
        <v>222</v>
      </c>
      <c r="M173" s="522">
        <v>850</v>
      </c>
      <c r="N173" s="730">
        <f t="shared" si="3"/>
        <v>0</v>
      </c>
      <c r="P173" s="518"/>
      <c r="Q173" s="518"/>
      <c r="R173" s="518"/>
      <c r="S173" s="518"/>
      <c r="T173" s="518"/>
      <c r="U173" s="518"/>
      <c r="V173" s="518"/>
      <c r="W173" s="518"/>
      <c r="X173" s="518"/>
    </row>
    <row r="174" spans="2:24" s="519" customFormat="1" ht="13" x14ac:dyDescent="0.15">
      <c r="B174" s="728"/>
      <c r="C174" s="905"/>
      <c r="D174" s="906"/>
      <c r="E174" s="520"/>
      <c r="F174" s="894" t="s">
        <v>385</v>
      </c>
      <c r="G174" s="895"/>
      <c r="H174" s="895"/>
      <c r="I174" s="895"/>
      <c r="J174" s="896"/>
      <c r="K174" s="520"/>
      <c r="L174" s="521" t="s">
        <v>227</v>
      </c>
      <c r="M174" s="522">
        <v>3.75</v>
      </c>
      <c r="N174" s="730">
        <f t="shared" si="3"/>
        <v>0</v>
      </c>
      <c r="P174" s="518"/>
      <c r="Q174" s="518"/>
      <c r="R174" s="518"/>
      <c r="S174" s="518"/>
      <c r="T174" s="518"/>
      <c r="U174" s="518"/>
      <c r="V174" s="518"/>
      <c r="W174" s="518"/>
      <c r="X174" s="518"/>
    </row>
    <row r="175" spans="2:24" s="519" customFormat="1" ht="13" x14ac:dyDescent="0.15">
      <c r="B175" s="728"/>
      <c r="C175" s="905"/>
      <c r="D175" s="906"/>
      <c r="E175" s="520"/>
      <c r="F175" s="894" t="s">
        <v>386</v>
      </c>
      <c r="G175" s="895"/>
      <c r="H175" s="895"/>
      <c r="I175" s="895"/>
      <c r="J175" s="896"/>
      <c r="K175" s="520"/>
      <c r="L175" s="521" t="s">
        <v>227</v>
      </c>
      <c r="M175" s="522">
        <v>2.75</v>
      </c>
      <c r="N175" s="730">
        <f t="shared" si="3"/>
        <v>0</v>
      </c>
      <c r="P175" s="518"/>
      <c r="Q175" s="518"/>
      <c r="R175" s="518"/>
      <c r="S175" s="518"/>
      <c r="T175" s="518"/>
      <c r="U175" s="518"/>
      <c r="V175" s="518"/>
      <c r="W175" s="518"/>
      <c r="X175" s="518"/>
    </row>
    <row r="176" spans="2:24" s="519" customFormat="1" ht="13" x14ac:dyDescent="0.15">
      <c r="B176" s="728"/>
      <c r="C176" s="899"/>
      <c r="D176" s="900"/>
      <c r="E176" s="520"/>
      <c r="F176" s="894" t="s">
        <v>387</v>
      </c>
      <c r="G176" s="895"/>
      <c r="H176" s="895"/>
      <c r="I176" s="895"/>
      <c r="J176" s="896"/>
      <c r="K176" s="520"/>
      <c r="L176" s="521" t="s">
        <v>227</v>
      </c>
      <c r="M176" s="522">
        <v>17.5</v>
      </c>
      <c r="N176" s="730">
        <f t="shared" si="3"/>
        <v>0</v>
      </c>
      <c r="P176" s="518"/>
      <c r="Q176" s="518"/>
      <c r="R176" s="518"/>
      <c r="S176" s="518"/>
      <c r="T176" s="518"/>
      <c r="U176" s="518"/>
      <c r="V176" s="518"/>
      <c r="W176" s="518"/>
      <c r="X176" s="518"/>
    </row>
    <row r="177" spans="2:24" s="519" customFormat="1" ht="13" x14ac:dyDescent="0.15">
      <c r="B177" s="728"/>
      <c r="C177" s="901" t="s">
        <v>388</v>
      </c>
      <c r="D177" s="902"/>
      <c r="E177" s="520"/>
      <c r="F177" s="894" t="s">
        <v>389</v>
      </c>
      <c r="G177" s="895"/>
      <c r="H177" s="895"/>
      <c r="I177" s="895"/>
      <c r="J177" s="896"/>
      <c r="K177" s="520"/>
      <c r="L177" s="521" t="s">
        <v>390</v>
      </c>
      <c r="M177" s="522">
        <v>175</v>
      </c>
      <c r="N177" s="730">
        <f t="shared" si="3"/>
        <v>0</v>
      </c>
      <c r="P177" s="518"/>
      <c r="Q177" s="518"/>
      <c r="R177" s="518"/>
      <c r="S177" s="518"/>
      <c r="T177" s="518"/>
      <c r="U177" s="518"/>
      <c r="V177" s="518"/>
      <c r="W177" s="518"/>
      <c r="X177" s="518"/>
    </row>
    <row r="178" spans="2:24" s="519" customFormat="1" ht="13" x14ac:dyDescent="0.15">
      <c r="B178" s="728"/>
      <c r="C178" s="905"/>
      <c r="D178" s="906"/>
      <c r="E178" s="520"/>
      <c r="F178" s="894" t="s">
        <v>391</v>
      </c>
      <c r="G178" s="895"/>
      <c r="H178" s="895"/>
      <c r="I178" s="895"/>
      <c r="J178" s="896"/>
      <c r="K178" s="520"/>
      <c r="L178" s="521" t="s">
        <v>222</v>
      </c>
      <c r="M178" s="522">
        <v>250</v>
      </c>
      <c r="N178" s="730">
        <f t="shared" si="3"/>
        <v>0</v>
      </c>
      <c r="P178" s="518"/>
      <c r="Q178" s="518"/>
      <c r="R178" s="518"/>
      <c r="S178" s="518"/>
      <c r="T178" s="518"/>
      <c r="U178" s="518"/>
      <c r="V178" s="518"/>
      <c r="W178" s="518"/>
      <c r="X178" s="518"/>
    </row>
    <row r="179" spans="2:24" s="519" customFormat="1" ht="13" x14ac:dyDescent="0.15">
      <c r="B179" s="728"/>
      <c r="C179" s="905"/>
      <c r="D179" s="906"/>
      <c r="E179" s="520"/>
      <c r="F179" s="926" t="s">
        <v>392</v>
      </c>
      <c r="G179" s="927"/>
      <c r="H179" s="927"/>
      <c r="I179" s="927"/>
      <c r="J179" s="928"/>
      <c r="K179" s="520"/>
      <c r="L179" s="563" t="s">
        <v>393</v>
      </c>
      <c r="M179" s="522">
        <v>1000</v>
      </c>
      <c r="N179" s="730">
        <f t="shared" si="3"/>
        <v>0</v>
      </c>
      <c r="P179" s="518"/>
      <c r="Q179" s="518"/>
      <c r="R179" s="518"/>
      <c r="S179" s="518"/>
      <c r="T179" s="518"/>
      <c r="U179" s="518"/>
      <c r="V179" s="518"/>
      <c r="W179" s="518"/>
      <c r="X179" s="518"/>
    </row>
    <row r="180" spans="2:24" s="519" customFormat="1" ht="13" x14ac:dyDescent="0.15">
      <c r="B180" s="728"/>
      <c r="C180" s="905"/>
      <c r="D180" s="906"/>
      <c r="E180" s="520"/>
      <c r="F180" s="926" t="s">
        <v>394</v>
      </c>
      <c r="G180" s="927"/>
      <c r="H180" s="927"/>
      <c r="I180" s="927"/>
      <c r="J180" s="928"/>
      <c r="K180" s="520"/>
      <c r="L180" s="563" t="s">
        <v>217</v>
      </c>
      <c r="M180" s="522">
        <v>125</v>
      </c>
      <c r="N180" s="730">
        <f t="shared" si="3"/>
        <v>0</v>
      </c>
      <c r="P180" s="518"/>
      <c r="Q180" s="518"/>
      <c r="R180" s="518"/>
      <c r="S180" s="518"/>
      <c r="T180" s="518"/>
      <c r="U180" s="518"/>
      <c r="V180" s="518"/>
      <c r="W180" s="518"/>
      <c r="X180" s="518"/>
    </row>
    <row r="181" spans="2:24" s="519" customFormat="1" ht="13" x14ac:dyDescent="0.15">
      <c r="B181" s="728"/>
      <c r="C181" s="905"/>
      <c r="D181" s="906"/>
      <c r="E181" s="520"/>
      <c r="F181" s="894" t="s">
        <v>395</v>
      </c>
      <c r="G181" s="895"/>
      <c r="H181" s="895"/>
      <c r="I181" s="895"/>
      <c r="J181" s="896"/>
      <c r="K181" s="520"/>
      <c r="L181" s="521" t="s">
        <v>222</v>
      </c>
      <c r="M181" s="522">
        <v>500</v>
      </c>
      <c r="N181" s="730">
        <f t="shared" si="3"/>
        <v>0</v>
      </c>
      <c r="P181" s="518"/>
      <c r="Q181" s="518"/>
      <c r="R181" s="518"/>
      <c r="S181" s="518"/>
      <c r="T181" s="518"/>
      <c r="U181" s="518"/>
      <c r="V181" s="518"/>
      <c r="W181" s="518"/>
      <c r="X181" s="518"/>
    </row>
    <row r="182" spans="2:24" s="519" customFormat="1" ht="13" x14ac:dyDescent="0.15">
      <c r="B182" s="728"/>
      <c r="C182" s="899"/>
      <c r="D182" s="900"/>
      <c r="E182" s="520"/>
      <c r="F182" s="894" t="s">
        <v>396</v>
      </c>
      <c r="G182" s="895"/>
      <c r="H182" s="895"/>
      <c r="I182" s="895"/>
      <c r="J182" s="896"/>
      <c r="K182" s="520">
        <v>1</v>
      </c>
      <c r="L182" s="521" t="s">
        <v>222</v>
      </c>
      <c r="M182" s="522">
        <v>1000</v>
      </c>
      <c r="N182" s="730">
        <f t="shared" si="3"/>
        <v>1000</v>
      </c>
      <c r="P182" s="518"/>
      <c r="Q182" s="518"/>
      <c r="R182" s="518"/>
      <c r="S182" s="518"/>
      <c r="T182" s="518"/>
      <c r="U182" s="518"/>
      <c r="V182" s="518"/>
      <c r="W182" s="518"/>
      <c r="X182" s="518"/>
    </row>
    <row r="183" spans="2:24" s="519" customFormat="1" ht="13" x14ac:dyDescent="0.15">
      <c r="B183" s="728"/>
      <c r="C183" s="901" t="s">
        <v>397</v>
      </c>
      <c r="D183" s="902"/>
      <c r="E183" s="520"/>
      <c r="F183" s="894" t="s">
        <v>398</v>
      </c>
      <c r="G183" s="895"/>
      <c r="H183" s="895"/>
      <c r="I183" s="895"/>
      <c r="J183" s="896"/>
      <c r="K183" s="520"/>
      <c r="L183" s="521" t="s">
        <v>227</v>
      </c>
      <c r="M183" s="522">
        <v>20</v>
      </c>
      <c r="N183" s="730">
        <f t="shared" si="3"/>
        <v>0</v>
      </c>
      <c r="P183" s="518"/>
      <c r="Q183" s="518"/>
      <c r="R183" s="518"/>
      <c r="S183" s="518"/>
      <c r="T183" s="518"/>
      <c r="U183" s="518"/>
      <c r="V183" s="518"/>
      <c r="W183" s="518"/>
      <c r="X183" s="518"/>
    </row>
    <row r="184" spans="2:24" s="519" customFormat="1" ht="13" x14ac:dyDescent="0.15">
      <c r="B184" s="728"/>
      <c r="C184" s="910" t="s">
        <v>218</v>
      </c>
      <c r="D184" s="904"/>
      <c r="E184" s="520"/>
      <c r="F184" s="894" t="s">
        <v>399</v>
      </c>
      <c r="G184" s="895"/>
      <c r="H184" s="895"/>
      <c r="I184" s="895"/>
      <c r="J184" s="896"/>
      <c r="K184" s="520"/>
      <c r="L184" s="521" t="s">
        <v>227</v>
      </c>
      <c r="M184" s="522">
        <v>10</v>
      </c>
      <c r="N184" s="730">
        <f t="shared" si="3"/>
        <v>0</v>
      </c>
      <c r="P184" s="518"/>
      <c r="Q184" s="518"/>
      <c r="R184" s="518"/>
      <c r="S184" s="518"/>
      <c r="T184" s="518"/>
      <c r="U184" s="518"/>
      <c r="V184" s="518"/>
      <c r="W184" s="518"/>
      <c r="X184" s="518"/>
    </row>
    <row r="185" spans="2:24" s="519" customFormat="1" ht="13" x14ac:dyDescent="0.15">
      <c r="B185" s="728"/>
      <c r="C185" s="910"/>
      <c r="D185" s="904"/>
      <c r="E185" s="520"/>
      <c r="F185" s="894" t="s">
        <v>400</v>
      </c>
      <c r="G185" s="895"/>
      <c r="H185" s="895"/>
      <c r="I185" s="895"/>
      <c r="J185" s="896"/>
      <c r="K185" s="520"/>
      <c r="L185" s="521" t="s">
        <v>227</v>
      </c>
      <c r="M185" s="522">
        <v>30</v>
      </c>
      <c r="N185" s="730">
        <f t="shared" si="3"/>
        <v>0</v>
      </c>
      <c r="P185" s="518"/>
      <c r="Q185" s="518"/>
      <c r="R185" s="518"/>
      <c r="S185" s="518"/>
      <c r="T185" s="518"/>
      <c r="U185" s="518"/>
      <c r="V185" s="518"/>
      <c r="W185" s="518"/>
      <c r="X185" s="518"/>
    </row>
    <row r="186" spans="2:24" s="519" customFormat="1" ht="13" x14ac:dyDescent="0.15">
      <c r="B186" s="728"/>
      <c r="C186" s="905"/>
      <c r="D186" s="906"/>
      <c r="E186" s="520"/>
      <c r="F186" s="894" t="s">
        <v>401</v>
      </c>
      <c r="G186" s="895"/>
      <c r="H186" s="895"/>
      <c r="I186" s="895"/>
      <c r="J186" s="896"/>
      <c r="K186" s="520"/>
      <c r="L186" s="521" t="s">
        <v>217</v>
      </c>
      <c r="M186" s="522">
        <v>4</v>
      </c>
      <c r="N186" s="730">
        <f t="shared" si="3"/>
        <v>0</v>
      </c>
      <c r="P186" s="518"/>
      <c r="Q186" s="518"/>
      <c r="R186" s="518"/>
      <c r="S186" s="518"/>
      <c r="T186" s="518"/>
      <c r="U186" s="518"/>
      <c r="V186" s="518"/>
      <c r="W186" s="518"/>
      <c r="X186" s="518"/>
    </row>
    <row r="187" spans="2:24" s="519" customFormat="1" ht="13" x14ac:dyDescent="0.15">
      <c r="B187" s="728"/>
      <c r="C187" s="905"/>
      <c r="D187" s="906"/>
      <c r="E187" s="520"/>
      <c r="F187" s="894" t="s">
        <v>402</v>
      </c>
      <c r="G187" s="895"/>
      <c r="H187" s="895"/>
      <c r="I187" s="895"/>
      <c r="J187" s="896"/>
      <c r="K187" s="520"/>
      <c r="L187" s="521" t="s">
        <v>227</v>
      </c>
      <c r="M187" s="522">
        <v>100</v>
      </c>
      <c r="N187" s="730">
        <f t="shared" si="3"/>
        <v>0</v>
      </c>
      <c r="P187" s="518"/>
      <c r="Q187" s="518"/>
      <c r="R187" s="518"/>
      <c r="S187" s="518"/>
      <c r="T187" s="518"/>
      <c r="U187" s="518"/>
      <c r="V187" s="518"/>
      <c r="W187" s="518"/>
      <c r="X187" s="518"/>
    </row>
    <row r="188" spans="2:24" s="519" customFormat="1" ht="13" x14ac:dyDescent="0.15">
      <c r="B188" s="728"/>
      <c r="C188" s="905"/>
      <c r="D188" s="906"/>
      <c r="E188" s="520"/>
      <c r="F188" s="907" t="s">
        <v>403</v>
      </c>
      <c r="G188" s="908"/>
      <c r="H188" s="908"/>
      <c r="I188" s="908"/>
      <c r="J188" s="909"/>
      <c r="K188" s="625"/>
      <c r="L188" s="626" t="s">
        <v>222</v>
      </c>
      <c r="M188" s="627">
        <v>10000</v>
      </c>
      <c r="N188" s="730">
        <f t="shared" si="3"/>
        <v>0</v>
      </c>
      <c r="P188" s="518"/>
      <c r="Q188" s="518"/>
      <c r="R188" s="518"/>
      <c r="S188" s="518"/>
      <c r="T188" s="518"/>
      <c r="U188" s="518"/>
      <c r="V188" s="518"/>
      <c r="W188" s="518"/>
      <c r="X188" s="518"/>
    </row>
    <row r="189" spans="2:24" s="519" customFormat="1" ht="13" x14ac:dyDescent="0.15">
      <c r="B189" s="728"/>
      <c r="C189" s="905"/>
      <c r="D189" s="906"/>
      <c r="E189" s="520"/>
      <c r="F189" s="894" t="s">
        <v>404</v>
      </c>
      <c r="G189" s="895"/>
      <c r="H189" s="895"/>
      <c r="I189" s="895"/>
      <c r="J189" s="896"/>
      <c r="K189" s="520"/>
      <c r="L189" s="521" t="s">
        <v>222</v>
      </c>
      <c r="M189" s="522">
        <v>500</v>
      </c>
      <c r="N189" s="730">
        <f t="shared" si="3"/>
        <v>0</v>
      </c>
      <c r="P189" s="518"/>
      <c r="Q189" s="518"/>
      <c r="R189" s="518"/>
      <c r="S189" s="518"/>
      <c r="T189" s="518"/>
      <c r="U189" s="518"/>
      <c r="V189" s="518"/>
      <c r="W189" s="518"/>
      <c r="X189" s="518"/>
    </row>
    <row r="190" spans="2:24" s="519" customFormat="1" ht="13" x14ac:dyDescent="0.15">
      <c r="B190" s="728"/>
      <c r="C190" s="905"/>
      <c r="D190" s="906"/>
      <c r="E190" s="520"/>
      <c r="F190" s="894" t="s">
        <v>405</v>
      </c>
      <c r="G190" s="895"/>
      <c r="H190" s="895"/>
      <c r="I190" s="895"/>
      <c r="J190" s="896"/>
      <c r="K190" s="520"/>
      <c r="L190" s="521" t="s">
        <v>222</v>
      </c>
      <c r="M190" s="522">
        <v>500</v>
      </c>
      <c r="N190" s="730">
        <f t="shared" si="3"/>
        <v>0</v>
      </c>
      <c r="P190" s="518"/>
      <c r="Q190" s="518"/>
      <c r="R190" s="518"/>
      <c r="S190" s="518"/>
      <c r="T190" s="518"/>
      <c r="U190" s="518"/>
      <c r="V190" s="518"/>
      <c r="W190" s="518"/>
      <c r="X190" s="518"/>
    </row>
    <row r="191" spans="2:24" s="519" customFormat="1" ht="13" x14ac:dyDescent="0.15">
      <c r="B191" s="728"/>
      <c r="C191" s="899"/>
      <c r="D191" s="900"/>
      <c r="E191" s="520"/>
      <c r="F191" s="894" t="s">
        <v>406</v>
      </c>
      <c r="G191" s="895"/>
      <c r="H191" s="895"/>
      <c r="I191" s="895"/>
      <c r="J191" s="896"/>
      <c r="K191" s="520"/>
      <c r="L191" s="521" t="s">
        <v>222</v>
      </c>
      <c r="M191" s="522">
        <v>850</v>
      </c>
      <c r="N191" s="730">
        <f t="shared" si="3"/>
        <v>0</v>
      </c>
      <c r="P191" s="518"/>
      <c r="Q191" s="518"/>
      <c r="R191" s="518"/>
      <c r="S191" s="518"/>
      <c r="T191" s="518"/>
      <c r="U191" s="518"/>
      <c r="V191" s="518"/>
      <c r="W191" s="518"/>
      <c r="X191" s="518"/>
    </row>
    <row r="192" spans="2:24" s="499" customFormat="1" x14ac:dyDescent="0.2">
      <c r="B192" s="722"/>
      <c r="C192" s="549"/>
      <c r="D192" s="549"/>
      <c r="E192" s="498"/>
      <c r="F192" s="549"/>
      <c r="G192" s="498"/>
      <c r="H192" s="498"/>
      <c r="I192" s="550"/>
      <c r="J192" s="498"/>
      <c r="K192" s="498"/>
      <c r="L192" s="498"/>
      <c r="M192" s="498"/>
      <c r="N192" s="753"/>
      <c r="P192" s="526"/>
      <c r="Q192" s="526"/>
      <c r="R192" s="526"/>
      <c r="S192" s="526"/>
      <c r="T192" s="526"/>
      <c r="U192" s="526"/>
      <c r="V192" s="526"/>
      <c r="W192" s="526"/>
      <c r="X192" s="526"/>
    </row>
    <row r="193" spans="2:24" s="499" customFormat="1" x14ac:dyDescent="0.2">
      <c r="B193" s="722"/>
      <c r="C193" s="922" t="s">
        <v>407</v>
      </c>
      <c r="D193" s="922"/>
      <c r="E193" s="922"/>
      <c r="F193" s="922"/>
      <c r="G193" s="922"/>
      <c r="H193" s="922"/>
      <c r="I193" s="922"/>
      <c r="J193" s="922"/>
      <c r="K193" s="922"/>
      <c r="L193" s="922"/>
      <c r="M193" s="922"/>
      <c r="N193" s="923"/>
      <c r="P193" s="526"/>
      <c r="Q193" s="526"/>
      <c r="R193" s="526"/>
      <c r="S193" s="526"/>
      <c r="T193" s="526"/>
      <c r="U193" s="526"/>
      <c r="V193" s="526"/>
      <c r="W193" s="526"/>
      <c r="X193" s="526"/>
    </row>
    <row r="194" spans="2:24" s="499" customFormat="1" x14ac:dyDescent="0.2">
      <c r="B194" s="722"/>
      <c r="C194" s="924"/>
      <c r="D194" s="924"/>
      <c r="E194" s="924"/>
      <c r="F194" s="924"/>
      <c r="G194" s="924"/>
      <c r="H194" s="924"/>
      <c r="I194" s="924"/>
      <c r="J194" s="924"/>
      <c r="K194" s="924"/>
      <c r="L194" s="924"/>
      <c r="M194" s="924"/>
      <c r="N194" s="925"/>
      <c r="P194" s="526"/>
      <c r="Q194" s="526"/>
      <c r="R194" s="526"/>
      <c r="S194" s="526"/>
      <c r="T194" s="526"/>
      <c r="U194" s="526"/>
      <c r="V194" s="526"/>
      <c r="W194" s="526"/>
      <c r="X194" s="526"/>
    </row>
    <row r="195" spans="2:24" s="499" customFormat="1" x14ac:dyDescent="0.2">
      <c r="B195" s="722"/>
      <c r="C195" s="920"/>
      <c r="D195" s="920"/>
      <c r="E195" s="920"/>
      <c r="F195" s="920"/>
      <c r="G195" s="920"/>
      <c r="H195" s="920"/>
      <c r="I195" s="920"/>
      <c r="J195" s="920"/>
      <c r="K195" s="920"/>
      <c r="L195" s="920"/>
      <c r="M195" s="920"/>
      <c r="N195" s="921"/>
      <c r="P195" s="526"/>
      <c r="Q195" s="526"/>
      <c r="R195" s="526"/>
      <c r="S195" s="526"/>
      <c r="T195" s="526"/>
      <c r="U195" s="526"/>
      <c r="V195" s="526"/>
      <c r="W195" s="526"/>
      <c r="X195" s="526"/>
    </row>
    <row r="196" spans="2:24" s="499" customFormat="1" x14ac:dyDescent="0.2">
      <c r="B196" s="722"/>
      <c r="C196" s="920"/>
      <c r="D196" s="920"/>
      <c r="E196" s="920"/>
      <c r="F196" s="920"/>
      <c r="G196" s="920"/>
      <c r="H196" s="920"/>
      <c r="I196" s="920"/>
      <c r="J196" s="920"/>
      <c r="K196" s="920"/>
      <c r="L196" s="920"/>
      <c r="M196" s="920"/>
      <c r="N196" s="921"/>
      <c r="P196" s="526"/>
      <c r="Q196" s="526"/>
      <c r="R196" s="526"/>
      <c r="S196" s="526"/>
      <c r="T196" s="526"/>
      <c r="U196" s="526"/>
      <c r="V196" s="526"/>
      <c r="W196" s="526"/>
      <c r="X196" s="526"/>
    </row>
    <row r="197" spans="2:24" s="499" customFormat="1" x14ac:dyDescent="0.2">
      <c r="B197" s="722"/>
      <c r="C197" s="920"/>
      <c r="D197" s="920"/>
      <c r="E197" s="920"/>
      <c r="F197" s="920"/>
      <c r="G197" s="920"/>
      <c r="H197" s="920"/>
      <c r="I197" s="920"/>
      <c r="J197" s="920"/>
      <c r="K197" s="920"/>
      <c r="L197" s="920"/>
      <c r="M197" s="920"/>
      <c r="N197" s="921"/>
      <c r="P197" s="526"/>
      <c r="Q197" s="526"/>
      <c r="R197" s="526"/>
      <c r="S197" s="526"/>
      <c r="T197" s="526"/>
      <c r="U197" s="526"/>
      <c r="V197" s="526"/>
      <c r="W197" s="526"/>
      <c r="X197" s="526"/>
    </row>
    <row r="198" spans="2:24" s="499" customFormat="1" x14ac:dyDescent="0.2">
      <c r="B198" s="722"/>
      <c r="C198" s="920"/>
      <c r="D198" s="920"/>
      <c r="E198" s="920"/>
      <c r="F198" s="920"/>
      <c r="G198" s="920"/>
      <c r="H198" s="920"/>
      <c r="I198" s="920"/>
      <c r="J198" s="920"/>
      <c r="K198" s="920"/>
      <c r="L198" s="920"/>
      <c r="M198" s="920"/>
      <c r="N198" s="921"/>
      <c r="P198" s="526"/>
      <c r="Q198" s="526"/>
      <c r="R198" s="526"/>
      <c r="S198" s="526"/>
      <c r="T198" s="526"/>
      <c r="U198" s="526"/>
      <c r="V198" s="526"/>
      <c r="W198" s="526"/>
      <c r="X198" s="526"/>
    </row>
    <row r="199" spans="2:24" s="499" customFormat="1" x14ac:dyDescent="0.2">
      <c r="B199" s="722"/>
      <c r="C199" s="920"/>
      <c r="D199" s="920"/>
      <c r="E199" s="920"/>
      <c r="F199" s="920"/>
      <c r="G199" s="920"/>
      <c r="H199" s="920"/>
      <c r="I199" s="920"/>
      <c r="J199" s="920"/>
      <c r="K199" s="920"/>
      <c r="L199" s="920"/>
      <c r="M199" s="920"/>
      <c r="N199" s="921"/>
      <c r="P199" s="526"/>
      <c r="Q199" s="526"/>
      <c r="R199" s="526"/>
      <c r="S199" s="526"/>
      <c r="T199" s="526"/>
      <c r="U199" s="526"/>
      <c r="V199" s="526"/>
      <c r="W199" s="526"/>
      <c r="X199" s="526"/>
    </row>
    <row r="200" spans="2:24" s="499" customFormat="1" x14ac:dyDescent="0.2">
      <c r="B200" s="722"/>
      <c r="C200" s="549"/>
      <c r="D200" s="549"/>
      <c r="E200" s="498"/>
      <c r="F200" s="549"/>
      <c r="G200" s="498"/>
      <c r="H200" s="498"/>
      <c r="I200" s="550"/>
      <c r="J200" s="498"/>
      <c r="K200" s="498"/>
      <c r="L200" s="498"/>
      <c r="M200" s="498"/>
      <c r="N200" s="753"/>
      <c r="P200" s="526"/>
      <c r="Q200" s="526"/>
      <c r="R200" s="526"/>
      <c r="S200" s="526"/>
      <c r="T200" s="526"/>
      <c r="U200" s="526"/>
      <c r="V200" s="526"/>
      <c r="W200" s="526"/>
      <c r="X200" s="526"/>
    </row>
    <row r="201" spans="2:24" s="533" customFormat="1" ht="13" x14ac:dyDescent="0.15">
      <c r="B201" s="728"/>
      <c r="C201" s="541"/>
      <c r="D201" s="541"/>
      <c r="E201" s="541"/>
      <c r="F201" s="541"/>
      <c r="G201" s="541"/>
      <c r="H201" s="541"/>
      <c r="I201" s="541"/>
      <c r="J201" s="541"/>
      <c r="K201" s="541"/>
      <c r="L201" s="541"/>
      <c r="M201" s="541"/>
      <c r="N201" s="746"/>
      <c r="P201" s="517"/>
      <c r="Q201" s="517"/>
      <c r="R201" s="517"/>
      <c r="S201" s="517"/>
      <c r="T201" s="517"/>
      <c r="U201" s="517"/>
      <c r="V201" s="517"/>
      <c r="W201" s="517"/>
      <c r="X201" s="517"/>
    </row>
    <row r="202" spans="2:24" s="533" customFormat="1" ht="13" x14ac:dyDescent="0.15">
      <c r="B202" s="728"/>
      <c r="C202" s="541"/>
      <c r="D202" s="541"/>
      <c r="E202" s="541"/>
      <c r="F202" s="541"/>
      <c r="G202" s="541"/>
      <c r="H202" s="541"/>
      <c r="I202" s="541"/>
      <c r="J202" s="541"/>
      <c r="K202" s="541"/>
      <c r="L202" s="541"/>
      <c r="M202" s="541"/>
      <c r="N202" s="746"/>
      <c r="P202" s="517"/>
      <c r="Q202" s="517"/>
      <c r="R202" s="517"/>
      <c r="S202" s="517"/>
      <c r="T202" s="517"/>
      <c r="U202" s="517"/>
      <c r="V202" s="517"/>
      <c r="W202" s="517"/>
      <c r="X202" s="517"/>
    </row>
    <row r="203" spans="2:24" s="533" customFormat="1" ht="14" thickBot="1" x14ac:dyDescent="0.2">
      <c r="B203" s="733"/>
      <c r="C203" s="736"/>
      <c r="D203" s="736"/>
      <c r="E203" s="736"/>
      <c r="F203" s="736"/>
      <c r="G203" s="736"/>
      <c r="H203" s="736"/>
      <c r="I203" s="736"/>
      <c r="J203" s="736"/>
      <c r="K203" s="736"/>
      <c r="L203" s="736"/>
      <c r="M203" s="736"/>
      <c r="N203" s="742"/>
      <c r="P203" s="517"/>
      <c r="Q203" s="517"/>
      <c r="R203" s="517"/>
      <c r="S203" s="517"/>
      <c r="T203" s="517"/>
      <c r="U203" s="517"/>
      <c r="V203" s="517"/>
      <c r="W203" s="517"/>
      <c r="X203" s="517"/>
    </row>
    <row r="204" spans="2:24" s="533" customFormat="1" ht="14" thickBot="1" x14ac:dyDescent="0.2">
      <c r="C204" s="541"/>
      <c r="D204" s="541"/>
      <c r="E204" s="541"/>
      <c r="F204" s="541"/>
      <c r="G204" s="541"/>
      <c r="H204" s="541"/>
      <c r="I204" s="541"/>
      <c r="J204" s="541"/>
      <c r="K204" s="541"/>
      <c r="L204" s="541"/>
      <c r="M204" s="541"/>
      <c r="N204" s="541"/>
      <c r="P204" s="517"/>
      <c r="Q204" s="517"/>
      <c r="R204" s="517"/>
      <c r="S204" s="517"/>
      <c r="T204" s="517"/>
      <c r="U204" s="517"/>
      <c r="V204" s="517"/>
      <c r="W204" s="517"/>
      <c r="X204" s="517"/>
    </row>
    <row r="205" spans="2:24" s="533" customFormat="1" ht="13" x14ac:dyDescent="0.15">
      <c r="B205" s="743"/>
      <c r="C205" s="744"/>
      <c r="D205" s="744"/>
      <c r="E205" s="744"/>
      <c r="F205" s="744"/>
      <c r="G205" s="744"/>
      <c r="H205" s="744"/>
      <c r="I205" s="744"/>
      <c r="J205" s="744"/>
      <c r="K205" s="744"/>
      <c r="L205" s="744"/>
      <c r="M205" s="744"/>
      <c r="N205" s="745"/>
      <c r="P205" s="517"/>
      <c r="Q205" s="517"/>
      <c r="R205" s="517"/>
      <c r="S205" s="517"/>
      <c r="T205" s="517"/>
      <c r="U205" s="517"/>
      <c r="V205" s="517"/>
      <c r="W205" s="517"/>
      <c r="X205" s="517"/>
    </row>
    <row r="206" spans="2:24" s="533" customFormat="1" ht="13" x14ac:dyDescent="0.15">
      <c r="B206" s="728"/>
      <c r="C206" s="517"/>
      <c r="D206" s="517"/>
      <c r="E206" s="517"/>
      <c r="F206" s="517"/>
      <c r="G206" s="517"/>
      <c r="H206" s="517"/>
      <c r="I206" s="517"/>
      <c r="J206" s="517"/>
      <c r="K206" s="517"/>
      <c r="L206" s="517"/>
      <c r="M206" s="517"/>
      <c r="N206" s="747"/>
      <c r="P206" s="517"/>
      <c r="Q206" s="517"/>
      <c r="R206" s="517"/>
      <c r="S206" s="517"/>
      <c r="T206" s="517"/>
      <c r="U206" s="517"/>
      <c r="V206" s="517"/>
      <c r="W206" s="517"/>
      <c r="X206" s="517"/>
    </row>
    <row r="207" spans="2:24" s="499" customFormat="1" ht="20" x14ac:dyDescent="0.2">
      <c r="B207" s="722"/>
      <c r="C207" s="887" t="s">
        <v>408</v>
      </c>
      <c r="D207" s="887"/>
      <c r="E207" s="887"/>
      <c r="F207" s="887"/>
      <c r="G207" s="887"/>
      <c r="H207" s="887"/>
      <c r="I207" s="887"/>
      <c r="J207" s="887"/>
      <c r="K207" s="887"/>
      <c r="L207" s="887"/>
      <c r="M207" s="887"/>
      <c r="N207" s="916"/>
      <c r="P207" s="526"/>
      <c r="Q207" s="526"/>
      <c r="R207" s="526"/>
      <c r="S207" s="526"/>
      <c r="T207" s="526"/>
      <c r="U207" s="526"/>
      <c r="V207" s="526"/>
      <c r="W207" s="526"/>
      <c r="X207" s="526"/>
    </row>
    <row r="208" spans="2:24" s="519" customFormat="1" ht="14" customHeight="1" x14ac:dyDescent="0.15">
      <c r="B208" s="728"/>
      <c r="C208" s="917" t="s">
        <v>209</v>
      </c>
      <c r="D208" s="917"/>
      <c r="E208" s="832" t="s">
        <v>210</v>
      </c>
      <c r="F208" s="917" t="s">
        <v>211</v>
      </c>
      <c r="G208" s="917"/>
      <c r="H208" s="917"/>
      <c r="I208" s="917"/>
      <c r="J208" s="917"/>
      <c r="K208" s="832" t="s">
        <v>212</v>
      </c>
      <c r="L208" s="832" t="s">
        <v>213</v>
      </c>
      <c r="M208" s="832" t="s">
        <v>214</v>
      </c>
      <c r="N208" s="729" t="s">
        <v>83</v>
      </c>
      <c r="O208" s="517"/>
      <c r="P208" s="518"/>
      <c r="Q208" s="518"/>
      <c r="R208" s="518"/>
      <c r="S208" s="518"/>
      <c r="T208" s="518"/>
      <c r="U208" s="518"/>
      <c r="V208" s="518"/>
      <c r="W208" s="518"/>
      <c r="X208" s="518"/>
    </row>
    <row r="209" spans="2:24" s="519" customFormat="1" ht="13" x14ac:dyDescent="0.15">
      <c r="B209" s="728"/>
      <c r="C209" s="901" t="s">
        <v>409</v>
      </c>
      <c r="D209" s="902"/>
      <c r="E209" s="520"/>
      <c r="F209" s="907" t="s">
        <v>410</v>
      </c>
      <c r="G209" s="908"/>
      <c r="H209" s="908"/>
      <c r="I209" s="908"/>
      <c r="J209" s="909"/>
      <c r="K209" s="625">
        <v>1.25</v>
      </c>
      <c r="L209" s="626" t="s">
        <v>222</v>
      </c>
      <c r="M209" s="627">
        <v>6000</v>
      </c>
      <c r="N209" s="730">
        <f>SUM(K209*M209)</f>
        <v>7500</v>
      </c>
      <c r="P209" s="518"/>
      <c r="Q209" s="518"/>
      <c r="R209" s="518"/>
      <c r="S209" s="518"/>
      <c r="T209" s="518"/>
      <c r="U209" s="518"/>
      <c r="V209" s="518"/>
      <c r="W209" s="518"/>
      <c r="X209" s="518"/>
    </row>
    <row r="210" spans="2:24" s="519" customFormat="1" ht="13" x14ac:dyDescent="0.15">
      <c r="B210" s="728"/>
      <c r="C210" s="918"/>
      <c r="D210" s="919"/>
      <c r="E210" s="520"/>
      <c r="F210" s="894" t="s">
        <v>411</v>
      </c>
      <c r="G210" s="895"/>
      <c r="H210" s="895"/>
      <c r="I210" s="895"/>
      <c r="J210" s="896"/>
      <c r="K210" s="520"/>
      <c r="L210" s="521" t="s">
        <v>222</v>
      </c>
      <c r="M210" s="522">
        <v>4000</v>
      </c>
      <c r="N210" s="730">
        <f t="shared" ref="N210:N224" si="4">SUM(K210*M210)</f>
        <v>0</v>
      </c>
      <c r="P210" s="518"/>
      <c r="Q210" s="518"/>
      <c r="R210" s="518"/>
      <c r="S210" s="518"/>
      <c r="T210" s="518"/>
      <c r="U210" s="518"/>
      <c r="V210" s="518"/>
      <c r="W210" s="518"/>
      <c r="X210" s="518"/>
    </row>
    <row r="211" spans="2:24" s="519" customFormat="1" ht="13" x14ac:dyDescent="0.15">
      <c r="B211" s="728"/>
      <c r="C211" s="905"/>
      <c r="D211" s="906"/>
      <c r="E211" s="520"/>
      <c r="F211" s="913" t="s">
        <v>412</v>
      </c>
      <c r="G211" s="914"/>
      <c r="H211" s="914"/>
      <c r="I211" s="914"/>
      <c r="J211" s="915"/>
      <c r="K211" s="520"/>
      <c r="L211" s="521" t="s">
        <v>222</v>
      </c>
      <c r="M211" s="522">
        <v>1700</v>
      </c>
      <c r="N211" s="730">
        <f t="shared" si="4"/>
        <v>0</v>
      </c>
      <c r="P211" s="518"/>
      <c r="Q211" s="518"/>
      <c r="R211" s="518"/>
      <c r="S211" s="518"/>
      <c r="T211" s="518"/>
      <c r="U211" s="518"/>
      <c r="V211" s="518"/>
      <c r="W211" s="518"/>
      <c r="X211" s="518"/>
    </row>
    <row r="212" spans="2:24" s="519" customFormat="1" ht="13" x14ac:dyDescent="0.15">
      <c r="B212" s="728"/>
      <c r="C212" s="905"/>
      <c r="D212" s="906"/>
      <c r="E212" s="520"/>
      <c r="F212" s="913" t="s">
        <v>413</v>
      </c>
      <c r="G212" s="914"/>
      <c r="H212" s="914"/>
      <c r="I212" s="914"/>
      <c r="J212" s="915"/>
      <c r="K212" s="520"/>
      <c r="L212" s="521" t="s">
        <v>222</v>
      </c>
      <c r="M212" s="522">
        <v>2000</v>
      </c>
      <c r="N212" s="730">
        <f t="shared" si="4"/>
        <v>0</v>
      </c>
      <c r="P212" s="518"/>
      <c r="Q212" s="518"/>
      <c r="R212" s="518"/>
      <c r="S212" s="518"/>
      <c r="T212" s="518"/>
      <c r="U212" s="518"/>
      <c r="V212" s="518"/>
      <c r="W212" s="518"/>
      <c r="X212" s="518"/>
    </row>
    <row r="213" spans="2:24" s="519" customFormat="1" ht="13" x14ac:dyDescent="0.15">
      <c r="B213" s="728"/>
      <c r="C213" s="905"/>
      <c r="D213" s="906"/>
      <c r="E213" s="520"/>
      <c r="F213" s="894" t="s">
        <v>414</v>
      </c>
      <c r="G213" s="895"/>
      <c r="H213" s="895"/>
      <c r="I213" s="895"/>
      <c r="J213" s="896"/>
      <c r="K213" s="520"/>
      <c r="L213" s="521" t="s">
        <v>222</v>
      </c>
      <c r="M213" s="522">
        <v>2300</v>
      </c>
      <c r="N213" s="730">
        <f t="shared" si="4"/>
        <v>0</v>
      </c>
      <c r="P213" s="518"/>
      <c r="Q213" s="518"/>
      <c r="R213" s="518"/>
      <c r="S213" s="518"/>
      <c r="T213" s="518"/>
      <c r="U213" s="518"/>
      <c r="V213" s="518"/>
      <c r="W213" s="518"/>
      <c r="X213" s="518"/>
    </row>
    <row r="214" spans="2:24" s="519" customFormat="1" ht="13" x14ac:dyDescent="0.15">
      <c r="B214" s="728"/>
      <c r="C214" s="905"/>
      <c r="D214" s="906"/>
      <c r="E214" s="520"/>
      <c r="F214" s="894" t="s">
        <v>415</v>
      </c>
      <c r="G214" s="895"/>
      <c r="H214" s="895"/>
      <c r="I214" s="895"/>
      <c r="J214" s="896"/>
      <c r="K214" s="520"/>
      <c r="L214" s="521" t="s">
        <v>222</v>
      </c>
      <c r="M214" s="522">
        <v>6500</v>
      </c>
      <c r="N214" s="730">
        <f t="shared" si="4"/>
        <v>0</v>
      </c>
      <c r="P214" s="518"/>
      <c r="Q214" s="518"/>
      <c r="R214" s="518"/>
      <c r="S214" s="518"/>
      <c r="T214" s="518"/>
      <c r="U214" s="518"/>
      <c r="V214" s="518"/>
      <c r="W214" s="518"/>
      <c r="X214" s="518"/>
    </row>
    <row r="215" spans="2:24" s="519" customFormat="1" ht="13" x14ac:dyDescent="0.15">
      <c r="B215" s="728"/>
      <c r="C215" s="905"/>
      <c r="D215" s="906"/>
      <c r="E215" s="520"/>
      <c r="F215" s="894" t="s">
        <v>416</v>
      </c>
      <c r="G215" s="895"/>
      <c r="H215" s="895"/>
      <c r="I215" s="895"/>
      <c r="J215" s="896"/>
      <c r="K215" s="520"/>
      <c r="L215" s="521" t="s">
        <v>222</v>
      </c>
      <c r="M215" s="522">
        <v>3000</v>
      </c>
      <c r="N215" s="730">
        <f t="shared" si="4"/>
        <v>0</v>
      </c>
      <c r="P215" s="518"/>
      <c r="Q215" s="518"/>
      <c r="R215" s="518"/>
      <c r="S215" s="518"/>
      <c r="T215" s="518"/>
      <c r="U215" s="518"/>
      <c r="V215" s="518"/>
      <c r="W215" s="518"/>
      <c r="X215" s="518"/>
    </row>
    <row r="216" spans="2:24" s="519" customFormat="1" ht="13" x14ac:dyDescent="0.15">
      <c r="B216" s="728"/>
      <c r="C216" s="905"/>
      <c r="D216" s="906"/>
      <c r="E216" s="520"/>
      <c r="F216" s="894" t="s">
        <v>417</v>
      </c>
      <c r="G216" s="895"/>
      <c r="H216" s="895"/>
      <c r="I216" s="895"/>
      <c r="J216" s="896"/>
      <c r="K216" s="520"/>
      <c r="L216" s="521" t="s">
        <v>222</v>
      </c>
      <c r="M216" s="522">
        <v>600</v>
      </c>
      <c r="N216" s="730">
        <f t="shared" si="4"/>
        <v>0</v>
      </c>
      <c r="P216" s="518"/>
      <c r="Q216" s="518"/>
      <c r="R216" s="518"/>
      <c r="S216" s="518"/>
      <c r="T216" s="518"/>
      <c r="U216" s="518"/>
      <c r="V216" s="518"/>
      <c r="W216" s="518"/>
      <c r="X216" s="518"/>
    </row>
    <row r="217" spans="2:24" s="519" customFormat="1" ht="13" x14ac:dyDescent="0.15">
      <c r="B217" s="728"/>
      <c r="C217" s="899"/>
      <c r="D217" s="900"/>
      <c r="E217" s="520"/>
      <c r="F217" s="894" t="s">
        <v>418</v>
      </c>
      <c r="G217" s="895"/>
      <c r="H217" s="895"/>
      <c r="I217" s="895"/>
      <c r="J217" s="896"/>
      <c r="K217" s="520"/>
      <c r="L217" s="521" t="s">
        <v>222</v>
      </c>
      <c r="M217" s="522">
        <v>500</v>
      </c>
      <c r="N217" s="730">
        <f t="shared" si="4"/>
        <v>0</v>
      </c>
      <c r="P217" s="518"/>
      <c r="Q217" s="518"/>
      <c r="R217" s="518"/>
      <c r="S217" s="518"/>
      <c r="T217" s="518"/>
      <c r="U217" s="518"/>
      <c r="V217" s="518"/>
      <c r="W217" s="518"/>
      <c r="X217" s="518"/>
    </row>
    <row r="218" spans="2:24" s="519" customFormat="1" ht="13" x14ac:dyDescent="0.15">
      <c r="B218" s="728"/>
      <c r="C218" s="901" t="s">
        <v>419</v>
      </c>
      <c r="D218" s="902"/>
      <c r="E218" s="520"/>
      <c r="F218" s="894" t="s">
        <v>420</v>
      </c>
      <c r="G218" s="895"/>
      <c r="H218" s="895"/>
      <c r="I218" s="895"/>
      <c r="J218" s="896"/>
      <c r="K218" s="520"/>
      <c r="L218" s="521" t="s">
        <v>222</v>
      </c>
      <c r="M218" s="522">
        <v>7000</v>
      </c>
      <c r="N218" s="730">
        <f t="shared" si="4"/>
        <v>0</v>
      </c>
      <c r="P218" s="518"/>
      <c r="Q218" s="518"/>
      <c r="R218" s="518"/>
      <c r="S218" s="518"/>
      <c r="T218" s="518"/>
      <c r="U218" s="518"/>
      <c r="V218" s="518"/>
      <c r="W218" s="518"/>
      <c r="X218" s="518"/>
    </row>
    <row r="219" spans="2:24" s="519" customFormat="1" ht="13" x14ac:dyDescent="0.15">
      <c r="B219" s="728"/>
      <c r="C219" s="905"/>
      <c r="D219" s="906"/>
      <c r="E219" s="520"/>
      <c r="F219" s="894" t="s">
        <v>421</v>
      </c>
      <c r="G219" s="895"/>
      <c r="H219" s="895"/>
      <c r="I219" s="895"/>
      <c r="J219" s="896"/>
      <c r="K219" s="520"/>
      <c r="L219" s="521" t="s">
        <v>222</v>
      </c>
      <c r="M219" s="522">
        <v>1500</v>
      </c>
      <c r="N219" s="730">
        <f t="shared" si="4"/>
        <v>0</v>
      </c>
      <c r="P219" s="518"/>
      <c r="Q219" s="518"/>
      <c r="R219" s="518"/>
      <c r="S219" s="518"/>
      <c r="T219" s="518"/>
      <c r="U219" s="518"/>
      <c r="V219" s="518"/>
      <c r="W219" s="518"/>
      <c r="X219" s="518"/>
    </row>
    <row r="220" spans="2:24" s="519" customFormat="1" ht="13" x14ac:dyDescent="0.15">
      <c r="B220" s="728"/>
      <c r="C220" s="899"/>
      <c r="D220" s="900"/>
      <c r="E220" s="520"/>
      <c r="F220" s="913" t="s">
        <v>422</v>
      </c>
      <c r="G220" s="914"/>
      <c r="H220" s="914"/>
      <c r="I220" s="914"/>
      <c r="J220" s="915"/>
      <c r="K220" s="520">
        <v>1</v>
      </c>
      <c r="L220" s="521" t="s">
        <v>222</v>
      </c>
      <c r="M220" s="522">
        <v>600</v>
      </c>
      <c r="N220" s="730">
        <f t="shared" si="4"/>
        <v>600</v>
      </c>
      <c r="P220" s="518"/>
      <c r="Q220" s="518"/>
      <c r="R220" s="518"/>
      <c r="S220" s="518"/>
      <c r="T220" s="518"/>
      <c r="U220" s="518"/>
      <c r="V220" s="518"/>
      <c r="W220" s="518"/>
      <c r="X220" s="518"/>
    </row>
    <row r="221" spans="2:24" s="519" customFormat="1" ht="13" x14ac:dyDescent="0.15">
      <c r="B221" s="728"/>
      <c r="C221" s="901" t="s">
        <v>423</v>
      </c>
      <c r="D221" s="902"/>
      <c r="E221" s="520"/>
      <c r="F221" s="907" t="s">
        <v>424</v>
      </c>
      <c r="G221" s="908"/>
      <c r="H221" s="908"/>
      <c r="I221" s="908"/>
      <c r="J221" s="909"/>
      <c r="K221" s="625">
        <v>1</v>
      </c>
      <c r="L221" s="626" t="s">
        <v>222</v>
      </c>
      <c r="M221" s="627">
        <v>7000</v>
      </c>
      <c r="N221" s="730">
        <f t="shared" si="4"/>
        <v>7000</v>
      </c>
      <c r="P221" s="518"/>
      <c r="Q221" s="518"/>
      <c r="R221" s="518"/>
      <c r="S221" s="518"/>
      <c r="T221" s="518"/>
      <c r="U221" s="518"/>
      <c r="V221" s="518"/>
      <c r="W221" s="518"/>
      <c r="X221" s="518"/>
    </row>
    <row r="222" spans="2:24" s="519" customFormat="1" ht="13" x14ac:dyDescent="0.15">
      <c r="B222" s="728"/>
      <c r="C222" s="905"/>
      <c r="D222" s="906"/>
      <c r="E222" s="520"/>
      <c r="F222" s="894" t="s">
        <v>425</v>
      </c>
      <c r="G222" s="895"/>
      <c r="H222" s="895"/>
      <c r="I222" s="895"/>
      <c r="J222" s="896"/>
      <c r="K222" s="520"/>
      <c r="L222" s="521" t="s">
        <v>222</v>
      </c>
      <c r="M222" s="522">
        <v>3000</v>
      </c>
      <c r="N222" s="730">
        <f t="shared" si="4"/>
        <v>0</v>
      </c>
      <c r="P222" s="518"/>
      <c r="Q222" s="518"/>
      <c r="R222" s="518"/>
      <c r="S222" s="518"/>
      <c r="T222" s="518"/>
      <c r="U222" s="518"/>
      <c r="V222" s="518"/>
      <c r="W222" s="518"/>
      <c r="X222" s="518"/>
    </row>
    <row r="223" spans="2:24" s="519" customFormat="1" ht="13" x14ac:dyDescent="0.15">
      <c r="B223" s="728"/>
      <c r="C223" s="905"/>
      <c r="D223" s="906"/>
      <c r="E223" s="520"/>
      <c r="F223" s="913" t="s">
        <v>426</v>
      </c>
      <c r="G223" s="914"/>
      <c r="H223" s="914"/>
      <c r="I223" s="914"/>
      <c r="J223" s="915"/>
      <c r="K223" s="520"/>
      <c r="L223" s="521" t="s">
        <v>222</v>
      </c>
      <c r="M223" s="522">
        <v>2000</v>
      </c>
      <c r="N223" s="730">
        <f t="shared" si="4"/>
        <v>0</v>
      </c>
      <c r="P223" s="518"/>
      <c r="Q223" s="518"/>
      <c r="R223" s="518"/>
      <c r="S223" s="518"/>
      <c r="T223" s="518"/>
      <c r="U223" s="518"/>
      <c r="V223" s="518"/>
      <c r="W223" s="518"/>
      <c r="X223" s="518"/>
    </row>
    <row r="224" spans="2:24" s="519" customFormat="1" ht="13" x14ac:dyDescent="0.15">
      <c r="B224" s="728"/>
      <c r="C224" s="899"/>
      <c r="D224" s="900"/>
      <c r="E224" s="520"/>
      <c r="F224" s="894" t="s">
        <v>427</v>
      </c>
      <c r="G224" s="895"/>
      <c r="H224" s="895"/>
      <c r="I224" s="895"/>
      <c r="J224" s="896"/>
      <c r="K224" s="520">
        <v>1</v>
      </c>
      <c r="L224" s="521" t="s">
        <v>222</v>
      </c>
      <c r="M224" s="522">
        <v>2000</v>
      </c>
      <c r="N224" s="730">
        <f t="shared" si="4"/>
        <v>2000</v>
      </c>
      <c r="P224" s="518"/>
      <c r="Q224" s="518"/>
      <c r="R224" s="518"/>
      <c r="S224" s="518"/>
      <c r="T224" s="518"/>
      <c r="U224" s="518"/>
      <c r="V224" s="518"/>
      <c r="W224" s="518"/>
      <c r="X224" s="518"/>
    </row>
    <row r="225" spans="2:24" s="499" customFormat="1" x14ac:dyDescent="0.2">
      <c r="B225" s="722"/>
      <c r="C225" s="549"/>
      <c r="D225" s="549"/>
      <c r="E225" s="498"/>
      <c r="F225" s="549"/>
      <c r="G225" s="498"/>
      <c r="H225" s="498"/>
      <c r="I225" s="550"/>
      <c r="J225" s="498"/>
      <c r="K225" s="498"/>
      <c r="L225" s="498"/>
      <c r="M225" s="498"/>
      <c r="N225" s="753"/>
      <c r="P225" s="526"/>
      <c r="Q225" s="526"/>
      <c r="R225" s="526"/>
      <c r="S225" s="526"/>
      <c r="T225" s="526"/>
      <c r="U225" s="526"/>
      <c r="V225" s="526"/>
      <c r="W225" s="526"/>
      <c r="X225" s="526"/>
    </row>
    <row r="226" spans="2:24" s="499" customFormat="1" ht="20" x14ac:dyDescent="0.2">
      <c r="B226" s="722"/>
      <c r="C226" s="887" t="s">
        <v>428</v>
      </c>
      <c r="D226" s="887"/>
      <c r="E226" s="887"/>
      <c r="F226" s="887"/>
      <c r="G226" s="887"/>
      <c r="H226" s="887"/>
      <c r="I226" s="887"/>
      <c r="J226" s="887"/>
      <c r="K226" s="887"/>
      <c r="L226" s="887"/>
      <c r="M226" s="887"/>
      <c r="N226" s="916"/>
      <c r="P226" s="526"/>
      <c r="Q226" s="526"/>
      <c r="R226" s="526"/>
      <c r="S226" s="526"/>
      <c r="T226" s="526"/>
      <c r="U226" s="526"/>
      <c r="V226" s="526"/>
      <c r="W226" s="526"/>
      <c r="X226" s="526"/>
    </row>
    <row r="227" spans="2:24" s="519" customFormat="1" ht="14" customHeight="1" x14ac:dyDescent="0.15">
      <c r="B227" s="728"/>
      <c r="C227" s="917" t="s">
        <v>209</v>
      </c>
      <c r="D227" s="917"/>
      <c r="E227" s="832" t="s">
        <v>210</v>
      </c>
      <c r="F227" s="917" t="s">
        <v>211</v>
      </c>
      <c r="G227" s="917"/>
      <c r="H227" s="917"/>
      <c r="I227" s="917"/>
      <c r="J227" s="917"/>
      <c r="K227" s="832" t="s">
        <v>212</v>
      </c>
      <c r="L227" s="832" t="s">
        <v>213</v>
      </c>
      <c r="M227" s="832" t="s">
        <v>214</v>
      </c>
      <c r="N227" s="729" t="s">
        <v>83</v>
      </c>
      <c r="O227" s="517"/>
      <c r="P227" s="518"/>
      <c r="Q227" s="518"/>
      <c r="R227" s="518"/>
      <c r="S227" s="518"/>
      <c r="T227" s="518"/>
      <c r="U227" s="518"/>
      <c r="V227" s="518"/>
      <c r="W227" s="518"/>
      <c r="X227" s="518"/>
    </row>
    <row r="228" spans="2:24" s="519" customFormat="1" ht="13" x14ac:dyDescent="0.15">
      <c r="B228" s="728"/>
      <c r="C228" s="901" t="s">
        <v>429</v>
      </c>
      <c r="D228" s="902"/>
      <c r="E228" s="520"/>
      <c r="F228" s="894" t="s">
        <v>430</v>
      </c>
      <c r="G228" s="895"/>
      <c r="H228" s="895"/>
      <c r="I228" s="895"/>
      <c r="J228" s="896"/>
      <c r="K228" s="520">
        <v>2</v>
      </c>
      <c r="L228" s="521" t="s">
        <v>222</v>
      </c>
      <c r="M228" s="522">
        <v>500</v>
      </c>
      <c r="N228" s="730">
        <f>SUM(K228*M228)</f>
        <v>1000</v>
      </c>
      <c r="P228" s="518"/>
      <c r="Q228" s="518"/>
      <c r="R228" s="518"/>
      <c r="S228" s="518"/>
      <c r="T228" s="518"/>
      <c r="U228" s="518"/>
      <c r="V228" s="518"/>
      <c r="W228" s="518"/>
      <c r="X228" s="518"/>
    </row>
    <row r="229" spans="2:24" s="519" customFormat="1" ht="13" x14ac:dyDescent="0.15">
      <c r="B229" s="728"/>
      <c r="C229" s="899"/>
      <c r="D229" s="900"/>
      <c r="E229" s="520"/>
      <c r="F229" s="894" t="s">
        <v>431</v>
      </c>
      <c r="G229" s="895"/>
      <c r="H229" s="895"/>
      <c r="I229" s="895"/>
      <c r="J229" s="896"/>
      <c r="K229" s="520">
        <v>2</v>
      </c>
      <c r="L229" s="521" t="s">
        <v>222</v>
      </c>
      <c r="M229" s="522">
        <v>500</v>
      </c>
      <c r="N229" s="730">
        <f t="shared" ref="N229:N243" si="5">SUM(K229*M229)</f>
        <v>1000</v>
      </c>
      <c r="P229" s="518"/>
      <c r="Q229" s="518"/>
      <c r="R229" s="518"/>
      <c r="S229" s="518"/>
      <c r="T229" s="518"/>
      <c r="U229" s="518"/>
      <c r="V229" s="518"/>
      <c r="W229" s="518"/>
      <c r="X229" s="518"/>
    </row>
    <row r="230" spans="2:24" s="519" customFormat="1" ht="13" x14ac:dyDescent="0.15">
      <c r="B230" s="728"/>
      <c r="C230" s="901" t="s">
        <v>432</v>
      </c>
      <c r="D230" s="902"/>
      <c r="E230" s="520"/>
      <c r="F230" s="894" t="s">
        <v>433</v>
      </c>
      <c r="G230" s="895"/>
      <c r="H230" s="895"/>
      <c r="I230" s="895"/>
      <c r="J230" s="896"/>
      <c r="K230" s="520"/>
      <c r="L230" s="521" t="s">
        <v>240</v>
      </c>
      <c r="M230" s="522">
        <v>1000</v>
      </c>
      <c r="N230" s="730">
        <f t="shared" si="5"/>
        <v>0</v>
      </c>
      <c r="P230" s="518"/>
      <c r="Q230" s="518"/>
      <c r="R230" s="518"/>
      <c r="S230" s="518"/>
      <c r="T230" s="518"/>
      <c r="U230" s="518"/>
      <c r="V230" s="518"/>
      <c r="W230" s="518"/>
      <c r="X230" s="518"/>
    </row>
    <row r="231" spans="2:24" s="519" customFormat="1" ht="13" x14ac:dyDescent="0.15">
      <c r="B231" s="728"/>
      <c r="C231" s="910" t="s">
        <v>218</v>
      </c>
      <c r="D231" s="904"/>
      <c r="E231" s="520"/>
      <c r="F231" s="894" t="s">
        <v>434</v>
      </c>
      <c r="G231" s="895"/>
      <c r="H231" s="895"/>
      <c r="I231" s="895"/>
      <c r="J231" s="896"/>
      <c r="K231" s="520"/>
      <c r="L231" s="521" t="s">
        <v>240</v>
      </c>
      <c r="M231" s="522">
        <v>2000</v>
      </c>
      <c r="N231" s="730">
        <f t="shared" si="5"/>
        <v>0</v>
      </c>
      <c r="P231" s="518"/>
      <c r="Q231" s="518"/>
      <c r="R231" s="518"/>
      <c r="S231" s="518"/>
      <c r="T231" s="606" t="s">
        <v>435</v>
      </c>
      <c r="U231" s="605">
        <v>113000</v>
      </c>
      <c r="V231" s="518"/>
      <c r="W231" s="518"/>
      <c r="X231" s="518"/>
    </row>
    <row r="232" spans="2:24" s="519" customFormat="1" ht="13" x14ac:dyDescent="0.15">
      <c r="B232" s="728"/>
      <c r="C232" s="911"/>
      <c r="D232" s="912"/>
      <c r="E232" s="520"/>
      <c r="F232" s="894" t="s">
        <v>436</v>
      </c>
      <c r="G232" s="895"/>
      <c r="H232" s="895"/>
      <c r="I232" s="895"/>
      <c r="J232" s="896"/>
      <c r="K232" s="520"/>
      <c r="L232" s="521" t="s">
        <v>240</v>
      </c>
      <c r="M232" s="522">
        <v>1500</v>
      </c>
      <c r="N232" s="730">
        <f t="shared" si="5"/>
        <v>0</v>
      </c>
      <c r="P232" s="518"/>
      <c r="Q232" s="518"/>
      <c r="R232" s="518"/>
      <c r="S232" s="518"/>
      <c r="T232" s="519" t="s">
        <v>437</v>
      </c>
      <c r="U232" s="607">
        <v>0.06</v>
      </c>
      <c r="V232" s="518"/>
      <c r="W232" s="518"/>
      <c r="X232" s="518"/>
    </row>
    <row r="233" spans="2:24" s="519" customFormat="1" ht="13" x14ac:dyDescent="0.15">
      <c r="B233" s="728"/>
      <c r="C233" s="901" t="s">
        <v>438</v>
      </c>
      <c r="D233" s="902"/>
      <c r="E233" s="520"/>
      <c r="F233" s="907" t="s">
        <v>439</v>
      </c>
      <c r="G233" s="908"/>
      <c r="H233" s="908"/>
      <c r="I233" s="908"/>
      <c r="J233" s="909"/>
      <c r="K233" s="625">
        <v>1</v>
      </c>
      <c r="L233" s="626" t="s">
        <v>222</v>
      </c>
      <c r="M233" s="627">
        <v>1500</v>
      </c>
      <c r="N233" s="730">
        <f t="shared" si="5"/>
        <v>1500</v>
      </c>
      <c r="P233" s="518"/>
      <c r="Q233" s="518"/>
      <c r="R233" s="518"/>
      <c r="S233" s="518"/>
      <c r="U233" s="609">
        <f>U231*U232</f>
        <v>6780</v>
      </c>
      <c r="V233" s="518"/>
      <c r="W233" s="518"/>
      <c r="X233" s="518"/>
    </row>
    <row r="234" spans="2:24" s="519" customFormat="1" ht="13" x14ac:dyDescent="0.15">
      <c r="B234" s="728"/>
      <c r="C234" s="910" t="s">
        <v>218</v>
      </c>
      <c r="D234" s="904"/>
      <c r="E234" s="520"/>
      <c r="F234" s="907" t="s">
        <v>440</v>
      </c>
      <c r="G234" s="908"/>
      <c r="H234" s="908"/>
      <c r="I234" s="908"/>
      <c r="J234" s="909"/>
      <c r="K234" s="625"/>
      <c r="L234" s="626" t="s">
        <v>222</v>
      </c>
      <c r="M234" s="627">
        <v>5000</v>
      </c>
      <c r="N234" s="730">
        <f t="shared" si="5"/>
        <v>0</v>
      </c>
      <c r="P234" s="518"/>
      <c r="Q234" s="518"/>
      <c r="R234" s="518"/>
      <c r="S234" s="518"/>
      <c r="T234" s="519" t="s">
        <v>441</v>
      </c>
      <c r="U234" s="607">
        <v>0.03</v>
      </c>
      <c r="V234" s="518"/>
      <c r="W234" s="518"/>
      <c r="X234" s="518"/>
    </row>
    <row r="235" spans="2:24" s="519" customFormat="1" ht="13" x14ac:dyDescent="0.15">
      <c r="B235" s="728"/>
      <c r="C235" s="910"/>
      <c r="D235" s="904"/>
      <c r="E235" s="520"/>
      <c r="F235" s="894" t="s">
        <v>442</v>
      </c>
      <c r="G235" s="895"/>
      <c r="H235" s="895"/>
      <c r="I235" s="895"/>
      <c r="J235" s="896"/>
      <c r="K235" s="520"/>
      <c r="L235" s="521" t="s">
        <v>222</v>
      </c>
      <c r="M235" s="522">
        <v>600</v>
      </c>
      <c r="N235" s="730">
        <f t="shared" si="5"/>
        <v>0</v>
      </c>
      <c r="P235" s="518"/>
      <c r="Q235" s="518"/>
      <c r="R235" s="518"/>
      <c r="S235" s="518"/>
      <c r="U235" s="609">
        <f>U234*U231</f>
        <v>3390</v>
      </c>
      <c r="V235" s="518"/>
      <c r="W235" s="518"/>
      <c r="X235" s="518"/>
    </row>
    <row r="236" spans="2:24" s="519" customFormat="1" ht="13" x14ac:dyDescent="0.15">
      <c r="B236" s="728"/>
      <c r="C236" s="905"/>
      <c r="D236" s="906"/>
      <c r="E236" s="520"/>
      <c r="F236" s="894" t="s">
        <v>443</v>
      </c>
      <c r="G236" s="895"/>
      <c r="H236" s="895"/>
      <c r="I236" s="895"/>
      <c r="J236" s="896"/>
      <c r="K236" s="520"/>
      <c r="L236" s="521" t="s">
        <v>222</v>
      </c>
      <c r="M236" s="522">
        <v>750</v>
      </c>
      <c r="N236" s="730">
        <f t="shared" si="5"/>
        <v>0</v>
      </c>
      <c r="P236" s="518"/>
      <c r="Q236" s="518"/>
      <c r="R236" s="518"/>
      <c r="S236" s="518"/>
      <c r="T236" s="519" t="s">
        <v>444</v>
      </c>
      <c r="U236" s="608">
        <f>U231-U233-U235</f>
        <v>102830</v>
      </c>
      <c r="V236" s="518"/>
      <c r="W236" s="518"/>
      <c r="X236" s="518"/>
    </row>
    <row r="237" spans="2:24" s="519" customFormat="1" ht="13" x14ac:dyDescent="0.15">
      <c r="B237" s="728"/>
      <c r="C237" s="905"/>
      <c r="D237" s="906"/>
      <c r="E237" s="520"/>
      <c r="F237" s="907" t="s">
        <v>445</v>
      </c>
      <c r="G237" s="908"/>
      <c r="H237" s="908"/>
      <c r="I237" s="908"/>
      <c r="J237" s="909"/>
      <c r="K237" s="625"/>
      <c r="L237" s="626" t="s">
        <v>222</v>
      </c>
      <c r="M237" s="627">
        <v>1500</v>
      </c>
      <c r="N237" s="730">
        <f t="shared" si="5"/>
        <v>0</v>
      </c>
      <c r="P237" s="518"/>
      <c r="Q237" s="518"/>
      <c r="R237" s="518"/>
      <c r="S237" s="518"/>
      <c r="T237" s="611" t="s">
        <v>446</v>
      </c>
      <c r="U237" s="610">
        <v>2500</v>
      </c>
      <c r="V237" s="518"/>
      <c r="W237" s="518"/>
      <c r="X237" s="518"/>
    </row>
    <row r="238" spans="2:24" s="519" customFormat="1" ht="13" x14ac:dyDescent="0.15">
      <c r="B238" s="728"/>
      <c r="C238" s="905"/>
      <c r="D238" s="906"/>
      <c r="E238" s="520"/>
      <c r="F238" s="907" t="s">
        <v>447</v>
      </c>
      <c r="G238" s="908"/>
      <c r="H238" s="908"/>
      <c r="I238" s="908"/>
      <c r="J238" s="909"/>
      <c r="K238" s="625"/>
      <c r="L238" s="626" t="s">
        <v>222</v>
      </c>
      <c r="M238" s="627">
        <v>5000</v>
      </c>
      <c r="N238" s="730">
        <f t="shared" si="5"/>
        <v>0</v>
      </c>
      <c r="P238" s="518"/>
      <c r="Q238" s="518"/>
      <c r="R238" s="518"/>
      <c r="S238" s="518"/>
      <c r="V238" s="518"/>
      <c r="W238" s="518"/>
      <c r="X238" s="518"/>
    </row>
    <row r="239" spans="2:24" s="519" customFormat="1" ht="13" x14ac:dyDescent="0.15">
      <c r="B239" s="728"/>
      <c r="C239" s="899"/>
      <c r="D239" s="900"/>
      <c r="E239" s="520"/>
      <c r="F239" s="894" t="s">
        <v>448</v>
      </c>
      <c r="G239" s="895"/>
      <c r="H239" s="895"/>
      <c r="I239" s="895"/>
      <c r="J239" s="896"/>
      <c r="K239" s="520"/>
      <c r="L239" s="521" t="s">
        <v>222</v>
      </c>
      <c r="M239" s="522">
        <v>600</v>
      </c>
      <c r="N239" s="730">
        <f t="shared" si="5"/>
        <v>0</v>
      </c>
      <c r="P239" s="518"/>
      <c r="Q239" s="518"/>
      <c r="R239" s="518"/>
      <c r="S239" s="518"/>
      <c r="T239" s="606" t="s">
        <v>449</v>
      </c>
      <c r="U239" s="605">
        <f>U231-U233-U235-U237</f>
        <v>100330</v>
      </c>
      <c r="V239" s="518"/>
      <c r="W239" s="518"/>
      <c r="X239" s="518"/>
    </row>
    <row r="240" spans="2:24" s="519" customFormat="1" ht="13" x14ac:dyDescent="0.15">
      <c r="B240" s="728"/>
      <c r="C240" s="901" t="s">
        <v>450</v>
      </c>
      <c r="D240" s="902"/>
      <c r="E240" s="520"/>
      <c r="F240" s="894"/>
      <c r="G240" s="895"/>
      <c r="H240" s="895"/>
      <c r="I240" s="895"/>
      <c r="J240" s="896"/>
      <c r="K240" s="520"/>
      <c r="L240" s="521"/>
      <c r="M240" s="522"/>
      <c r="N240" s="730">
        <f t="shared" si="5"/>
        <v>0</v>
      </c>
      <c r="P240" s="518"/>
      <c r="Q240" s="518"/>
      <c r="R240" s="518"/>
      <c r="S240" s="518"/>
      <c r="T240" s="518"/>
      <c r="U240" s="518"/>
      <c r="V240" s="518"/>
      <c r="W240" s="518"/>
      <c r="X240" s="518"/>
    </row>
    <row r="241" spans="2:24" s="519" customFormat="1" ht="13" x14ac:dyDescent="0.15">
      <c r="B241" s="728"/>
      <c r="C241" s="903" t="s">
        <v>451</v>
      </c>
      <c r="D241" s="904"/>
      <c r="E241" s="520"/>
      <c r="F241" s="894"/>
      <c r="G241" s="895"/>
      <c r="H241" s="895"/>
      <c r="I241" s="895"/>
      <c r="J241" s="896"/>
      <c r="K241" s="520"/>
      <c r="L241" s="521"/>
      <c r="M241" s="522">
        <v>1000</v>
      </c>
      <c r="N241" s="730">
        <f t="shared" si="5"/>
        <v>0</v>
      </c>
      <c r="P241" s="518"/>
      <c r="Q241" s="518"/>
      <c r="R241" s="518"/>
      <c r="S241" s="518"/>
      <c r="T241" s="518"/>
      <c r="U241" s="518"/>
      <c r="V241" s="518"/>
      <c r="W241" s="518"/>
      <c r="X241" s="518"/>
    </row>
    <row r="242" spans="2:24" s="519" customFormat="1" ht="13" x14ac:dyDescent="0.15">
      <c r="B242" s="728"/>
      <c r="C242" s="903"/>
      <c r="D242" s="904"/>
      <c r="E242" s="520"/>
      <c r="F242" s="894"/>
      <c r="G242" s="895"/>
      <c r="H242" s="895"/>
      <c r="I242" s="895"/>
      <c r="J242" s="896"/>
      <c r="K242" s="520"/>
      <c r="L242" s="521"/>
      <c r="M242" s="522"/>
      <c r="N242" s="730">
        <f t="shared" si="5"/>
        <v>0</v>
      </c>
      <c r="P242" s="518"/>
      <c r="Q242" s="518"/>
      <c r="R242" s="518"/>
      <c r="S242" s="518"/>
      <c r="T242" s="518"/>
      <c r="U242" s="518"/>
      <c r="V242" s="518"/>
      <c r="W242" s="518"/>
      <c r="X242" s="518"/>
    </row>
    <row r="243" spans="2:24" s="519" customFormat="1" ht="13" x14ac:dyDescent="0.15">
      <c r="B243" s="728"/>
      <c r="C243" s="829"/>
      <c r="D243" s="830"/>
      <c r="E243" s="520"/>
      <c r="F243" s="894"/>
      <c r="G243" s="895"/>
      <c r="H243" s="895"/>
      <c r="I243" s="895"/>
      <c r="J243" s="896"/>
      <c r="K243" s="520"/>
      <c r="L243" s="521"/>
      <c r="M243" s="522"/>
      <c r="N243" s="730">
        <f t="shared" si="5"/>
        <v>0</v>
      </c>
      <c r="P243" s="518"/>
      <c r="Q243" s="518"/>
      <c r="R243" s="518"/>
      <c r="S243" s="518"/>
      <c r="T243" s="518"/>
      <c r="U243" s="518"/>
      <c r="V243" s="518"/>
      <c r="W243" s="518"/>
      <c r="X243" s="518"/>
    </row>
    <row r="244" spans="2:24" s="519" customFormat="1" ht="19" thickBot="1" x14ac:dyDescent="0.2">
      <c r="B244" s="728"/>
      <c r="C244" s="825"/>
      <c r="D244" s="537"/>
      <c r="E244" s="541"/>
      <c r="F244" s="537"/>
      <c r="G244" s="541"/>
      <c r="H244" s="541"/>
      <c r="I244" s="541"/>
      <c r="J244" s="541"/>
      <c r="K244" s="541"/>
      <c r="L244" s="564" t="s">
        <v>452</v>
      </c>
      <c r="M244" s="885">
        <f>SUM(N10:N43,N49:N81,N102:N149,N155:N191,N209:N224,N228:N243)</f>
        <v>84539</v>
      </c>
      <c r="N244" s="886"/>
      <c r="P244" s="518"/>
      <c r="Q244" s="518"/>
      <c r="R244" s="518"/>
      <c r="S244" s="518"/>
      <c r="T244" s="518"/>
      <c r="U244" s="518"/>
      <c r="V244" s="518"/>
      <c r="W244" s="518"/>
      <c r="X244" s="518"/>
    </row>
    <row r="245" spans="2:24" s="519" customFormat="1" ht="13" x14ac:dyDescent="0.15">
      <c r="B245" s="728"/>
      <c r="C245" s="897" t="s">
        <v>453</v>
      </c>
      <c r="D245" s="897"/>
      <c r="E245" s="565"/>
      <c r="F245" s="898" t="s">
        <v>454</v>
      </c>
      <c r="G245" s="898"/>
      <c r="H245" s="898"/>
      <c r="I245" s="898"/>
      <c r="J245" s="898"/>
      <c r="K245" s="565"/>
      <c r="L245" s="521" t="s">
        <v>222</v>
      </c>
      <c r="M245" s="629">
        <v>2000</v>
      </c>
      <c r="N245" s="730">
        <f>SUM(K245*M245)</f>
        <v>0</v>
      </c>
      <c r="P245" s="518"/>
      <c r="Q245" s="518"/>
      <c r="R245" s="518"/>
      <c r="S245" s="518"/>
      <c r="T245" s="518"/>
      <c r="U245" s="518"/>
      <c r="V245" s="518"/>
      <c r="W245" s="518"/>
      <c r="X245" s="518"/>
    </row>
    <row r="246" spans="2:24" s="519" customFormat="1" ht="13" x14ac:dyDescent="0.15">
      <c r="B246" s="728"/>
      <c r="C246" s="897" t="s">
        <v>455</v>
      </c>
      <c r="D246" s="897"/>
      <c r="E246" s="565"/>
      <c r="F246" s="898" t="s">
        <v>456</v>
      </c>
      <c r="G246" s="898"/>
      <c r="H246" s="898"/>
      <c r="I246" s="898"/>
      <c r="J246" s="898"/>
      <c r="K246" s="625">
        <v>10</v>
      </c>
      <c r="L246" s="626" t="s">
        <v>457</v>
      </c>
      <c r="M246" s="628">
        <f>SUM(M244)</f>
        <v>84539</v>
      </c>
      <c r="N246" s="754">
        <f>IF(K246&gt;0,M244*(K246/100)," ")</f>
        <v>8453.9</v>
      </c>
      <c r="P246" s="518"/>
      <c r="Q246" s="518"/>
      <c r="R246" s="518"/>
      <c r="S246" s="518"/>
      <c r="T246" s="518"/>
      <c r="U246" s="518"/>
      <c r="V246" s="518"/>
      <c r="W246" s="518"/>
      <c r="X246" s="518"/>
    </row>
    <row r="247" spans="2:24" s="519" customFormat="1" ht="19" thickBot="1" x14ac:dyDescent="0.2">
      <c r="B247" s="728"/>
      <c r="C247" s="537"/>
      <c r="D247" s="537"/>
      <c r="E247" s="538"/>
      <c r="F247" s="831"/>
      <c r="G247" s="831"/>
      <c r="H247" s="831"/>
      <c r="I247" s="831"/>
      <c r="J247" s="831"/>
      <c r="K247" s="538"/>
      <c r="L247" s="564" t="s">
        <v>458</v>
      </c>
      <c r="M247" s="885">
        <f>SUM(M244,N245:N246)</f>
        <v>92992.9</v>
      </c>
      <c r="N247" s="886"/>
      <c r="P247" s="518"/>
      <c r="Q247" s="518"/>
      <c r="R247" s="518"/>
      <c r="S247" s="518"/>
      <c r="T247" s="518"/>
      <c r="U247" s="518"/>
      <c r="V247" s="518"/>
      <c r="W247" s="518"/>
      <c r="X247" s="518"/>
    </row>
    <row r="248" spans="2:24" s="499" customFormat="1" ht="21" thickBot="1" x14ac:dyDescent="0.25">
      <c r="B248" s="722"/>
      <c r="C248" s="566"/>
      <c r="D248" s="566"/>
      <c r="E248" s="887" t="s">
        <v>459</v>
      </c>
      <c r="F248" s="887"/>
      <c r="G248" s="887"/>
      <c r="H248" s="887"/>
      <c r="I248" s="887"/>
      <c r="J248" s="887"/>
      <c r="K248" s="887"/>
      <c r="L248" s="887"/>
      <c r="M248" s="566"/>
      <c r="N248" s="755"/>
      <c r="P248" s="526"/>
      <c r="Q248" s="526"/>
      <c r="R248" s="526"/>
      <c r="S248" s="526"/>
      <c r="T248" s="526"/>
      <c r="U248" s="526"/>
      <c r="V248" s="526"/>
      <c r="W248" s="526"/>
      <c r="X248" s="526"/>
    </row>
    <row r="249" spans="2:24" s="499" customFormat="1" ht="18" customHeight="1" thickTop="1" x14ac:dyDescent="0.2">
      <c r="B249" s="722"/>
      <c r="C249" s="549"/>
      <c r="D249" s="567" t="s">
        <v>460</v>
      </c>
      <c r="E249" s="568"/>
      <c r="F249" s="569"/>
      <c r="G249" s="570">
        <f>SUM(N10:N43,N49:N81)</f>
        <v>25275</v>
      </c>
      <c r="H249" s="569"/>
      <c r="I249" s="888" t="s">
        <v>461</v>
      </c>
      <c r="J249" s="888"/>
      <c r="K249" s="888"/>
      <c r="L249" s="889">
        <f>SUM(N209:N224)</f>
        <v>17100</v>
      </c>
      <c r="M249" s="890"/>
      <c r="N249" s="753"/>
      <c r="P249" s="526"/>
      <c r="Q249" s="571">
        <f>G249</f>
        <v>25275</v>
      </c>
      <c r="R249" s="526" t="str">
        <f>D249</f>
        <v>Exterior Repairs</v>
      </c>
      <c r="S249" s="526"/>
      <c r="T249" s="526"/>
      <c r="U249" s="526"/>
      <c r="V249" s="526"/>
      <c r="W249" s="526"/>
      <c r="X249" s="526"/>
    </row>
    <row r="250" spans="2:24" s="499" customFormat="1" ht="18" customHeight="1" x14ac:dyDescent="0.2">
      <c r="B250" s="722"/>
      <c r="C250" s="549"/>
      <c r="D250" s="572" t="s">
        <v>462</v>
      </c>
      <c r="E250" s="573"/>
      <c r="F250" s="574"/>
      <c r="G250" s="575">
        <f>SUM(N102:N149,N155:N191)</f>
        <v>38664</v>
      </c>
      <c r="H250" s="574"/>
      <c r="I250" s="891" t="s">
        <v>463</v>
      </c>
      <c r="J250" s="891"/>
      <c r="K250" s="891"/>
      <c r="L250" s="892">
        <f>SUM(N228:N243,N245:N246)</f>
        <v>11953.9</v>
      </c>
      <c r="M250" s="893"/>
      <c r="N250" s="753"/>
      <c r="P250" s="526"/>
      <c r="Q250" s="571">
        <f>G250</f>
        <v>38664</v>
      </c>
      <c r="R250" s="526" t="str">
        <f>D250</f>
        <v>Interior Repairs</v>
      </c>
      <c r="S250" s="526"/>
      <c r="T250" s="526"/>
      <c r="U250" s="526"/>
      <c r="V250" s="526"/>
      <c r="W250" s="526"/>
      <c r="X250" s="526"/>
    </row>
    <row r="251" spans="2:24" s="499" customFormat="1" ht="18" customHeight="1" thickBot="1" x14ac:dyDescent="0.25">
      <c r="B251" s="722"/>
      <c r="C251" s="498"/>
      <c r="D251" s="878" t="s">
        <v>458</v>
      </c>
      <c r="E251" s="879"/>
      <c r="F251" s="879"/>
      <c r="G251" s="833">
        <f>SUM(G249:G250,L249:M250)</f>
        <v>92992.9</v>
      </c>
      <c r="H251" s="576"/>
      <c r="I251" s="880" t="s">
        <v>39</v>
      </c>
      <c r="J251" s="880"/>
      <c r="K251" s="880"/>
      <c r="L251" s="881">
        <f>'DEAL ANALYZER'!E51</f>
        <v>250000</v>
      </c>
      <c r="M251" s="882"/>
      <c r="N251" s="753"/>
      <c r="P251" s="526"/>
      <c r="Q251" s="571">
        <f>L249</f>
        <v>17100</v>
      </c>
      <c r="R251" s="577" t="str">
        <f>I249</f>
        <v>Mechanical Repairs</v>
      </c>
      <c r="S251" s="526"/>
      <c r="T251" s="526"/>
      <c r="U251" s="526"/>
      <c r="V251" s="526"/>
      <c r="W251" s="526"/>
      <c r="X251" s="526"/>
    </row>
    <row r="252" spans="2:24" s="499" customFormat="1" ht="18" customHeight="1" thickTop="1" x14ac:dyDescent="0.2">
      <c r="B252" s="722"/>
      <c r="N252" s="740"/>
      <c r="P252" s="526"/>
      <c r="Q252" s="571">
        <f>L250</f>
        <v>11953.9</v>
      </c>
      <c r="R252" s="577" t="str">
        <f>I250</f>
        <v>Other Repairs</v>
      </c>
      <c r="S252" s="526"/>
      <c r="T252" s="526"/>
      <c r="U252" s="526"/>
      <c r="V252" s="526"/>
      <c r="W252" s="526"/>
      <c r="X252" s="526"/>
    </row>
    <row r="253" spans="2:24" s="499" customFormat="1" ht="18" customHeight="1" x14ac:dyDescent="0.2">
      <c r="B253" s="722"/>
      <c r="N253" s="740"/>
      <c r="P253" s="526"/>
      <c r="Q253" s="577">
        <f>G251</f>
        <v>92992.9</v>
      </c>
      <c r="R253" s="578" t="str">
        <f>D251</f>
        <v>Total Repairs</v>
      </c>
      <c r="S253" s="526"/>
      <c r="T253" s="526"/>
      <c r="U253" s="526"/>
      <c r="V253" s="526"/>
      <c r="W253" s="526"/>
      <c r="X253" s="526"/>
    </row>
    <row r="254" spans="2:24" s="499" customFormat="1" ht="18" customHeight="1" x14ac:dyDescent="0.2">
      <c r="B254" s="722"/>
      <c r="C254" s="883" t="s">
        <v>464</v>
      </c>
      <c r="D254" s="883"/>
      <c r="E254" s="883"/>
      <c r="F254" s="883"/>
      <c r="G254" s="883"/>
      <c r="H254" s="883"/>
      <c r="I254" s="883"/>
      <c r="J254" s="883"/>
      <c r="K254" s="883"/>
      <c r="L254" s="883"/>
      <c r="M254" s="883"/>
      <c r="N254" s="884"/>
      <c r="P254" s="526"/>
      <c r="Q254" s="571">
        <f>SUM(Q249:Q252)</f>
        <v>92992.9</v>
      </c>
      <c r="R254" s="526" t="s">
        <v>465</v>
      </c>
      <c r="S254" s="526"/>
      <c r="T254" s="526"/>
      <c r="U254" s="526"/>
      <c r="V254" s="526"/>
      <c r="W254" s="526"/>
      <c r="X254" s="526"/>
    </row>
    <row r="255" spans="2:24" x14ac:dyDescent="0.2">
      <c r="B255" s="722"/>
      <c r="C255" s="883"/>
      <c r="D255" s="883"/>
      <c r="E255" s="883"/>
      <c r="F255" s="883"/>
      <c r="G255" s="883"/>
      <c r="H255" s="883"/>
      <c r="I255" s="883"/>
      <c r="J255" s="883"/>
      <c r="K255" s="883"/>
      <c r="L255" s="883"/>
      <c r="M255" s="883"/>
      <c r="N255" s="884"/>
    </row>
    <row r="256" spans="2:24" x14ac:dyDescent="0.2">
      <c r="B256" s="722"/>
      <c r="C256" s="498"/>
      <c r="D256" s="498"/>
      <c r="E256" s="498"/>
      <c r="F256" s="498"/>
      <c r="G256" s="498"/>
      <c r="H256" s="498"/>
      <c r="I256" s="498"/>
      <c r="J256" s="498"/>
      <c r="K256" s="498"/>
      <c r="L256" s="498"/>
      <c r="M256" s="498"/>
      <c r="N256" s="753"/>
    </row>
    <row r="257" spans="2:14" ht="17" thickBot="1" x14ac:dyDescent="0.25">
      <c r="B257" s="756"/>
      <c r="C257" s="757"/>
      <c r="D257" s="757"/>
      <c r="E257" s="757"/>
      <c r="F257" s="757"/>
      <c r="G257" s="757"/>
      <c r="H257" s="757"/>
      <c r="I257" s="757"/>
      <c r="J257" s="757"/>
      <c r="K257" s="757"/>
      <c r="L257" s="757"/>
      <c r="M257" s="757"/>
      <c r="N257" s="758"/>
    </row>
    <row r="258" spans="2:14" x14ac:dyDescent="0.2">
      <c r="C258" s="498"/>
      <c r="D258" s="498"/>
      <c r="E258" s="498"/>
      <c r="F258" s="498"/>
      <c r="G258" s="498"/>
      <c r="H258" s="498"/>
      <c r="I258" s="498"/>
      <c r="J258" s="498"/>
      <c r="K258" s="498"/>
      <c r="L258" s="498"/>
      <c r="M258" s="498"/>
      <c r="N258" s="498"/>
    </row>
    <row r="259" spans="2:14" x14ac:dyDescent="0.2">
      <c r="C259" s="498"/>
      <c r="D259" s="498"/>
      <c r="E259" s="498"/>
      <c r="F259" s="498"/>
      <c r="G259" s="498"/>
      <c r="H259" s="498"/>
      <c r="I259" s="498"/>
      <c r="J259" s="498"/>
      <c r="K259" s="498"/>
      <c r="L259" s="498"/>
      <c r="M259" s="498"/>
      <c r="N259" s="498"/>
    </row>
    <row r="260" spans="2:14" x14ac:dyDescent="0.2">
      <c r="C260" s="498"/>
      <c r="D260" s="498"/>
      <c r="E260" s="498"/>
      <c r="F260" s="498"/>
      <c r="G260" s="498"/>
      <c r="H260" s="498"/>
      <c r="I260" s="498"/>
      <c r="J260" s="498"/>
      <c r="K260" s="498"/>
      <c r="L260" s="498"/>
      <c r="M260" s="498"/>
      <c r="N260" s="498"/>
    </row>
    <row r="261" spans="2:14" x14ac:dyDescent="0.2">
      <c r="C261" s="498"/>
      <c r="D261" s="498"/>
      <c r="E261" s="498"/>
      <c r="F261" s="498"/>
      <c r="G261" s="498"/>
      <c r="H261" s="498"/>
      <c r="I261" s="498"/>
      <c r="J261" s="498"/>
      <c r="K261" s="498"/>
      <c r="L261" s="498"/>
      <c r="M261" s="498"/>
      <c r="N261" s="498"/>
    </row>
    <row r="262" spans="2:14" x14ac:dyDescent="0.2">
      <c r="C262" s="498"/>
      <c r="D262" s="498"/>
      <c r="E262" s="498"/>
      <c r="F262" s="498"/>
      <c r="G262" s="498"/>
      <c r="H262" s="498"/>
      <c r="I262" s="498"/>
      <c r="J262" s="498"/>
      <c r="K262" s="498"/>
      <c r="L262" s="498"/>
      <c r="M262" s="498"/>
      <c r="N262" s="498"/>
    </row>
    <row r="263" spans="2:14" x14ac:dyDescent="0.2">
      <c r="C263" s="498"/>
      <c r="D263" s="498"/>
      <c r="E263" s="498"/>
      <c r="F263" s="498"/>
      <c r="G263" s="498"/>
      <c r="H263" s="498"/>
      <c r="I263" s="498"/>
      <c r="J263" s="498"/>
      <c r="K263" s="498"/>
      <c r="L263" s="498"/>
      <c r="M263" s="498"/>
      <c r="N263" s="498"/>
    </row>
    <row r="264" spans="2:14" x14ac:dyDescent="0.2">
      <c r="C264" s="498"/>
      <c r="D264" s="498"/>
      <c r="E264" s="498"/>
      <c r="F264" s="498"/>
      <c r="G264" s="498"/>
      <c r="H264" s="498"/>
      <c r="I264" s="498"/>
      <c r="J264" s="498"/>
      <c r="K264" s="498"/>
      <c r="L264" s="498"/>
      <c r="M264" s="498"/>
      <c r="N264" s="498"/>
    </row>
    <row r="265" spans="2:14" x14ac:dyDescent="0.2">
      <c r="C265" s="498"/>
      <c r="D265" s="498"/>
      <c r="E265" s="498"/>
      <c r="F265" s="498"/>
      <c r="G265" s="498"/>
      <c r="H265" s="498"/>
      <c r="I265" s="498"/>
      <c r="J265" s="498"/>
      <c r="K265" s="498"/>
      <c r="L265" s="498"/>
      <c r="M265" s="498"/>
      <c r="N265" s="498"/>
    </row>
    <row r="266" spans="2:14" x14ac:dyDescent="0.2">
      <c r="C266" s="498"/>
      <c r="D266" s="498"/>
      <c r="E266" s="498"/>
      <c r="F266" s="498"/>
      <c r="G266" s="498"/>
      <c r="H266" s="498"/>
      <c r="I266" s="498"/>
      <c r="J266" s="498"/>
      <c r="K266" s="498"/>
      <c r="L266" s="498"/>
      <c r="M266" s="498"/>
      <c r="N266" s="498"/>
    </row>
    <row r="267" spans="2:14" x14ac:dyDescent="0.2">
      <c r="C267" s="498"/>
      <c r="D267" s="498"/>
      <c r="E267" s="498"/>
      <c r="F267" s="498"/>
      <c r="G267" s="498"/>
      <c r="H267" s="498"/>
      <c r="I267" s="498"/>
      <c r="J267" s="498"/>
      <c r="K267" s="498"/>
      <c r="L267" s="498"/>
      <c r="M267" s="498"/>
      <c r="N267" s="498"/>
    </row>
    <row r="268" spans="2:14" x14ac:dyDescent="0.2">
      <c r="C268" s="498"/>
      <c r="D268" s="498"/>
      <c r="E268" s="498"/>
      <c r="F268" s="498"/>
      <c r="G268" s="498"/>
      <c r="H268" s="498"/>
      <c r="I268" s="498"/>
      <c r="J268" s="498"/>
      <c r="K268" s="498"/>
      <c r="L268" s="498"/>
      <c r="M268" s="498"/>
      <c r="N268" s="498"/>
    </row>
    <row r="269" spans="2:14" x14ac:dyDescent="0.2">
      <c r="C269" s="498"/>
      <c r="D269" s="498"/>
      <c r="E269" s="498"/>
      <c r="F269" s="498"/>
      <c r="G269" s="498"/>
      <c r="H269" s="498"/>
      <c r="I269" s="498"/>
      <c r="J269" s="498"/>
      <c r="K269" s="498"/>
      <c r="L269" s="498"/>
      <c r="M269" s="498"/>
      <c r="N269" s="498"/>
    </row>
    <row r="270" spans="2:14" x14ac:dyDescent="0.2">
      <c r="C270" s="498"/>
      <c r="D270" s="498"/>
      <c r="E270" s="498"/>
      <c r="F270" s="498"/>
      <c r="G270" s="498"/>
      <c r="H270" s="498"/>
      <c r="I270" s="498"/>
      <c r="J270" s="498"/>
      <c r="K270" s="498"/>
      <c r="L270" s="498"/>
      <c r="M270" s="498"/>
      <c r="N270" s="498"/>
    </row>
    <row r="271" spans="2:14" x14ac:dyDescent="0.2">
      <c r="C271" s="498"/>
      <c r="D271" s="498"/>
      <c r="E271" s="498"/>
      <c r="F271" s="498"/>
      <c r="G271" s="498"/>
      <c r="H271" s="498"/>
      <c r="I271" s="498"/>
      <c r="J271" s="498"/>
      <c r="K271" s="498"/>
      <c r="L271" s="498"/>
      <c r="M271" s="498"/>
      <c r="N271" s="498"/>
    </row>
    <row r="272" spans="2:14" x14ac:dyDescent="0.2">
      <c r="C272" s="498"/>
      <c r="D272" s="498"/>
      <c r="E272" s="498"/>
      <c r="F272" s="498"/>
      <c r="G272" s="498"/>
      <c r="H272" s="498"/>
      <c r="I272" s="498"/>
      <c r="J272" s="498"/>
      <c r="K272" s="498"/>
      <c r="L272" s="498"/>
      <c r="M272" s="498"/>
      <c r="N272" s="498"/>
    </row>
    <row r="273" spans="3:14" x14ac:dyDescent="0.2">
      <c r="C273" s="498"/>
      <c r="D273" s="498"/>
      <c r="E273" s="498"/>
      <c r="F273" s="498"/>
      <c r="G273" s="498"/>
      <c r="H273" s="498"/>
      <c r="I273" s="498"/>
      <c r="J273" s="498"/>
      <c r="K273" s="498"/>
      <c r="L273" s="498"/>
      <c r="M273" s="498"/>
      <c r="N273" s="498"/>
    </row>
    <row r="274" spans="3:14" x14ac:dyDescent="0.2">
      <c r="C274" s="498"/>
      <c r="D274" s="498"/>
      <c r="E274" s="498"/>
      <c r="F274" s="498"/>
      <c r="G274" s="498"/>
      <c r="H274" s="498"/>
      <c r="I274" s="498"/>
      <c r="J274" s="498"/>
      <c r="K274" s="498"/>
      <c r="L274" s="498"/>
      <c r="M274" s="498"/>
      <c r="N274" s="498"/>
    </row>
    <row r="275" spans="3:14" x14ac:dyDescent="0.2">
      <c r="C275" s="498"/>
      <c r="D275" s="498"/>
      <c r="E275" s="498"/>
      <c r="F275" s="498"/>
      <c r="G275" s="498"/>
      <c r="H275" s="498"/>
      <c r="I275" s="498"/>
      <c r="J275" s="498"/>
      <c r="K275" s="498"/>
      <c r="L275" s="498"/>
      <c r="M275" s="498"/>
      <c r="N275" s="498"/>
    </row>
    <row r="276" spans="3:14" x14ac:dyDescent="0.2">
      <c r="C276" s="498"/>
      <c r="D276" s="498"/>
      <c r="E276" s="498"/>
      <c r="F276" s="498"/>
      <c r="G276" s="498"/>
      <c r="H276" s="498"/>
      <c r="I276" s="498"/>
      <c r="J276" s="498"/>
      <c r="K276" s="498"/>
      <c r="L276" s="498"/>
      <c r="M276" s="498"/>
      <c r="N276" s="498"/>
    </row>
    <row r="277" spans="3:14" x14ac:dyDescent="0.2">
      <c r="C277" s="498"/>
      <c r="D277" s="498"/>
      <c r="E277" s="498"/>
      <c r="F277" s="498"/>
      <c r="G277" s="498"/>
      <c r="H277" s="498"/>
      <c r="I277" s="498"/>
      <c r="J277" s="498"/>
      <c r="K277" s="498"/>
      <c r="L277" s="498"/>
      <c r="M277" s="498"/>
      <c r="N277" s="498"/>
    </row>
    <row r="278" spans="3:14" x14ac:dyDescent="0.2">
      <c r="C278" s="498"/>
      <c r="D278" s="498"/>
      <c r="E278" s="498"/>
      <c r="F278" s="498"/>
      <c r="G278" s="498"/>
      <c r="H278" s="498"/>
      <c r="I278" s="498"/>
      <c r="J278" s="498"/>
      <c r="K278" s="498"/>
      <c r="L278" s="498"/>
      <c r="M278" s="498"/>
      <c r="N278" s="498"/>
    </row>
    <row r="279" spans="3:14" x14ac:dyDescent="0.2">
      <c r="C279" s="498"/>
      <c r="D279" s="498"/>
      <c r="E279" s="498"/>
      <c r="F279" s="498"/>
      <c r="G279" s="498"/>
      <c r="H279" s="498"/>
      <c r="I279" s="498"/>
      <c r="J279" s="498"/>
      <c r="K279" s="498"/>
      <c r="L279" s="498"/>
      <c r="M279" s="498"/>
      <c r="N279" s="498"/>
    </row>
    <row r="280" spans="3:14" x14ac:dyDescent="0.2">
      <c r="C280" s="498"/>
      <c r="D280" s="498"/>
      <c r="E280" s="498"/>
      <c r="F280" s="498"/>
      <c r="G280" s="498"/>
      <c r="H280" s="498"/>
      <c r="I280" s="498"/>
      <c r="J280" s="498"/>
      <c r="K280" s="498"/>
      <c r="L280" s="498"/>
      <c r="M280" s="498"/>
      <c r="N280" s="498"/>
    </row>
    <row r="281" spans="3:14" x14ac:dyDescent="0.2">
      <c r="C281" s="498"/>
      <c r="D281" s="498"/>
      <c r="E281" s="498"/>
      <c r="F281" s="498"/>
      <c r="G281" s="498"/>
      <c r="H281" s="498"/>
      <c r="I281" s="498"/>
      <c r="J281" s="498"/>
      <c r="K281" s="498"/>
      <c r="L281" s="498"/>
      <c r="M281" s="498"/>
      <c r="N281" s="498"/>
    </row>
    <row r="282" spans="3:14" x14ac:dyDescent="0.2">
      <c r="C282" s="498"/>
      <c r="D282" s="498"/>
      <c r="E282" s="498"/>
      <c r="F282" s="498"/>
      <c r="G282" s="498"/>
      <c r="H282" s="498"/>
      <c r="I282" s="498"/>
      <c r="J282" s="498"/>
      <c r="K282" s="498"/>
      <c r="L282" s="498"/>
      <c r="M282" s="498"/>
      <c r="N282" s="498"/>
    </row>
    <row r="283" spans="3:14" x14ac:dyDescent="0.2">
      <c r="C283" s="498"/>
      <c r="D283" s="498"/>
      <c r="E283" s="498"/>
      <c r="F283" s="498"/>
      <c r="G283" s="498"/>
      <c r="H283" s="498"/>
      <c r="I283" s="498"/>
      <c r="J283" s="498"/>
      <c r="K283" s="498"/>
      <c r="L283" s="498"/>
      <c r="M283" s="498"/>
      <c r="N283" s="498"/>
    </row>
    <row r="284" spans="3:14" x14ac:dyDescent="0.2">
      <c r="C284" s="498"/>
      <c r="D284" s="498"/>
      <c r="E284" s="498"/>
      <c r="F284" s="498"/>
      <c r="G284" s="498"/>
      <c r="H284" s="498"/>
      <c r="I284" s="498"/>
      <c r="J284" s="498"/>
      <c r="K284" s="498"/>
      <c r="L284" s="498"/>
      <c r="M284" s="498"/>
      <c r="N284" s="498"/>
    </row>
    <row r="285" spans="3:14" x14ac:dyDescent="0.2">
      <c r="C285" s="498"/>
      <c r="D285" s="498"/>
      <c r="E285" s="498"/>
      <c r="F285" s="498"/>
      <c r="G285" s="498"/>
      <c r="H285" s="498"/>
      <c r="I285" s="498"/>
      <c r="J285" s="498"/>
      <c r="K285" s="498"/>
      <c r="L285" s="498"/>
      <c r="M285" s="498"/>
      <c r="N285" s="498"/>
    </row>
    <row r="286" spans="3:14" x14ac:dyDescent="0.2">
      <c r="C286" s="498"/>
      <c r="D286" s="498"/>
      <c r="E286" s="498"/>
      <c r="F286" s="498"/>
      <c r="G286" s="498"/>
      <c r="H286" s="498"/>
      <c r="I286" s="498"/>
      <c r="J286" s="498"/>
      <c r="K286" s="498"/>
      <c r="L286" s="498"/>
      <c r="M286" s="498"/>
      <c r="N286" s="498"/>
    </row>
    <row r="287" spans="3:14" x14ac:dyDescent="0.2">
      <c r="C287" s="498"/>
      <c r="D287" s="498"/>
      <c r="E287" s="498"/>
      <c r="F287" s="498"/>
      <c r="G287" s="498"/>
      <c r="H287" s="498"/>
      <c r="I287" s="498"/>
      <c r="J287" s="498"/>
      <c r="K287" s="498"/>
      <c r="L287" s="498"/>
      <c r="M287" s="498"/>
      <c r="N287" s="498"/>
    </row>
    <row r="288" spans="3:14" x14ac:dyDescent="0.2">
      <c r="C288" s="498"/>
      <c r="D288" s="498"/>
      <c r="E288" s="498"/>
      <c r="F288" s="498"/>
      <c r="G288" s="498"/>
      <c r="H288" s="498"/>
      <c r="I288" s="498"/>
      <c r="J288" s="498"/>
      <c r="K288" s="498"/>
      <c r="L288" s="498"/>
      <c r="M288" s="498"/>
      <c r="N288" s="498"/>
    </row>
    <row r="289" spans="3:14" x14ac:dyDescent="0.2">
      <c r="C289" s="498"/>
      <c r="D289" s="498"/>
      <c r="E289" s="498"/>
      <c r="F289" s="498"/>
      <c r="G289" s="498"/>
      <c r="H289" s="498"/>
      <c r="I289" s="498"/>
      <c r="J289" s="498"/>
      <c r="K289" s="498"/>
      <c r="L289" s="498"/>
      <c r="M289" s="498"/>
      <c r="N289" s="498"/>
    </row>
    <row r="290" spans="3:14" x14ac:dyDescent="0.2">
      <c r="C290" s="498"/>
      <c r="D290" s="498"/>
      <c r="E290" s="498"/>
      <c r="F290" s="498"/>
      <c r="G290" s="498"/>
      <c r="H290" s="498"/>
      <c r="I290" s="498"/>
      <c r="J290" s="498"/>
      <c r="K290" s="498"/>
      <c r="L290" s="498"/>
      <c r="M290" s="498"/>
      <c r="N290" s="498"/>
    </row>
    <row r="291" spans="3:14" x14ac:dyDescent="0.2">
      <c r="C291" s="498"/>
      <c r="D291" s="498"/>
      <c r="E291" s="498"/>
      <c r="F291" s="498"/>
      <c r="G291" s="498"/>
      <c r="H291" s="498"/>
      <c r="I291" s="498"/>
      <c r="J291" s="498"/>
      <c r="K291" s="498"/>
      <c r="L291" s="498"/>
      <c r="M291" s="498"/>
      <c r="N291" s="498"/>
    </row>
    <row r="292" spans="3:14" x14ac:dyDescent="0.2">
      <c r="C292" s="498"/>
      <c r="D292" s="498"/>
      <c r="E292" s="498"/>
      <c r="F292" s="498"/>
      <c r="G292" s="498"/>
      <c r="H292" s="498"/>
      <c r="I292" s="498"/>
      <c r="J292" s="498"/>
      <c r="K292" s="498"/>
      <c r="L292" s="498"/>
      <c r="M292" s="498"/>
      <c r="N292" s="498"/>
    </row>
    <row r="293" spans="3:14" x14ac:dyDescent="0.2">
      <c r="C293" s="498"/>
      <c r="D293" s="498"/>
      <c r="E293" s="498"/>
      <c r="F293" s="498"/>
      <c r="G293" s="498"/>
      <c r="H293" s="498"/>
      <c r="I293" s="498"/>
      <c r="J293" s="498"/>
      <c r="K293" s="498"/>
      <c r="L293" s="498"/>
      <c r="M293" s="498"/>
      <c r="N293" s="498"/>
    </row>
    <row r="294" spans="3:14" x14ac:dyDescent="0.2">
      <c r="C294" s="498"/>
      <c r="D294" s="498"/>
      <c r="E294" s="498"/>
      <c r="F294" s="498"/>
      <c r="G294" s="498"/>
      <c r="H294" s="498"/>
      <c r="I294" s="498"/>
      <c r="J294" s="498"/>
      <c r="K294" s="498"/>
      <c r="L294" s="498"/>
      <c r="M294" s="498"/>
      <c r="N294" s="498"/>
    </row>
  </sheetData>
  <mergeCells count="374">
    <mergeCell ref="D3:H3"/>
    <mergeCell ref="J3:L3"/>
    <mergeCell ref="D4:E4"/>
    <mergeCell ref="M4:N4"/>
    <mergeCell ref="C5:N5"/>
    <mergeCell ref="C8:N8"/>
    <mergeCell ref="F13:J13"/>
    <mergeCell ref="F14:J14"/>
    <mergeCell ref="F15:J15"/>
    <mergeCell ref="F16:J16"/>
    <mergeCell ref="F17:J17"/>
    <mergeCell ref="F18:J18"/>
    <mergeCell ref="C9:D9"/>
    <mergeCell ref="F9:J9"/>
    <mergeCell ref="F10:J10"/>
    <mergeCell ref="C11:D12"/>
    <mergeCell ref="F11:J11"/>
    <mergeCell ref="F12:J12"/>
    <mergeCell ref="F25:J25"/>
    <mergeCell ref="F26:J26"/>
    <mergeCell ref="F27:J27"/>
    <mergeCell ref="F28:J28"/>
    <mergeCell ref="F29:J29"/>
    <mergeCell ref="F30:J30"/>
    <mergeCell ref="F19:J19"/>
    <mergeCell ref="F20:J20"/>
    <mergeCell ref="F21:J21"/>
    <mergeCell ref="F22:J22"/>
    <mergeCell ref="F23:J23"/>
    <mergeCell ref="F24:J24"/>
    <mergeCell ref="F37:J37"/>
    <mergeCell ref="F38:J38"/>
    <mergeCell ref="F39:J39"/>
    <mergeCell ref="F40:J40"/>
    <mergeCell ref="F41:J41"/>
    <mergeCell ref="F42:J42"/>
    <mergeCell ref="F31:J31"/>
    <mergeCell ref="F32:J32"/>
    <mergeCell ref="F33:J33"/>
    <mergeCell ref="F34:J34"/>
    <mergeCell ref="F35:J35"/>
    <mergeCell ref="F36:J36"/>
    <mergeCell ref="C50:D50"/>
    <mergeCell ref="F50:J50"/>
    <mergeCell ref="C51:D51"/>
    <mergeCell ref="F51:J51"/>
    <mergeCell ref="C52:D52"/>
    <mergeCell ref="F52:J52"/>
    <mergeCell ref="F43:J43"/>
    <mergeCell ref="C47:N47"/>
    <mergeCell ref="C48:D48"/>
    <mergeCell ref="F48:J48"/>
    <mergeCell ref="C49:D49"/>
    <mergeCell ref="F49:J49"/>
    <mergeCell ref="C56:D56"/>
    <mergeCell ref="F56:J56"/>
    <mergeCell ref="C57:D57"/>
    <mergeCell ref="F57:J57"/>
    <mergeCell ref="C58:D58"/>
    <mergeCell ref="F58:J58"/>
    <mergeCell ref="C53:D53"/>
    <mergeCell ref="F53:J53"/>
    <mergeCell ref="C54:D54"/>
    <mergeCell ref="F54:J54"/>
    <mergeCell ref="C55:D55"/>
    <mergeCell ref="F55:J55"/>
    <mergeCell ref="C62:D62"/>
    <mergeCell ref="F62:J62"/>
    <mergeCell ref="C63:D63"/>
    <mergeCell ref="F63:J63"/>
    <mergeCell ref="C64:D64"/>
    <mergeCell ref="F64:J64"/>
    <mergeCell ref="C59:D59"/>
    <mergeCell ref="F59:J59"/>
    <mergeCell ref="C60:D60"/>
    <mergeCell ref="F60:J60"/>
    <mergeCell ref="C61:D61"/>
    <mergeCell ref="F61:J61"/>
    <mergeCell ref="C68:D68"/>
    <mergeCell ref="F68:J68"/>
    <mergeCell ref="C69:D69"/>
    <mergeCell ref="F69:J69"/>
    <mergeCell ref="C70:D70"/>
    <mergeCell ref="F70:J70"/>
    <mergeCell ref="C65:D65"/>
    <mergeCell ref="F65:J65"/>
    <mergeCell ref="C66:D66"/>
    <mergeCell ref="F66:J66"/>
    <mergeCell ref="C67:D67"/>
    <mergeCell ref="F67:J67"/>
    <mergeCell ref="C74:D74"/>
    <mergeCell ref="F74:J74"/>
    <mergeCell ref="C75:D75"/>
    <mergeCell ref="F75:J75"/>
    <mergeCell ref="C76:D76"/>
    <mergeCell ref="F76:J76"/>
    <mergeCell ref="C71:D71"/>
    <mergeCell ref="F71:J71"/>
    <mergeCell ref="C72:D72"/>
    <mergeCell ref="F72:J72"/>
    <mergeCell ref="C73:D73"/>
    <mergeCell ref="F73:J73"/>
    <mergeCell ref="C80:D81"/>
    <mergeCell ref="F80:J80"/>
    <mergeCell ref="F81:J81"/>
    <mergeCell ref="C83:N83"/>
    <mergeCell ref="C84:N84"/>
    <mergeCell ref="C85:N85"/>
    <mergeCell ref="C77:D77"/>
    <mergeCell ref="F77:J77"/>
    <mergeCell ref="C78:D78"/>
    <mergeCell ref="F78:J78"/>
    <mergeCell ref="C79:D79"/>
    <mergeCell ref="F79:J79"/>
    <mergeCell ref="C92:N92"/>
    <mergeCell ref="C100:N100"/>
    <mergeCell ref="C101:D101"/>
    <mergeCell ref="F101:J101"/>
    <mergeCell ref="C102:D102"/>
    <mergeCell ref="F102:J102"/>
    <mergeCell ref="C86:N86"/>
    <mergeCell ref="C87:N87"/>
    <mergeCell ref="C88:N88"/>
    <mergeCell ref="C89:N89"/>
    <mergeCell ref="C90:N90"/>
    <mergeCell ref="C91:N91"/>
    <mergeCell ref="C106:D106"/>
    <mergeCell ref="F106:J106"/>
    <mergeCell ref="C107:D107"/>
    <mergeCell ref="F107:J107"/>
    <mergeCell ref="C108:D108"/>
    <mergeCell ref="F108:J108"/>
    <mergeCell ref="C103:D103"/>
    <mergeCell ref="F103:J103"/>
    <mergeCell ref="C104:D104"/>
    <mergeCell ref="F104:J104"/>
    <mergeCell ref="C105:D105"/>
    <mergeCell ref="F105:J105"/>
    <mergeCell ref="C112:D112"/>
    <mergeCell ref="F112:J112"/>
    <mergeCell ref="C113:D113"/>
    <mergeCell ref="F113:J113"/>
    <mergeCell ref="C114:D114"/>
    <mergeCell ref="F114:J114"/>
    <mergeCell ref="C109:D109"/>
    <mergeCell ref="F109:J109"/>
    <mergeCell ref="C110:D110"/>
    <mergeCell ref="F110:J110"/>
    <mergeCell ref="C111:D111"/>
    <mergeCell ref="F111:J111"/>
    <mergeCell ref="C121:D121"/>
    <mergeCell ref="F121:J121"/>
    <mergeCell ref="C122:D124"/>
    <mergeCell ref="F122:J122"/>
    <mergeCell ref="F123:J123"/>
    <mergeCell ref="F124:J124"/>
    <mergeCell ref="C115:D115"/>
    <mergeCell ref="F115:J115"/>
    <mergeCell ref="C116:D116"/>
    <mergeCell ref="F116:J116"/>
    <mergeCell ref="C117:D120"/>
    <mergeCell ref="F117:J117"/>
    <mergeCell ref="F118:J118"/>
    <mergeCell ref="F119:J119"/>
    <mergeCell ref="F120:J120"/>
    <mergeCell ref="C128:D128"/>
    <mergeCell ref="F128:J128"/>
    <mergeCell ref="C129:D129"/>
    <mergeCell ref="F129:J129"/>
    <mergeCell ref="C130:D130"/>
    <mergeCell ref="F130:J130"/>
    <mergeCell ref="C125:D125"/>
    <mergeCell ref="F125:J125"/>
    <mergeCell ref="C126:D126"/>
    <mergeCell ref="F126:J126"/>
    <mergeCell ref="C127:D127"/>
    <mergeCell ref="F127:J127"/>
    <mergeCell ref="C134:D134"/>
    <mergeCell ref="F134:J134"/>
    <mergeCell ref="C135:D135"/>
    <mergeCell ref="F135:J135"/>
    <mergeCell ref="C136:D138"/>
    <mergeCell ref="F136:J136"/>
    <mergeCell ref="F137:J137"/>
    <mergeCell ref="C131:D131"/>
    <mergeCell ref="F131:J131"/>
    <mergeCell ref="C132:D132"/>
    <mergeCell ref="F132:J132"/>
    <mergeCell ref="C133:D133"/>
    <mergeCell ref="F133:J133"/>
    <mergeCell ref="C142:D142"/>
    <mergeCell ref="F142:J142"/>
    <mergeCell ref="C143:D143"/>
    <mergeCell ref="F143:J143"/>
    <mergeCell ref="C144:D144"/>
    <mergeCell ref="F144:J144"/>
    <mergeCell ref="C139:D139"/>
    <mergeCell ref="F139:J139"/>
    <mergeCell ref="C140:D140"/>
    <mergeCell ref="F140:J140"/>
    <mergeCell ref="C141:D141"/>
    <mergeCell ref="F141:J141"/>
    <mergeCell ref="C148:D148"/>
    <mergeCell ref="F148:J148"/>
    <mergeCell ref="C149:D149"/>
    <mergeCell ref="F149:J149"/>
    <mergeCell ref="C153:N153"/>
    <mergeCell ref="C154:D154"/>
    <mergeCell ref="F154:J154"/>
    <mergeCell ref="C145:D145"/>
    <mergeCell ref="F145:J145"/>
    <mergeCell ref="C146:D146"/>
    <mergeCell ref="F146:J146"/>
    <mergeCell ref="C147:D147"/>
    <mergeCell ref="F147:J147"/>
    <mergeCell ref="C159:D159"/>
    <mergeCell ref="F159:J159"/>
    <mergeCell ref="C160:D160"/>
    <mergeCell ref="F160:J160"/>
    <mergeCell ref="C161:D161"/>
    <mergeCell ref="F161:J161"/>
    <mergeCell ref="C155:D155"/>
    <mergeCell ref="F155:J155"/>
    <mergeCell ref="C157:D157"/>
    <mergeCell ref="F157:J157"/>
    <mergeCell ref="C158:D158"/>
    <mergeCell ref="F158:J158"/>
    <mergeCell ref="C165:D165"/>
    <mergeCell ref="F165:J165"/>
    <mergeCell ref="C166:D166"/>
    <mergeCell ref="F166:J166"/>
    <mergeCell ref="C167:D167"/>
    <mergeCell ref="F167:J167"/>
    <mergeCell ref="C162:D162"/>
    <mergeCell ref="F162:J162"/>
    <mergeCell ref="C163:D163"/>
    <mergeCell ref="F163:J163"/>
    <mergeCell ref="C164:D164"/>
    <mergeCell ref="F164:J164"/>
    <mergeCell ref="C171:D171"/>
    <mergeCell ref="F171:J171"/>
    <mergeCell ref="C172:D172"/>
    <mergeCell ref="F172:J172"/>
    <mergeCell ref="C173:D173"/>
    <mergeCell ref="F173:J173"/>
    <mergeCell ref="C168:D168"/>
    <mergeCell ref="F168:J168"/>
    <mergeCell ref="C169:D169"/>
    <mergeCell ref="F169:J169"/>
    <mergeCell ref="C170:D170"/>
    <mergeCell ref="F170:J170"/>
    <mergeCell ref="C177:D177"/>
    <mergeCell ref="F177:J177"/>
    <mergeCell ref="C178:D178"/>
    <mergeCell ref="F178:J178"/>
    <mergeCell ref="C179:D179"/>
    <mergeCell ref="F179:J179"/>
    <mergeCell ref="C174:D174"/>
    <mergeCell ref="F174:J174"/>
    <mergeCell ref="C175:D175"/>
    <mergeCell ref="F175:J175"/>
    <mergeCell ref="C176:D176"/>
    <mergeCell ref="F176:J176"/>
    <mergeCell ref="C183:D183"/>
    <mergeCell ref="F183:J183"/>
    <mergeCell ref="C184:D185"/>
    <mergeCell ref="F184:J184"/>
    <mergeCell ref="F185:J185"/>
    <mergeCell ref="C186:D186"/>
    <mergeCell ref="F186:J186"/>
    <mergeCell ref="C180:D180"/>
    <mergeCell ref="F180:J180"/>
    <mergeCell ref="C181:D181"/>
    <mergeCell ref="F181:J181"/>
    <mergeCell ref="C182:D182"/>
    <mergeCell ref="F182:J182"/>
    <mergeCell ref="C190:D190"/>
    <mergeCell ref="F190:J190"/>
    <mergeCell ref="C191:D191"/>
    <mergeCell ref="F191:J191"/>
    <mergeCell ref="C193:N193"/>
    <mergeCell ref="C194:N194"/>
    <mergeCell ref="C187:D187"/>
    <mergeCell ref="F187:J187"/>
    <mergeCell ref="C188:D188"/>
    <mergeCell ref="F188:J188"/>
    <mergeCell ref="C189:D189"/>
    <mergeCell ref="F189:J189"/>
    <mergeCell ref="C208:D208"/>
    <mergeCell ref="F208:J208"/>
    <mergeCell ref="C209:D209"/>
    <mergeCell ref="F209:J209"/>
    <mergeCell ref="C210:D210"/>
    <mergeCell ref="F210:J210"/>
    <mergeCell ref="C195:N195"/>
    <mergeCell ref="C196:N196"/>
    <mergeCell ref="C197:N197"/>
    <mergeCell ref="C198:N198"/>
    <mergeCell ref="C199:N199"/>
    <mergeCell ref="C207:N207"/>
    <mergeCell ref="C214:D214"/>
    <mergeCell ref="F214:J214"/>
    <mergeCell ref="C215:D215"/>
    <mergeCell ref="F215:J215"/>
    <mergeCell ref="C216:D216"/>
    <mergeCell ref="F216:J216"/>
    <mergeCell ref="C211:D211"/>
    <mergeCell ref="F211:J211"/>
    <mergeCell ref="C212:D212"/>
    <mergeCell ref="F212:J212"/>
    <mergeCell ref="C213:D213"/>
    <mergeCell ref="F213:J213"/>
    <mergeCell ref="C220:D220"/>
    <mergeCell ref="F220:J220"/>
    <mergeCell ref="C221:D221"/>
    <mergeCell ref="F221:J221"/>
    <mergeCell ref="C222:D222"/>
    <mergeCell ref="F222:J222"/>
    <mergeCell ref="C217:D217"/>
    <mergeCell ref="F217:J217"/>
    <mergeCell ref="C218:D218"/>
    <mergeCell ref="F218:J218"/>
    <mergeCell ref="C219:D219"/>
    <mergeCell ref="F219:J219"/>
    <mergeCell ref="C228:D228"/>
    <mergeCell ref="F228:J228"/>
    <mergeCell ref="C229:D229"/>
    <mergeCell ref="F229:J229"/>
    <mergeCell ref="C230:D230"/>
    <mergeCell ref="F230:J230"/>
    <mergeCell ref="C223:D223"/>
    <mergeCell ref="F223:J223"/>
    <mergeCell ref="C224:D224"/>
    <mergeCell ref="F224:J224"/>
    <mergeCell ref="C226:N226"/>
    <mergeCell ref="C227:D227"/>
    <mergeCell ref="F227:J227"/>
    <mergeCell ref="C236:D236"/>
    <mergeCell ref="F236:J236"/>
    <mergeCell ref="C237:D237"/>
    <mergeCell ref="F237:J237"/>
    <mergeCell ref="C238:D238"/>
    <mergeCell ref="F238:J238"/>
    <mergeCell ref="C231:D232"/>
    <mergeCell ref="F231:J231"/>
    <mergeCell ref="F232:J232"/>
    <mergeCell ref="C233:D233"/>
    <mergeCell ref="F233:J233"/>
    <mergeCell ref="C234:D235"/>
    <mergeCell ref="F234:J234"/>
    <mergeCell ref="F235:J235"/>
    <mergeCell ref="F243:J243"/>
    <mergeCell ref="M244:N244"/>
    <mergeCell ref="C245:D245"/>
    <mergeCell ref="F245:J245"/>
    <mergeCell ref="C246:D246"/>
    <mergeCell ref="F246:J246"/>
    <mergeCell ref="C239:D239"/>
    <mergeCell ref="F239:J239"/>
    <mergeCell ref="C240:D240"/>
    <mergeCell ref="F240:J240"/>
    <mergeCell ref="C241:D242"/>
    <mergeCell ref="F241:J241"/>
    <mergeCell ref="F242:J242"/>
    <mergeCell ref="D251:F251"/>
    <mergeCell ref="I251:K251"/>
    <mergeCell ref="L251:M251"/>
    <mergeCell ref="C254:N255"/>
    <mergeCell ref="M247:N247"/>
    <mergeCell ref="E248:L248"/>
    <mergeCell ref="I249:K249"/>
    <mergeCell ref="L249:M249"/>
    <mergeCell ref="I250:K250"/>
    <mergeCell ref="L250:M250"/>
  </mergeCells>
  <printOptions horizontalCentered="1"/>
  <pageMargins left="0.25" right="0.25" top="0.25" bottom="0.25" header="0" footer="0"/>
  <pageSetup scale="94" fitToHeight="5" orientation="portrait" horizontalDpi="4294967292" verticalDpi="4294967292" r:id="rId1"/>
  <headerFooter>
    <oddFooter>&amp;L&amp;"Calibri,Regular"&amp;8&amp;K000000ea = each | lf = linear feet | ls = lump sum | sf = square feet | sy = square yards&amp;R&amp;"Calibri,Regular"&amp;8&amp;K000000Page &amp;P</oddFooter>
  </headerFooter>
  <rowBreaks count="4" manualBreakCount="4">
    <brk id="46" min="2" max="14" man="1"/>
    <brk id="97" min="2" max="14" man="1"/>
    <brk id="152" min="2" max="14" man="1"/>
    <brk id="204" min="2" max="1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M43"/>
  <sheetViews>
    <sheetView workbookViewId="0">
      <selection activeCell="D27" sqref="D27"/>
    </sheetView>
  </sheetViews>
  <sheetFormatPr baseColWidth="10" defaultColWidth="11.5" defaultRowHeight="13" x14ac:dyDescent="0.15"/>
  <cols>
    <col min="3" max="3" width="31.83203125" bestFit="1" customWidth="1"/>
    <col min="4" max="4" width="24.1640625" bestFit="1" customWidth="1"/>
    <col min="5" max="5" width="22.5" bestFit="1" customWidth="1"/>
    <col min="8" max="8" width="20.5" bestFit="1" customWidth="1"/>
    <col min="9" max="9" width="22.5" bestFit="1" customWidth="1"/>
    <col min="10" max="10" width="12.1640625" bestFit="1" customWidth="1"/>
  </cols>
  <sheetData>
    <row r="5" spans="3:12" ht="14" thickBot="1" x14ac:dyDescent="0.2"/>
    <row r="6" spans="3:12" s="11" customFormat="1" ht="14" thickBot="1" x14ac:dyDescent="0.2">
      <c r="C6" s="118" t="s">
        <v>466</v>
      </c>
      <c r="D6" s="119"/>
      <c r="E6" s="119"/>
      <c r="F6" s="119"/>
      <c r="G6" s="119"/>
      <c r="H6" s="119"/>
      <c r="I6" s="119"/>
      <c r="J6" s="120"/>
      <c r="L6" s="9"/>
    </row>
    <row r="7" spans="3:12" s="11" customFormat="1" ht="14" thickBot="1" x14ac:dyDescent="0.2">
      <c r="C7" s="96"/>
      <c r="D7" s="96"/>
      <c r="E7" s="208" t="s">
        <v>467</v>
      </c>
      <c r="F7" s="84"/>
      <c r="G7" s="84"/>
      <c r="H7" s="85" t="s">
        <v>468</v>
      </c>
      <c r="I7" s="84" t="s">
        <v>469</v>
      </c>
      <c r="J7" s="84" t="s">
        <v>470</v>
      </c>
      <c r="K7" s="96"/>
      <c r="L7" s="9"/>
    </row>
    <row r="8" spans="3:12" s="11" customFormat="1" ht="14" thickTop="1" x14ac:dyDescent="0.15">
      <c r="C8" s="96"/>
      <c r="D8" s="75" t="s">
        <v>40</v>
      </c>
      <c r="E8" s="209">
        <v>250000</v>
      </c>
      <c r="F8" s="258"/>
      <c r="G8" s="258"/>
      <c r="H8" s="76">
        <v>230000</v>
      </c>
      <c r="I8" s="102">
        <v>240000</v>
      </c>
      <c r="J8" s="102">
        <v>250000</v>
      </c>
      <c r="K8" s="96"/>
      <c r="L8" s="9"/>
    </row>
    <row r="9" spans="3:12" s="11" customFormat="1" ht="14" thickBot="1" x14ac:dyDescent="0.2">
      <c r="C9" s="96"/>
      <c r="D9" s="80">
        <v>0.7</v>
      </c>
      <c r="E9" s="210">
        <f>E8*D9</f>
        <v>175000</v>
      </c>
      <c r="F9" s="259"/>
      <c r="G9" s="259"/>
      <c r="H9" s="12">
        <f>H8*D9</f>
        <v>161000</v>
      </c>
      <c r="I9" s="78">
        <f>I8*D9</f>
        <v>168000</v>
      </c>
      <c r="J9" s="78">
        <f>J8*D9</f>
        <v>175000</v>
      </c>
      <c r="K9" s="101"/>
      <c r="L9" s="9"/>
    </row>
    <row r="10" spans="3:12" s="11" customFormat="1" ht="14" thickBot="1" x14ac:dyDescent="0.2">
      <c r="C10" s="96"/>
      <c r="D10" s="92" t="s">
        <v>471</v>
      </c>
      <c r="E10" s="211">
        <f>E9-E11</f>
        <v>125000</v>
      </c>
      <c r="F10" s="86"/>
      <c r="G10" s="86"/>
      <c r="H10" s="86">
        <f>H9-H11</f>
        <v>111000</v>
      </c>
      <c r="I10" s="87">
        <f>I9-I11</f>
        <v>118000</v>
      </c>
      <c r="J10" s="87">
        <f>J9-J11</f>
        <v>125000</v>
      </c>
      <c r="K10" s="101"/>
      <c r="L10" s="9"/>
    </row>
    <row r="11" spans="3:12" s="11" customFormat="1" x14ac:dyDescent="0.15">
      <c r="C11" s="96"/>
      <c r="D11" s="92" t="s">
        <v>472</v>
      </c>
      <c r="E11" s="209">
        <v>50000</v>
      </c>
      <c r="F11" s="258"/>
      <c r="G11" s="258"/>
      <c r="H11" s="76">
        <v>50000</v>
      </c>
      <c r="I11" s="103">
        <v>50000</v>
      </c>
      <c r="J11" s="103">
        <v>50000</v>
      </c>
      <c r="K11" s="101"/>
      <c r="L11" s="9"/>
    </row>
    <row r="12" spans="3:12" s="11" customFormat="1" ht="14" thickBot="1" x14ac:dyDescent="0.2">
      <c r="C12" s="83">
        <v>0.1</v>
      </c>
      <c r="D12" s="92" t="s">
        <v>473</v>
      </c>
      <c r="E12" s="212">
        <f>E11*C12</f>
        <v>5000</v>
      </c>
      <c r="F12" s="260"/>
      <c r="G12" s="260"/>
      <c r="H12" s="12">
        <f>H11*C12</f>
        <v>5000</v>
      </c>
      <c r="I12" s="78">
        <f>I11*C12</f>
        <v>5000</v>
      </c>
      <c r="J12" s="78">
        <f>J11*C12</f>
        <v>5000</v>
      </c>
      <c r="K12" s="101"/>
      <c r="L12" s="9"/>
    </row>
    <row r="13" spans="3:12" s="11" customFormat="1" ht="15" thickBot="1" x14ac:dyDescent="0.2">
      <c r="C13" s="83">
        <v>0.15</v>
      </c>
      <c r="D13" s="15" t="s">
        <v>474</v>
      </c>
      <c r="E13" s="300">
        <f>C13*E8</f>
        <v>37500</v>
      </c>
      <c r="F13" s="301"/>
      <c r="G13" s="301"/>
      <c r="H13" s="302">
        <f>C13*H8</f>
        <v>34500</v>
      </c>
      <c r="I13" s="215">
        <f>C13*I8</f>
        <v>36000</v>
      </c>
      <c r="J13" s="216">
        <f>C13*J8</f>
        <v>37500</v>
      </c>
      <c r="K13" s="101"/>
      <c r="L13" s="9"/>
    </row>
    <row r="14" spans="3:12" s="11" customFormat="1" x14ac:dyDescent="0.15">
      <c r="C14" s="83">
        <v>0.06</v>
      </c>
      <c r="D14" s="15" t="s">
        <v>475</v>
      </c>
      <c r="E14" s="213">
        <f>C14*E8</f>
        <v>15000</v>
      </c>
      <c r="F14" s="261"/>
      <c r="G14" s="261"/>
      <c r="H14" s="82">
        <f>C14*H8</f>
        <v>13800</v>
      </c>
      <c r="I14" s="82">
        <f>C14*I8</f>
        <v>14400</v>
      </c>
      <c r="J14" s="82">
        <f>C14*J8</f>
        <v>15000</v>
      </c>
      <c r="K14" s="101"/>
      <c r="L14" s="9"/>
    </row>
    <row r="15" spans="3:12" s="11" customFormat="1" ht="14" thickBot="1" x14ac:dyDescent="0.2">
      <c r="C15" s="96"/>
      <c r="D15" s="92" t="s">
        <v>476</v>
      </c>
      <c r="E15" s="214">
        <f>E8-(SUM(E10:E14))</f>
        <v>17500</v>
      </c>
      <c r="F15" s="260"/>
      <c r="G15" s="260"/>
      <c r="H15" s="81">
        <f>H8-(SUM(H10:H14))</f>
        <v>15700</v>
      </c>
      <c r="I15" s="81">
        <f>I8-(SUM(I10:I14))</f>
        <v>16600</v>
      </c>
      <c r="J15" s="81">
        <f>J8-(SUM(J10:J14))</f>
        <v>17500</v>
      </c>
      <c r="K15" s="101"/>
      <c r="L15" s="9"/>
    </row>
    <row r="16" spans="3:12" s="11" customFormat="1" ht="8" customHeight="1" thickBot="1" x14ac:dyDescent="0.2">
      <c r="C16" s="96"/>
      <c r="D16" s="92"/>
      <c r="E16" s="81"/>
      <c r="F16" s="81"/>
      <c r="G16" s="81"/>
      <c r="H16" s="81"/>
      <c r="I16" s="81"/>
      <c r="K16" s="101"/>
      <c r="L16" s="9"/>
    </row>
    <row r="17" spans="3:13" s="11" customFormat="1" ht="14" thickBot="1" x14ac:dyDescent="0.2">
      <c r="C17" s="4" t="s">
        <v>477</v>
      </c>
      <c r="D17" s="3"/>
      <c r="E17" s="3"/>
      <c r="F17" s="70"/>
      <c r="G17" s="70"/>
      <c r="H17" s="69"/>
      <c r="I17" s="70"/>
      <c r="J17" s="71"/>
      <c r="L17" s="9"/>
    </row>
    <row r="18" spans="3:13" s="11" customFormat="1" ht="21" thickTop="1" thickBot="1" x14ac:dyDescent="0.3">
      <c r="D18" s="111" t="s">
        <v>478</v>
      </c>
      <c r="E18" s="111" t="s">
        <v>479</v>
      </c>
      <c r="F18" s="111"/>
      <c r="G18" s="111"/>
      <c r="H18" s="174" t="s">
        <v>480</v>
      </c>
      <c r="I18" s="175" t="s">
        <v>481</v>
      </c>
      <c r="J18" s="14"/>
      <c r="L18" s="9"/>
    </row>
    <row r="19" spans="3:13" s="11" customFormat="1" ht="21" thickTop="1" thickBot="1" x14ac:dyDescent="0.3">
      <c r="C19" s="105" t="s">
        <v>482</v>
      </c>
      <c r="D19" s="112">
        <v>125000</v>
      </c>
      <c r="E19" s="106">
        <v>0.9</v>
      </c>
      <c r="F19" s="106"/>
      <c r="G19" s="106"/>
      <c r="H19" s="170">
        <f>E19*D19</f>
        <v>112500</v>
      </c>
      <c r="I19" s="172">
        <f>D19-H19</f>
        <v>12500</v>
      </c>
      <c r="J19" s="14"/>
      <c r="L19" s="9"/>
    </row>
    <row r="20" spans="3:13" s="11" customFormat="1" ht="19" x14ac:dyDescent="0.25">
      <c r="C20" s="105" t="s">
        <v>472</v>
      </c>
      <c r="D20" s="107">
        <f>E11</f>
        <v>50000</v>
      </c>
      <c r="E20" s="106">
        <v>1</v>
      </c>
      <c r="F20" s="106"/>
      <c r="G20" s="106"/>
      <c r="H20" s="170">
        <f>D20*E20</f>
        <v>50000</v>
      </c>
      <c r="I20" s="172">
        <f>D20-H20</f>
        <v>0</v>
      </c>
      <c r="J20" s="14"/>
      <c r="L20" s="9"/>
    </row>
    <row r="21" spans="3:13" s="11" customFormat="1" ht="20" thickBot="1" x14ac:dyDescent="0.3">
      <c r="C21" s="108" t="str">
        <f>D15</f>
        <v>FINANCING AND CARRYING</v>
      </c>
      <c r="D21" s="109">
        <f>E15</f>
        <v>17500</v>
      </c>
      <c r="E21" s="110">
        <v>0</v>
      </c>
      <c r="F21" s="110"/>
      <c r="G21" s="110"/>
      <c r="H21" s="171"/>
      <c r="I21" s="173">
        <f>D21</f>
        <v>17500</v>
      </c>
      <c r="J21" s="14"/>
      <c r="L21" s="9"/>
    </row>
    <row r="22" spans="3:13" s="11" customFormat="1" ht="19" thickBot="1" x14ac:dyDescent="0.25">
      <c r="D22" s="104"/>
      <c r="E22" s="104"/>
      <c r="F22" s="104"/>
      <c r="G22" s="104"/>
      <c r="H22" s="176">
        <f>SUM(H19:H21)</f>
        <v>162500</v>
      </c>
      <c r="I22" s="177">
        <f>SUM(I19:I21)</f>
        <v>30000</v>
      </c>
      <c r="J22" s="9"/>
      <c r="L22" s="9"/>
    </row>
    <row r="23" spans="3:13" ht="14" thickTop="1" x14ac:dyDescent="0.15"/>
    <row r="29" spans="3:13" ht="14" thickBot="1" x14ac:dyDescent="0.2"/>
    <row r="30" spans="3:13" s="11" customFormat="1" ht="17" thickBot="1" x14ac:dyDescent="0.25">
      <c r="C30" s="352" t="s">
        <v>483</v>
      </c>
      <c r="D30" s="114"/>
      <c r="E30" s="114"/>
      <c r="F30" s="119"/>
      <c r="G30" s="119"/>
      <c r="H30" s="371" t="s">
        <v>477</v>
      </c>
      <c r="I30" s="3"/>
      <c r="J30" s="3"/>
      <c r="L30" s="9"/>
      <c r="M30" s="13"/>
    </row>
    <row r="31" spans="3:13" s="11" customFormat="1" ht="14" thickBot="1" x14ac:dyDescent="0.2">
      <c r="C31" s="96"/>
      <c r="D31" s="366" t="s">
        <v>478</v>
      </c>
      <c r="E31" s="406" t="s">
        <v>467</v>
      </c>
      <c r="F31" s="410"/>
      <c r="G31" s="411"/>
      <c r="H31" s="96"/>
      <c r="I31" s="402" t="s">
        <v>478</v>
      </c>
      <c r="J31" s="400" t="s">
        <v>484</v>
      </c>
      <c r="K31" s="392"/>
      <c r="L31" s="392"/>
      <c r="M31" s="13"/>
    </row>
    <row r="32" spans="3:13" s="11" customFormat="1" ht="14" thickBot="1" x14ac:dyDescent="0.2">
      <c r="C32" s="75" t="s">
        <v>40</v>
      </c>
      <c r="D32" s="367"/>
      <c r="E32" s="407">
        <v>275000</v>
      </c>
      <c r="F32" s="412"/>
      <c r="G32" s="413"/>
      <c r="H32" s="370" t="s">
        <v>482</v>
      </c>
      <c r="I32" s="112">
        <v>160000</v>
      </c>
      <c r="J32" s="403">
        <v>0.8</v>
      </c>
      <c r="K32" s="390"/>
      <c r="L32" s="390"/>
      <c r="M32" s="13"/>
    </row>
    <row r="33" spans="3:13" s="11" customFormat="1" x14ac:dyDescent="0.15">
      <c r="C33" s="92" t="s">
        <v>485</v>
      </c>
      <c r="D33" s="367"/>
      <c r="E33" s="407">
        <v>50000</v>
      </c>
      <c r="F33" s="412"/>
      <c r="G33" s="414"/>
      <c r="H33" s="370" t="str">
        <f>C33</f>
        <v>HARD COST + CONTINGENCY</v>
      </c>
      <c r="I33" s="212">
        <f>E33</f>
        <v>50000</v>
      </c>
      <c r="J33" s="403">
        <v>1</v>
      </c>
      <c r="K33" s="356"/>
      <c r="L33" s="398"/>
      <c r="M33" s="13"/>
    </row>
    <row r="34" spans="3:13" s="354" customFormat="1" ht="13" customHeight="1" x14ac:dyDescent="0.15">
      <c r="C34" s="15" t="s">
        <v>486</v>
      </c>
      <c r="D34" s="368">
        <v>0.08</v>
      </c>
      <c r="E34" s="408">
        <f>D34*$E$32</f>
        <v>22000</v>
      </c>
      <c r="F34" s="412"/>
      <c r="G34" s="413"/>
      <c r="H34" s="370" t="str">
        <f>C35</f>
        <v>FINANCING COSTS % OF ARV</v>
      </c>
      <c r="I34" s="212">
        <f>E35</f>
        <v>9625.0000000000018</v>
      </c>
      <c r="J34" s="403">
        <v>0</v>
      </c>
      <c r="K34" s="356"/>
      <c r="L34" s="398"/>
    </row>
    <row r="35" spans="3:13" s="354" customFormat="1" ht="13" customHeight="1" thickBot="1" x14ac:dyDescent="0.2">
      <c r="C35" s="92" t="s">
        <v>487</v>
      </c>
      <c r="D35" s="369">
        <v>3.5000000000000003E-2</v>
      </c>
      <c r="E35" s="408">
        <f>D35*$E$32</f>
        <v>9625.0000000000018</v>
      </c>
      <c r="F35" s="412"/>
      <c r="G35" s="413"/>
      <c r="H35" s="370" t="str">
        <f>C36</f>
        <v>BUYING, HOLDING, CARRYING COSTS % OF ARV</v>
      </c>
      <c r="I35" s="214">
        <f>E36</f>
        <v>23374.999999999989</v>
      </c>
      <c r="J35" s="404">
        <v>1</v>
      </c>
      <c r="K35" s="356"/>
      <c r="L35" s="398"/>
    </row>
    <row r="36" spans="3:13" s="354" customFormat="1" ht="13" customHeight="1" thickBot="1" x14ac:dyDescent="0.2">
      <c r="C36" s="396" t="s">
        <v>488</v>
      </c>
      <c r="D36" s="369">
        <f>0.3-D34-D35-D37</f>
        <v>8.4999999999999964E-2</v>
      </c>
      <c r="E36" s="355">
        <f>D36*$E$32</f>
        <v>23374.999999999989</v>
      </c>
      <c r="F36" s="412"/>
      <c r="G36" s="413"/>
      <c r="H36" s="395" t="s">
        <v>489</v>
      </c>
      <c r="I36" s="401">
        <f>SUM(I32:I35)</f>
        <v>243000</v>
      </c>
      <c r="J36" s="426"/>
      <c r="K36" s="356"/>
      <c r="L36" s="398"/>
    </row>
    <row r="37" spans="3:13" s="354" customFormat="1" ht="13" customHeight="1" x14ac:dyDescent="0.15">
      <c r="C37" s="93" t="s">
        <v>490</v>
      </c>
      <c r="D37" s="485">
        <v>0.1</v>
      </c>
      <c r="E37" s="486">
        <f>D37*$E$32</f>
        <v>27500</v>
      </c>
      <c r="F37" s="412"/>
      <c r="G37" s="413"/>
      <c r="H37" s="422"/>
      <c r="I37" s="394"/>
      <c r="J37" s="423"/>
      <c r="K37" s="101"/>
      <c r="L37" s="391"/>
    </row>
    <row r="38" spans="3:13" s="354" customFormat="1" ht="15" thickBot="1" x14ac:dyDescent="0.2">
      <c r="C38" s="416" t="s">
        <v>491</v>
      </c>
      <c r="D38" s="481">
        <f>SUM(D34:D37)</f>
        <v>0.29999999999999993</v>
      </c>
      <c r="E38" s="482">
        <f>(E39+E33)/E32</f>
        <v>0.7</v>
      </c>
      <c r="F38" s="412"/>
      <c r="G38" s="413"/>
      <c r="H38" s="405"/>
      <c r="I38" s="424"/>
      <c r="J38" s="425"/>
      <c r="K38" s="101"/>
      <c r="L38" s="399"/>
    </row>
    <row r="39" spans="3:13" s="354" customFormat="1" ht="13" customHeight="1" x14ac:dyDescent="0.15">
      <c r="D39" s="483" t="s">
        <v>471</v>
      </c>
      <c r="E39" s="484">
        <f>E32-SUM(E33:E37)</f>
        <v>142500</v>
      </c>
      <c r="F39" s="409"/>
      <c r="G39" s="413"/>
      <c r="K39" s="101"/>
      <c r="L39" s="391"/>
    </row>
    <row r="40" spans="3:13" s="354" customFormat="1" ht="13" customHeight="1" x14ac:dyDescent="0.15">
      <c r="C40" s="105"/>
      <c r="D40" s="418" t="s">
        <v>492</v>
      </c>
      <c r="E40" s="419">
        <v>160000</v>
      </c>
      <c r="F40" s="409"/>
      <c r="G40" s="413"/>
      <c r="H40" s="370"/>
      <c r="I40" s="393"/>
      <c r="J40" s="393"/>
      <c r="K40" s="101"/>
      <c r="L40" s="391"/>
    </row>
    <row r="41" spans="3:13" s="354" customFormat="1" ht="15" thickBot="1" x14ac:dyDescent="0.2">
      <c r="C41" s="105"/>
      <c r="D41" s="420" t="s">
        <v>493</v>
      </c>
      <c r="E41" s="421">
        <f>(E40+E33)/E32</f>
        <v>0.76363636363636367</v>
      </c>
      <c r="F41" s="417"/>
      <c r="G41" s="415"/>
      <c r="H41" s="393"/>
      <c r="I41" s="393"/>
      <c r="J41" s="393"/>
      <c r="K41" s="101"/>
      <c r="L41" s="391"/>
    </row>
    <row r="42" spans="3:13" s="354" customFormat="1" x14ac:dyDescent="0.15">
      <c r="C42" s="105"/>
      <c r="H42" s="393"/>
      <c r="I42" s="393"/>
      <c r="J42" s="393"/>
      <c r="K42" s="101"/>
      <c r="L42" s="391"/>
    </row>
    <row r="43" spans="3:13" s="11" customFormat="1" x14ac:dyDescent="0.15">
      <c r="H43" s="254"/>
      <c r="I43" s="254"/>
      <c r="J43" s="254"/>
      <c r="K43" s="101"/>
      <c r="L43" s="391"/>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S68"/>
  <sheetViews>
    <sheetView showGridLines="0" tabSelected="1" zoomScale="80" zoomScaleNormal="80" workbookViewId="0">
      <selection activeCell="D4" sqref="D4"/>
    </sheetView>
  </sheetViews>
  <sheetFormatPr baseColWidth="10" defaultColWidth="10.83203125" defaultRowHeight="13" x14ac:dyDescent="0.15"/>
  <cols>
    <col min="1" max="1" width="2.1640625" style="16" customWidth="1"/>
    <col min="2" max="2" width="22.1640625" style="16" bestFit="1" customWidth="1"/>
    <col min="3" max="4" width="10.83203125" style="16"/>
    <col min="5" max="5" width="12.5" style="16" bestFit="1" customWidth="1"/>
    <col min="6" max="6" width="16.5" style="16" customWidth="1"/>
    <col min="7" max="7" width="25.1640625" style="16" customWidth="1"/>
    <col min="8" max="8" width="21.1640625" style="16" bestFit="1" customWidth="1"/>
    <col min="9" max="10" width="10.83203125" style="16"/>
    <col min="11" max="11" width="12.1640625" style="16" bestFit="1" customWidth="1"/>
    <col min="12" max="13" width="10.83203125" style="16"/>
    <col min="14" max="14" width="11.1640625" style="16" bestFit="1" customWidth="1"/>
    <col min="15" max="15" width="10.83203125" style="16"/>
    <col min="16" max="16" width="8.5" style="16" customWidth="1"/>
    <col min="17" max="17" width="2" style="16" hidden="1" customWidth="1"/>
    <col min="18" max="18" width="6.5" style="16" customWidth="1"/>
    <col min="19" max="16384" width="10.83203125" style="16"/>
  </cols>
  <sheetData>
    <row r="1" spans="2:18" ht="14" thickBot="1" x14ac:dyDescent="0.2"/>
    <row r="2" spans="2:18" x14ac:dyDescent="0.15">
      <c r="B2" s="760"/>
      <c r="C2" s="761"/>
      <c r="D2" s="761"/>
      <c r="E2" s="761"/>
      <c r="F2" s="761"/>
      <c r="G2" s="761"/>
      <c r="H2" s="761"/>
      <c r="I2" s="761"/>
      <c r="J2" s="761"/>
      <c r="K2" s="761"/>
      <c r="L2" s="761"/>
      <c r="M2" s="761"/>
      <c r="N2" s="761"/>
      <c r="O2" s="761"/>
      <c r="P2" s="761"/>
      <c r="Q2" s="761"/>
      <c r="R2" s="762"/>
    </row>
    <row r="3" spans="2:18" x14ac:dyDescent="0.15">
      <c r="B3" s="647"/>
      <c r="C3" s="640"/>
      <c r="D3" s="640"/>
      <c r="E3" s="640"/>
      <c r="F3" s="640"/>
      <c r="G3" s="640"/>
      <c r="H3" s="640"/>
      <c r="I3" s="640"/>
      <c r="J3" s="640"/>
      <c r="K3" s="640"/>
      <c r="L3" s="640"/>
      <c r="M3" s="640"/>
      <c r="N3" s="640"/>
      <c r="O3" s="640"/>
      <c r="P3" s="640"/>
      <c r="Q3" s="640"/>
      <c r="R3" s="763"/>
    </row>
    <row r="4" spans="2:18" x14ac:dyDescent="0.15">
      <c r="B4" s="764"/>
      <c r="C4" s="278"/>
      <c r="D4" s="278"/>
      <c r="E4" s="278"/>
      <c r="F4" s="278"/>
      <c r="G4" s="278"/>
      <c r="H4" s="278"/>
      <c r="I4" s="278"/>
      <c r="J4" s="278"/>
      <c r="K4" s="278"/>
      <c r="L4" s="278"/>
      <c r="M4" s="278"/>
      <c r="N4" s="278"/>
      <c r="O4" s="278"/>
      <c r="P4" s="278"/>
      <c r="Q4" s="278"/>
      <c r="R4" s="765"/>
    </row>
    <row r="5" spans="2:18" x14ac:dyDescent="0.15">
      <c r="B5" s="764"/>
      <c r="C5" s="278"/>
      <c r="D5" s="278"/>
      <c r="E5" s="278"/>
      <c r="F5" s="278"/>
      <c r="G5" s="278"/>
      <c r="H5" s="278"/>
      <c r="I5" s="278"/>
      <c r="J5" s="278"/>
      <c r="K5" s="278"/>
      <c r="L5" s="278"/>
      <c r="M5" s="278"/>
      <c r="N5" s="278"/>
      <c r="O5" s="278"/>
      <c r="P5" s="278"/>
      <c r="Q5" s="278"/>
      <c r="R5" s="765"/>
    </row>
    <row r="6" spans="2:18" x14ac:dyDescent="0.15">
      <c r="B6" s="764"/>
      <c r="C6" s="278"/>
      <c r="D6" s="278"/>
      <c r="E6" s="278"/>
      <c r="F6" s="278"/>
      <c r="G6" s="278"/>
      <c r="H6" s="278"/>
      <c r="I6" s="278"/>
      <c r="J6" s="278"/>
      <c r="K6" s="278"/>
      <c r="L6" s="278"/>
      <c r="M6" s="278"/>
      <c r="N6" s="278"/>
      <c r="O6" s="278"/>
      <c r="P6" s="278"/>
      <c r="Q6" s="278"/>
      <c r="R6" s="765"/>
    </row>
    <row r="7" spans="2:18" x14ac:dyDescent="0.15">
      <c r="B7" s="764"/>
      <c r="C7" s="278"/>
      <c r="D7" s="278"/>
      <c r="E7" s="278"/>
      <c r="F7" s="278"/>
      <c r="G7" s="278"/>
      <c r="H7" s="278"/>
      <c r="I7" s="278"/>
      <c r="J7" s="278"/>
      <c r="K7" s="278"/>
      <c r="L7" s="278"/>
      <c r="M7" s="278"/>
      <c r="N7" s="278"/>
      <c r="O7" s="278"/>
      <c r="P7" s="278"/>
      <c r="Q7" s="278"/>
      <c r="R7" s="765"/>
    </row>
    <row r="8" spans="2:18" x14ac:dyDescent="0.15">
      <c r="B8" s="764"/>
      <c r="C8" s="278"/>
      <c r="D8" s="278"/>
      <c r="E8" s="278"/>
      <c r="F8" s="278"/>
      <c r="G8" s="278"/>
      <c r="H8" s="278"/>
      <c r="I8" s="278"/>
      <c r="J8" s="278"/>
      <c r="K8" s="278"/>
      <c r="L8" s="278"/>
      <c r="M8" s="278"/>
      <c r="N8" s="278"/>
      <c r="O8" s="278"/>
      <c r="P8" s="278"/>
      <c r="Q8" s="278"/>
      <c r="R8" s="765"/>
    </row>
    <row r="9" spans="2:18" x14ac:dyDescent="0.15">
      <c r="B9" s="764"/>
      <c r="C9" s="278"/>
      <c r="D9" s="278"/>
      <c r="E9" s="278"/>
      <c r="F9" s="278"/>
      <c r="G9" s="278"/>
      <c r="H9" s="278"/>
      <c r="I9" s="278"/>
      <c r="J9" s="278"/>
      <c r="K9" s="278"/>
      <c r="L9" s="278"/>
      <c r="M9" s="278"/>
      <c r="N9" s="278"/>
      <c r="O9" s="278"/>
      <c r="P9" s="278"/>
      <c r="Q9" s="278"/>
      <c r="R9" s="765"/>
    </row>
    <row r="10" spans="2:18" ht="16" customHeight="1" x14ac:dyDescent="0.15">
      <c r="B10" s="1020"/>
      <c r="C10" s="1021"/>
      <c r="D10" s="1021"/>
      <c r="E10" s="1021"/>
      <c r="F10" s="1021"/>
      <c r="G10" s="1021"/>
      <c r="H10" s="1021"/>
      <c r="I10" s="1021"/>
      <c r="J10" s="1021"/>
      <c r="K10" s="1021"/>
      <c r="L10" s="1021"/>
      <c r="M10" s="1021"/>
      <c r="N10" s="1021"/>
      <c r="O10" s="1021"/>
      <c r="P10" s="1021"/>
      <c r="Q10" s="1021"/>
      <c r="R10" s="1022"/>
    </row>
    <row r="11" spans="2:18" ht="16" customHeight="1" x14ac:dyDescent="0.15">
      <c r="B11" s="1020"/>
      <c r="C11" s="1021"/>
      <c r="D11" s="1021"/>
      <c r="E11" s="1021"/>
      <c r="F11" s="1021"/>
      <c r="G11" s="1021"/>
      <c r="H11" s="1021"/>
      <c r="I11" s="1021"/>
      <c r="J11" s="1021"/>
      <c r="K11" s="1021"/>
      <c r="L11" s="1021"/>
      <c r="M11" s="1021"/>
      <c r="N11" s="1021"/>
      <c r="O11" s="1021"/>
      <c r="P11" s="1021"/>
      <c r="Q11" s="1021"/>
      <c r="R11" s="1022"/>
    </row>
    <row r="12" spans="2:18" ht="6" customHeight="1" x14ac:dyDescent="0.2">
      <c r="B12" s="766"/>
      <c r="C12" s="1041" t="s">
        <v>494</v>
      </c>
      <c r="D12" s="1041"/>
      <c r="E12" s="1041"/>
      <c r="F12" s="1041"/>
      <c r="G12" s="1041"/>
      <c r="H12" s="218"/>
      <c r="I12" s="219"/>
      <c r="J12" s="219"/>
      <c r="K12" s="219"/>
      <c r="L12" s="219"/>
      <c r="M12" s="219"/>
      <c r="N12" s="219"/>
      <c r="O12" s="219"/>
      <c r="P12" s="219"/>
      <c r="Q12" s="219"/>
      <c r="R12" s="767"/>
    </row>
    <row r="13" spans="2:18" ht="16" x14ac:dyDescent="0.2">
      <c r="B13" s="766"/>
      <c r="C13" s="1041"/>
      <c r="D13" s="1041"/>
      <c r="E13" s="1041"/>
      <c r="F13" s="1041"/>
      <c r="G13" s="1041"/>
      <c r="H13" s="220"/>
      <c r="I13" s="221"/>
      <c r="J13" s="221"/>
      <c r="K13" s="221"/>
      <c r="L13" s="221"/>
      <c r="M13" s="221"/>
      <c r="N13" s="221"/>
      <c r="O13" s="221"/>
      <c r="P13" s="221"/>
      <c r="Q13" s="219"/>
      <c r="R13" s="767"/>
    </row>
    <row r="14" spans="2:18" ht="16" customHeight="1" x14ac:dyDescent="0.2">
      <c r="B14" s="766"/>
      <c r="C14" s="1023" t="s">
        <v>5</v>
      </c>
      <c r="D14" s="1023"/>
      <c r="E14" s="1023"/>
      <c r="F14" s="1042">
        <f>'DEAL ANALYZER'!D11</f>
        <v>0</v>
      </c>
      <c r="G14" s="1042"/>
      <c r="H14" s="1042"/>
      <c r="I14" s="1042"/>
      <c r="J14" s="1042"/>
      <c r="K14" s="1042"/>
      <c r="L14" s="221"/>
      <c r="M14" s="221"/>
      <c r="N14" s="221"/>
      <c r="O14" s="221"/>
      <c r="P14" s="221"/>
      <c r="Q14" s="219"/>
      <c r="R14" s="767"/>
    </row>
    <row r="15" spans="2:18" ht="18" x14ac:dyDescent="0.2">
      <c r="B15" s="766"/>
      <c r="C15" s="1023" t="s">
        <v>495</v>
      </c>
      <c r="D15" s="1023"/>
      <c r="E15" s="1023"/>
      <c r="F15" s="1043">
        <f>'DEAL ANALYZER'!D12</f>
        <v>0</v>
      </c>
      <c r="G15" s="1043"/>
      <c r="H15" s="1043"/>
      <c r="I15" s="1043"/>
      <c r="J15" s="1043"/>
      <c r="K15" s="1043"/>
      <c r="L15" s="221"/>
      <c r="M15" s="1023" t="s">
        <v>496</v>
      </c>
      <c r="N15" s="1023"/>
      <c r="O15" s="1030">
        <f>'DEAL ANALYZER'!D15</f>
        <v>0</v>
      </c>
      <c r="P15" s="1030"/>
      <c r="Q15" s="219"/>
      <c r="R15" s="767"/>
    </row>
    <row r="16" spans="2:18" ht="18" x14ac:dyDescent="0.2">
      <c r="B16" s="766"/>
      <c r="C16" s="1023" t="s">
        <v>497</v>
      </c>
      <c r="D16" s="1023"/>
      <c r="E16" s="1023"/>
      <c r="F16" s="1031">
        <f>'DEAL ANALYZER'!D13</f>
        <v>0</v>
      </c>
      <c r="G16" s="1031"/>
      <c r="H16" s="1031"/>
      <c r="I16" s="1031"/>
      <c r="J16" s="1031"/>
      <c r="K16" s="1031"/>
      <c r="L16" s="221"/>
      <c r="M16" s="1023" t="s">
        <v>498</v>
      </c>
      <c r="N16" s="1023"/>
      <c r="O16" s="1032">
        <f>'DEAL ANALYZER'!D16</f>
        <v>0</v>
      </c>
      <c r="P16" s="1032"/>
      <c r="Q16" s="219"/>
      <c r="R16" s="767"/>
    </row>
    <row r="17" spans="2:18" ht="18" x14ac:dyDescent="0.2">
      <c r="B17" s="766"/>
      <c r="C17" s="1023" t="s">
        <v>499</v>
      </c>
      <c r="D17" s="1023"/>
      <c r="E17" s="1023"/>
      <c r="F17" s="1039" t="str">
        <f>'DEAL ANALYZER'!D14</f>
        <v>Duplex</v>
      </c>
      <c r="G17" s="1039"/>
      <c r="H17" s="1039"/>
      <c r="I17" s="1039"/>
      <c r="J17" s="1039"/>
      <c r="K17" s="1039"/>
      <c r="L17" s="221"/>
      <c r="M17" s="1023" t="s">
        <v>500</v>
      </c>
      <c r="N17" s="1023"/>
      <c r="O17" s="1040">
        <f>'DEAL ANALYZER'!D17</f>
        <v>0</v>
      </c>
      <c r="P17" s="1040"/>
      <c r="Q17" s="219"/>
      <c r="R17" s="767"/>
    </row>
    <row r="18" spans="2:18" ht="8" customHeight="1" thickBot="1" x14ac:dyDescent="0.25">
      <c r="B18" s="766"/>
      <c r="C18" s="834"/>
      <c r="D18" s="834"/>
      <c r="E18" s="834"/>
      <c r="F18" s="224"/>
      <c r="G18" s="224"/>
      <c r="H18" s="224"/>
      <c r="I18" s="224"/>
      <c r="J18" s="224"/>
      <c r="K18" s="224"/>
      <c r="L18" s="221"/>
      <c r="M18" s="834"/>
      <c r="N18" s="834"/>
      <c r="O18" s="256"/>
      <c r="P18" s="256"/>
      <c r="Q18" s="219"/>
      <c r="R18" s="767"/>
    </row>
    <row r="19" spans="2:18" ht="18" x14ac:dyDescent="0.2">
      <c r="B19" s="267"/>
      <c r="C19" s="268"/>
      <c r="D19" s="268"/>
      <c r="E19" s="268"/>
      <c r="F19" s="269"/>
      <c r="G19" s="269"/>
      <c r="H19" s="270"/>
      <c r="I19" s="271"/>
      <c r="J19" s="269"/>
      <c r="K19" s="269"/>
      <c r="L19" s="269"/>
      <c r="M19" s="269"/>
      <c r="N19" s="269"/>
      <c r="O19" s="269"/>
      <c r="P19" s="269"/>
      <c r="Q19" s="272"/>
      <c r="R19" s="273"/>
    </row>
    <row r="20" spans="2:18" ht="13" customHeight="1" x14ac:dyDescent="0.15">
      <c r="B20" s="1024" t="s">
        <v>501</v>
      </c>
      <c r="C20" s="1025"/>
      <c r="D20" s="1025"/>
      <c r="E20" s="1025"/>
      <c r="F20" s="1025"/>
      <c r="G20" s="1025"/>
      <c r="H20" s="1025"/>
      <c r="I20" s="1025"/>
      <c r="J20" s="1025"/>
      <c r="K20" s="1025"/>
      <c r="L20" s="1025"/>
      <c r="M20" s="1025"/>
      <c r="N20" s="1025"/>
      <c r="O20" s="1025"/>
      <c r="P20" s="1025"/>
      <c r="Q20" s="1025"/>
      <c r="R20" s="1026"/>
    </row>
    <row r="21" spans="2:18" ht="13" customHeight="1" x14ac:dyDescent="0.15">
      <c r="B21" s="1024"/>
      <c r="C21" s="1025"/>
      <c r="D21" s="1025"/>
      <c r="E21" s="1025"/>
      <c r="F21" s="1025"/>
      <c r="G21" s="1025"/>
      <c r="H21" s="1025"/>
      <c r="I21" s="1025"/>
      <c r="J21" s="1025"/>
      <c r="K21" s="1025"/>
      <c r="L21" s="1025"/>
      <c r="M21" s="1025"/>
      <c r="N21" s="1025"/>
      <c r="O21" s="1025"/>
      <c r="P21" s="1025"/>
      <c r="Q21" s="1025"/>
      <c r="R21" s="1026"/>
    </row>
    <row r="22" spans="2:18" ht="22" customHeight="1" x14ac:dyDescent="0.15">
      <c r="B22" s="1024"/>
      <c r="C22" s="1025"/>
      <c r="D22" s="1025"/>
      <c r="E22" s="1025"/>
      <c r="F22" s="1025"/>
      <c r="G22" s="1025"/>
      <c r="H22" s="1025"/>
      <c r="I22" s="1025"/>
      <c r="J22" s="1025"/>
      <c r="K22" s="1025"/>
      <c r="L22" s="1025"/>
      <c r="M22" s="1025"/>
      <c r="N22" s="1025"/>
      <c r="O22" s="1025"/>
      <c r="P22" s="1025"/>
      <c r="Q22" s="1025"/>
      <c r="R22" s="1026"/>
    </row>
    <row r="23" spans="2:18" ht="17" customHeight="1" x14ac:dyDescent="0.15">
      <c r="B23" s="1024" t="s">
        <v>502</v>
      </c>
      <c r="C23" s="1025"/>
      <c r="D23" s="1025"/>
      <c r="E23" s="1025"/>
      <c r="F23" s="1025"/>
      <c r="G23" s="1025"/>
      <c r="H23" s="1025"/>
      <c r="I23" s="1025"/>
      <c r="J23" s="1025"/>
      <c r="K23" s="1025"/>
      <c r="L23" s="1025"/>
      <c r="M23" s="1025"/>
      <c r="N23" s="1025"/>
      <c r="O23" s="1025"/>
      <c r="P23" s="1025"/>
      <c r="Q23" s="1025"/>
      <c r="R23" s="1026"/>
    </row>
    <row r="24" spans="2:18" ht="16" customHeight="1" x14ac:dyDescent="0.15">
      <c r="B24" s="1024"/>
      <c r="C24" s="1025"/>
      <c r="D24" s="1025"/>
      <c r="E24" s="1025"/>
      <c r="F24" s="1025"/>
      <c r="G24" s="1025"/>
      <c r="H24" s="1025"/>
      <c r="I24" s="1025"/>
      <c r="J24" s="1025"/>
      <c r="K24" s="1025"/>
      <c r="L24" s="1025"/>
      <c r="M24" s="1025"/>
      <c r="N24" s="1025"/>
      <c r="O24" s="1025"/>
      <c r="P24" s="1025"/>
      <c r="Q24" s="1025"/>
      <c r="R24" s="1026"/>
    </row>
    <row r="25" spans="2:18" ht="16" customHeight="1" x14ac:dyDescent="0.15">
      <c r="B25" s="1024"/>
      <c r="C25" s="1025"/>
      <c r="D25" s="1025"/>
      <c r="E25" s="1025"/>
      <c r="F25" s="1025"/>
      <c r="G25" s="1025"/>
      <c r="H25" s="1025"/>
      <c r="I25" s="1025"/>
      <c r="J25" s="1025"/>
      <c r="K25" s="1025"/>
      <c r="L25" s="1025"/>
      <c r="M25" s="1025"/>
      <c r="N25" s="1025"/>
      <c r="O25" s="1025"/>
      <c r="P25" s="1025"/>
      <c r="Q25" s="1025"/>
      <c r="R25" s="1026"/>
    </row>
    <row r="26" spans="2:18" ht="16" customHeight="1" thickBot="1" x14ac:dyDescent="0.2">
      <c r="B26" s="1033"/>
      <c r="C26" s="1034"/>
      <c r="D26" s="1034"/>
      <c r="E26" s="1034"/>
      <c r="F26" s="1034"/>
      <c r="G26" s="1034"/>
      <c r="H26" s="1034"/>
      <c r="I26" s="1034"/>
      <c r="J26" s="1034"/>
      <c r="K26" s="1034"/>
      <c r="L26" s="1034"/>
      <c r="M26" s="1034"/>
      <c r="N26" s="1034"/>
      <c r="O26" s="1034"/>
      <c r="P26" s="1034"/>
      <c r="Q26" s="1034"/>
      <c r="R26" s="1035"/>
    </row>
    <row r="27" spans="2:18" ht="19" thickBot="1" x14ac:dyDescent="0.25">
      <c r="B27" s="1036" t="s">
        <v>503</v>
      </c>
      <c r="C27" s="1037"/>
      <c r="D27" s="1037"/>
      <c r="E27" s="1037"/>
      <c r="F27" s="1037"/>
      <c r="G27" s="1037"/>
      <c r="H27" s="1037"/>
      <c r="I27" s="1037"/>
      <c r="J27" s="1037"/>
      <c r="K27" s="1037"/>
      <c r="L27" s="1037"/>
      <c r="M27" s="1037"/>
      <c r="N27" s="1037"/>
      <c r="O27" s="1037"/>
      <c r="P27" s="1037"/>
      <c r="Q27" s="1037"/>
      <c r="R27" s="1038"/>
    </row>
    <row r="28" spans="2:18" ht="15" thickBot="1" x14ac:dyDescent="0.2">
      <c r="B28" s="1027" t="s">
        <v>504</v>
      </c>
      <c r="C28" s="1028"/>
      <c r="D28" s="1028"/>
      <c r="E28" s="1028"/>
      <c r="F28" s="835" t="s">
        <v>505</v>
      </c>
      <c r="G28" s="835" t="s">
        <v>506</v>
      </c>
      <c r="H28" s="1028" t="s">
        <v>507</v>
      </c>
      <c r="I28" s="1028"/>
      <c r="J28" s="1028" t="s">
        <v>508</v>
      </c>
      <c r="K28" s="1028"/>
      <c r="L28" s="1028" t="s">
        <v>509</v>
      </c>
      <c r="M28" s="1028"/>
      <c r="N28" s="1028" t="s">
        <v>510</v>
      </c>
      <c r="O28" s="1028"/>
      <c r="P28" s="1028"/>
      <c r="Q28" s="1028"/>
      <c r="R28" s="1029"/>
    </row>
    <row r="29" spans="2:18" ht="16" x14ac:dyDescent="0.2">
      <c r="B29" s="976" t="str">
        <f>'DEAL ANALYZER'!E21</f>
        <v>1st street</v>
      </c>
      <c r="C29" s="977"/>
      <c r="D29" s="977"/>
      <c r="E29" s="977"/>
      <c r="F29" s="836">
        <f>'DEAL ANALYZER'!F21</f>
        <v>3</v>
      </c>
      <c r="G29" s="263">
        <f>'DEAL ANALYZER'!G21</f>
        <v>2</v>
      </c>
      <c r="H29" s="978">
        <f>'DEAL ANALYZER'!I21</f>
        <v>2611</v>
      </c>
      <c r="I29" s="978"/>
      <c r="J29" s="988">
        <f>'DEAL ANALYZER'!H21</f>
        <v>265000</v>
      </c>
      <c r="K29" s="988"/>
      <c r="L29" s="987">
        <f>'DEAL ANALYZER'!I21</f>
        <v>2611</v>
      </c>
      <c r="M29" s="987"/>
      <c r="N29" s="1011">
        <f>'DEAL ANALYZER'!J31</f>
        <v>140</v>
      </c>
      <c r="O29" s="1012"/>
      <c r="P29" s="1012"/>
      <c r="Q29" s="1012"/>
      <c r="R29" s="1013"/>
    </row>
    <row r="30" spans="2:18" ht="16" x14ac:dyDescent="0.2">
      <c r="B30" s="989" t="str">
        <f>'DEAL ANALYZER'!E22</f>
        <v>2nd street</v>
      </c>
      <c r="C30" s="990"/>
      <c r="D30" s="990"/>
      <c r="E30" s="990"/>
      <c r="F30" s="836">
        <f>'DEAL ANALYZER'!F22</f>
        <v>3</v>
      </c>
      <c r="G30" s="263">
        <f>'DEAL ANALYZER'!G22</f>
        <v>1</v>
      </c>
      <c r="H30" s="991">
        <f>'DEAL ANALYZER'!I22</f>
        <v>1433</v>
      </c>
      <c r="I30" s="991"/>
      <c r="J30" s="988">
        <f>'DEAL ANALYZER'!H22</f>
        <v>235000</v>
      </c>
      <c r="K30" s="988"/>
      <c r="L30" s="987">
        <f>'DEAL ANALYZER'!I22</f>
        <v>1433</v>
      </c>
      <c r="M30" s="987"/>
      <c r="N30" s="1014"/>
      <c r="O30" s="1015"/>
      <c r="P30" s="1015"/>
      <c r="Q30" s="1015"/>
      <c r="R30" s="1016"/>
    </row>
    <row r="31" spans="2:18" ht="16" x14ac:dyDescent="0.2">
      <c r="B31" s="989" t="str">
        <f>'DEAL ANALYZER'!E23</f>
        <v>3rd street</v>
      </c>
      <c r="C31" s="990"/>
      <c r="D31" s="990"/>
      <c r="E31" s="990"/>
      <c r="F31" s="836">
        <f>'DEAL ANALYZER'!F23</f>
        <v>3</v>
      </c>
      <c r="G31" s="263">
        <f>'DEAL ANALYZER'!G23</f>
        <v>2</v>
      </c>
      <c r="H31" s="991">
        <f>'DEAL ANALYZER'!I23</f>
        <v>1448</v>
      </c>
      <c r="I31" s="991"/>
      <c r="J31" s="988">
        <f>'DEAL ANALYZER'!H23</f>
        <v>230000</v>
      </c>
      <c r="K31" s="988"/>
      <c r="L31" s="987">
        <f>'DEAL ANALYZER'!I23</f>
        <v>1448</v>
      </c>
      <c r="M31" s="987"/>
      <c r="N31" s="1014"/>
      <c r="O31" s="1015"/>
      <c r="P31" s="1015"/>
      <c r="Q31" s="1015"/>
      <c r="R31" s="1016"/>
    </row>
    <row r="32" spans="2:18" ht="16" x14ac:dyDescent="0.2">
      <c r="B32" s="989" t="str">
        <f>'DEAL ANALYZER'!E24</f>
        <v>4th street</v>
      </c>
      <c r="C32" s="990"/>
      <c r="D32" s="990"/>
      <c r="E32" s="990"/>
      <c r="F32" s="836">
        <f>'DEAL ANALYZER'!F24</f>
        <v>3</v>
      </c>
      <c r="G32" s="263">
        <f>'DEAL ANALYZER'!G24</f>
        <v>2</v>
      </c>
      <c r="H32" s="991">
        <f>'DEAL ANALYZER'!I24</f>
        <v>2606</v>
      </c>
      <c r="I32" s="991"/>
      <c r="J32" s="988">
        <f>'DEAL ANALYZER'!H24</f>
        <v>250000</v>
      </c>
      <c r="K32" s="988"/>
      <c r="L32" s="987">
        <f>'DEAL ANALYZER'!I24</f>
        <v>2606</v>
      </c>
      <c r="M32" s="987"/>
      <c r="N32" s="1014"/>
      <c r="O32" s="1015"/>
      <c r="P32" s="1015"/>
      <c r="Q32" s="1015"/>
      <c r="R32" s="1016"/>
    </row>
    <row r="33" spans="2:19" ht="16" x14ac:dyDescent="0.2">
      <c r="B33" s="989" t="str">
        <f>'DEAL ANALYZER'!E25</f>
        <v>5th street</v>
      </c>
      <c r="C33" s="990"/>
      <c r="D33" s="990"/>
      <c r="E33" s="990"/>
      <c r="F33" s="836">
        <f>'DEAL ANALYZER'!F25</f>
        <v>3</v>
      </c>
      <c r="G33" s="263">
        <f>'DEAL ANALYZER'!G25</f>
        <v>3</v>
      </c>
      <c r="H33" s="991">
        <f>'DEAL ANALYZER'!I25</f>
        <v>1819</v>
      </c>
      <c r="I33" s="991"/>
      <c r="J33" s="988">
        <f>'DEAL ANALYZER'!H25</f>
        <v>332000</v>
      </c>
      <c r="K33" s="988"/>
      <c r="L33" s="987">
        <f>'DEAL ANALYZER'!I25</f>
        <v>1819</v>
      </c>
      <c r="M33" s="987"/>
      <c r="N33" s="1014"/>
      <c r="O33" s="1015"/>
      <c r="P33" s="1015"/>
      <c r="Q33" s="1015"/>
      <c r="R33" s="1016"/>
    </row>
    <row r="34" spans="2:19" ht="17" thickBot="1" x14ac:dyDescent="0.25">
      <c r="B34" s="992">
        <f>'DEAL ANALYZER'!E26</f>
        <v>0</v>
      </c>
      <c r="C34" s="993"/>
      <c r="D34" s="993"/>
      <c r="E34" s="993"/>
      <c r="F34" s="264">
        <f>'DEAL ANALYZER'!F26</f>
        <v>0</v>
      </c>
      <c r="G34" s="265">
        <f>'DEAL ANALYZER'!G26</f>
        <v>0</v>
      </c>
      <c r="H34" s="994">
        <f>'DEAL ANALYZER'!I26</f>
        <v>0</v>
      </c>
      <c r="I34" s="994"/>
      <c r="J34" s="995">
        <f>'DEAL ANALYZER'!H26</f>
        <v>0</v>
      </c>
      <c r="K34" s="995"/>
      <c r="L34" s="986">
        <f>'DEAL ANALYZER'!I26</f>
        <v>0</v>
      </c>
      <c r="M34" s="986"/>
      <c r="N34" s="1017"/>
      <c r="O34" s="1018"/>
      <c r="P34" s="1018"/>
      <c r="Q34" s="1018"/>
      <c r="R34" s="1019"/>
    </row>
    <row r="35" spans="2:19" ht="22" thickBot="1" x14ac:dyDescent="0.3">
      <c r="B35" s="981" t="s">
        <v>511</v>
      </c>
      <c r="C35" s="982"/>
      <c r="D35" s="982"/>
      <c r="E35" s="982"/>
      <c r="F35" s="982"/>
      <c r="G35" s="982"/>
      <c r="H35" s="982"/>
      <c r="I35" s="982"/>
      <c r="J35" s="982"/>
      <c r="K35" s="982"/>
      <c r="L35" s="982"/>
      <c r="M35" s="982"/>
      <c r="N35" s="982"/>
      <c r="O35" s="982"/>
      <c r="P35" s="982"/>
      <c r="Q35" s="982"/>
      <c r="R35" s="983"/>
    </row>
    <row r="36" spans="2:19" ht="19" x14ac:dyDescent="0.2">
      <c r="B36" s="592" t="s">
        <v>512</v>
      </c>
      <c r="C36" s="593"/>
      <c r="D36" s="594"/>
      <c r="E36" s="595">
        <f>'REPAIR ESTIMATOR'!Q249</f>
        <v>25275</v>
      </c>
      <c r="F36" s="599">
        <f>E36/O37</f>
        <v>0.27179494348493272</v>
      </c>
      <c r="G36" s="837" t="s">
        <v>513</v>
      </c>
      <c r="H36" s="979">
        <f>'REPAIR ESTIMATOR'!Q251</f>
        <v>17100</v>
      </c>
      <c r="I36" s="979"/>
      <c r="J36" s="601">
        <f>H36/O37</f>
        <v>0.18388500627467261</v>
      </c>
      <c r="K36" s="596"/>
      <c r="L36" s="984" t="s">
        <v>514</v>
      </c>
      <c r="M36" s="984"/>
      <c r="N36" s="984"/>
      <c r="O36" s="979" t="e">
        <f>O37/O17</f>
        <v>#DIV/0!</v>
      </c>
      <c r="P36" s="979"/>
      <c r="Q36" s="597"/>
      <c r="R36" s="598"/>
    </row>
    <row r="37" spans="2:19" ht="20" thickBot="1" x14ac:dyDescent="0.25">
      <c r="B37" s="590" t="s">
        <v>515</v>
      </c>
      <c r="C37" s="493"/>
      <c r="D37" s="496"/>
      <c r="E37" s="591">
        <f>'REPAIR ESTIMATOR'!Q250</f>
        <v>38664</v>
      </c>
      <c r="F37" s="600">
        <f>E37/O37</f>
        <v>0.41577367734525972</v>
      </c>
      <c r="G37" s="838" t="s">
        <v>516</v>
      </c>
      <c r="H37" s="980">
        <f>'REPAIR ESTIMATOR'!Q252</f>
        <v>11953.9</v>
      </c>
      <c r="I37" s="980"/>
      <c r="J37" s="602">
        <f>H37/O37</f>
        <v>0.12854637289513501</v>
      </c>
      <c r="K37" s="497"/>
      <c r="L37" s="985" t="s">
        <v>517</v>
      </c>
      <c r="M37" s="985"/>
      <c r="N37" s="985"/>
      <c r="O37" s="980">
        <f>'REPAIR ESTIMATOR'!G251</f>
        <v>92992.9</v>
      </c>
      <c r="P37" s="980"/>
      <c r="Q37" s="494"/>
      <c r="R37" s="495"/>
    </row>
    <row r="38" spans="2:19" ht="13" customHeight="1" thickBot="1" x14ac:dyDescent="0.25">
      <c r="B38" s="768"/>
      <c r="C38" s="222"/>
      <c r="D38" s="222"/>
      <c r="E38" s="222"/>
      <c r="F38" s="222"/>
      <c r="G38" s="221"/>
      <c r="H38" s="221"/>
      <c r="I38" s="221"/>
      <c r="J38" s="221"/>
      <c r="K38" s="221"/>
      <c r="L38" s="221"/>
      <c r="M38" s="221"/>
      <c r="N38" s="221"/>
      <c r="O38" s="221"/>
      <c r="P38" s="221"/>
      <c r="Q38" s="219"/>
      <c r="R38" s="767"/>
    </row>
    <row r="39" spans="2:19" ht="19" thickBot="1" x14ac:dyDescent="0.25">
      <c r="B39" s="768"/>
      <c r="C39" s="222"/>
      <c r="D39" s="222"/>
      <c r="E39" s="222"/>
      <c r="F39" s="973" t="s">
        <v>518</v>
      </c>
      <c r="G39" s="974"/>
      <c r="H39" s="975"/>
      <c r="I39" s="221"/>
      <c r="J39" s="221"/>
      <c r="K39" s="221"/>
      <c r="L39" s="769"/>
      <c r="M39" s="221"/>
      <c r="N39" s="221"/>
      <c r="O39" s="221"/>
      <c r="P39" s="221"/>
      <c r="Q39" s="219"/>
      <c r="R39" s="767"/>
    </row>
    <row r="40" spans="2:19" ht="18" x14ac:dyDescent="0.2">
      <c r="B40" s="768"/>
      <c r="C40" s="222"/>
      <c r="D40" s="222"/>
      <c r="E40" s="222"/>
      <c r="F40" s="274" t="s">
        <v>519</v>
      </c>
      <c r="G40" s="274" t="s">
        <v>520</v>
      </c>
      <c r="H40" s="274" t="s">
        <v>521</v>
      </c>
      <c r="I40" s="221"/>
      <c r="J40" s="221"/>
      <c r="K40" s="221"/>
      <c r="L40" s="221"/>
      <c r="M40" s="221"/>
      <c r="N40" s="770"/>
      <c r="O40" s="221"/>
      <c r="P40" s="221"/>
      <c r="Q40" s="219"/>
      <c r="R40" s="767"/>
    </row>
    <row r="41" spans="2:19" ht="16" customHeight="1" x14ac:dyDescent="0.2">
      <c r="B41" s="647"/>
      <c r="C41" s="266"/>
      <c r="D41" s="266"/>
      <c r="E41" s="266"/>
      <c r="F41" s="1005">
        <f>H41-(H41*0.15)</f>
        <v>0</v>
      </c>
      <c r="G41" s="1005">
        <f>H41-(H41*0.1)</f>
        <v>0</v>
      </c>
      <c r="H41" s="1004">
        <f>N29*O17</f>
        <v>0</v>
      </c>
      <c r="I41" s="640"/>
      <c r="J41" s="225"/>
      <c r="K41" s="221"/>
      <c r="L41" s="221"/>
      <c r="M41" s="221"/>
      <c r="N41" s="221"/>
      <c r="O41" s="221"/>
      <c r="P41" s="221"/>
      <c r="Q41" s="219"/>
      <c r="R41" s="767"/>
    </row>
    <row r="42" spans="2:19" ht="20" customHeight="1" x14ac:dyDescent="0.2">
      <c r="B42" s="771"/>
      <c r="C42" s="1006" t="s">
        <v>522</v>
      </c>
      <c r="D42" s="1006"/>
      <c r="E42" s="1006"/>
      <c r="F42" s="1005"/>
      <c r="G42" s="1005"/>
      <c r="H42" s="1004"/>
      <c r="I42" s="275" t="s">
        <v>523</v>
      </c>
      <c r="J42" s="640"/>
      <c r="K42" s="221"/>
      <c r="L42" s="221"/>
      <c r="M42" s="221"/>
      <c r="N42" s="221"/>
      <c r="O42" s="221"/>
      <c r="P42" s="221"/>
      <c r="Q42" s="219"/>
      <c r="R42" s="767"/>
    </row>
    <row r="43" spans="2:19" ht="18" x14ac:dyDescent="0.2">
      <c r="B43" s="772"/>
      <c r="C43" s="223"/>
      <c r="D43" s="223"/>
      <c r="E43" s="223"/>
      <c r="F43" s="223"/>
      <c r="G43" s="276" t="s">
        <v>524</v>
      </c>
      <c r="H43" s="773">
        <f>-'DEAL ANALYZER'!E53</f>
        <v>-93000</v>
      </c>
      <c r="I43" s="285">
        <f>'DEAL ANALYZER'!E57</f>
        <v>3</v>
      </c>
      <c r="J43" s="286" t="s">
        <v>525</v>
      </c>
      <c r="K43" s="221"/>
      <c r="L43" s="221"/>
      <c r="M43" s="221"/>
      <c r="N43" s="221"/>
      <c r="O43" s="221"/>
      <c r="P43" s="221"/>
      <c r="Q43" s="219"/>
      <c r="R43" s="767"/>
    </row>
    <row r="44" spans="2:19" ht="19" thickBot="1" x14ac:dyDescent="0.25">
      <c r="B44" s="768"/>
      <c r="C44" s="277"/>
      <c r="D44" s="277"/>
      <c r="E44" s="277"/>
      <c r="F44" s="277"/>
      <c r="G44" s="282" t="s">
        <v>526</v>
      </c>
      <c r="H44" s="283">
        <f>-('DEAL ANALYZER'!E82+'DEAL ANALYZER'!E83+'DEAL ANALYZER'!E84+'DEAL ANALYZER'!E85+'DEAL ANALYZER'!E77)</f>
        <v>-65000</v>
      </c>
      <c r="I44" s="285">
        <f>'DEAL ANALYZER'!E58</f>
        <v>3</v>
      </c>
      <c r="J44" s="286" t="s">
        <v>527</v>
      </c>
      <c r="K44" s="221"/>
      <c r="L44" s="221"/>
      <c r="M44" s="221"/>
      <c r="N44" s="221"/>
      <c r="O44" s="221"/>
      <c r="P44" s="221"/>
      <c r="Q44" s="219"/>
      <c r="R44" s="767"/>
    </row>
    <row r="45" spans="2:19" ht="21" thickTop="1" x14ac:dyDescent="0.2">
      <c r="B45" s="768"/>
      <c r="C45" s="222"/>
      <c r="D45" s="222"/>
      <c r="E45" s="222"/>
      <c r="F45" s="222"/>
      <c r="G45" s="288" t="s">
        <v>528</v>
      </c>
      <c r="H45" s="284">
        <f>SUM(H43:H44)</f>
        <v>-158000</v>
      </c>
      <c r="I45" s="285">
        <f>'DEAL ANALYZER'!E59</f>
        <v>6</v>
      </c>
      <c r="J45" s="286" t="s">
        <v>529</v>
      </c>
      <c r="K45" s="221"/>
      <c r="L45" s="221"/>
      <c r="M45" s="221"/>
      <c r="N45" s="221"/>
      <c r="O45" s="221"/>
      <c r="P45" s="221"/>
      <c r="Q45" s="219"/>
      <c r="R45" s="767"/>
    </row>
    <row r="46" spans="2:19" ht="17" thickBot="1" x14ac:dyDescent="0.25">
      <c r="B46" s="774"/>
      <c r="C46" s="221"/>
      <c r="D46" s="221"/>
      <c r="E46" s="221"/>
      <c r="F46" s="221"/>
      <c r="G46" s="221"/>
      <c r="H46" s="221"/>
      <c r="I46" s="640"/>
      <c r="J46" s="221"/>
      <c r="K46" s="221"/>
      <c r="L46" s="221"/>
      <c r="M46" s="221"/>
      <c r="N46" s="221"/>
      <c r="O46" s="221"/>
      <c r="P46" s="221"/>
      <c r="Q46" s="219"/>
      <c r="R46" s="767"/>
    </row>
    <row r="47" spans="2:19" ht="25" x14ac:dyDescent="0.25">
      <c r="B47" s="775"/>
      <c r="C47" s="279"/>
      <c r="D47" s="999" t="s">
        <v>530</v>
      </c>
      <c r="E47" s="999"/>
      <c r="F47" s="999"/>
      <c r="G47" s="999"/>
      <c r="H47" s="999"/>
      <c r="I47" s="999"/>
      <c r="J47" s="999"/>
      <c r="K47" s="999"/>
      <c r="L47" s="999"/>
      <c r="M47" s="999"/>
      <c r="N47" s="999"/>
      <c r="O47" s="280"/>
      <c r="P47" s="226"/>
      <c r="Q47" s="222"/>
      <c r="R47" s="767"/>
    </row>
    <row r="48" spans="2:19" ht="18" customHeight="1" x14ac:dyDescent="0.2">
      <c r="B48" s="766"/>
      <c r="C48" s="289"/>
      <c r="D48" s="290"/>
      <c r="E48" s="291"/>
      <c r="F48" s="292"/>
      <c r="G48" s="1000">
        <f>'DEAL ANALYZER'!E54</f>
        <v>92000</v>
      </c>
      <c r="H48" s="1001"/>
      <c r="I48" s="292"/>
      <c r="J48" s="292"/>
      <c r="K48" s="292"/>
      <c r="L48" s="292"/>
      <c r="M48" s="292"/>
      <c r="N48" s="296"/>
      <c r="O48" s="297"/>
      <c r="P48" s="222"/>
      <c r="Q48" s="222"/>
      <c r="R48" s="767"/>
      <c r="S48" s="217"/>
    </row>
    <row r="49" spans="2:19" ht="25" customHeight="1" thickBot="1" x14ac:dyDescent="0.25">
      <c r="B49" s="766"/>
      <c r="C49" s="293"/>
      <c r="D49" s="294"/>
      <c r="E49" s="295"/>
      <c r="F49" s="295"/>
      <c r="G49" s="1002"/>
      <c r="H49" s="1003"/>
      <c r="I49" s="295"/>
      <c r="J49" s="295"/>
      <c r="K49" s="295"/>
      <c r="L49" s="295"/>
      <c r="M49" s="295"/>
      <c r="N49" s="298"/>
      <c r="O49" s="299"/>
      <c r="P49" s="278"/>
      <c r="Q49" s="278"/>
      <c r="R49" s="767"/>
      <c r="S49" s="217"/>
    </row>
    <row r="50" spans="2:19" x14ac:dyDescent="0.15">
      <c r="B50" s="764"/>
      <c r="C50" s="278"/>
      <c r="D50" s="278"/>
      <c r="E50" s="278"/>
      <c r="F50" s="278"/>
      <c r="G50" s="278"/>
      <c r="H50" s="278"/>
      <c r="I50" s="278"/>
      <c r="J50" s="278"/>
      <c r="K50" s="278"/>
      <c r="L50" s="278"/>
      <c r="M50" s="278"/>
      <c r="N50" s="278"/>
      <c r="O50" s="278"/>
      <c r="P50" s="278"/>
      <c r="Q50" s="278"/>
      <c r="R50" s="765"/>
      <c r="S50" s="217"/>
    </row>
    <row r="51" spans="2:19" x14ac:dyDescent="0.15">
      <c r="B51" s="764"/>
      <c r="C51" s="278"/>
      <c r="D51" s="278"/>
      <c r="E51" s="278"/>
      <c r="F51" s="278"/>
      <c r="G51" s="278"/>
      <c r="H51" s="278"/>
      <c r="I51" s="278"/>
      <c r="J51" s="278"/>
      <c r="K51" s="278"/>
      <c r="L51" s="278"/>
      <c r="M51" s="278"/>
      <c r="N51" s="278"/>
      <c r="O51" s="278"/>
      <c r="P51" s="278"/>
      <c r="Q51" s="278"/>
      <c r="R51" s="765"/>
      <c r="S51" s="217"/>
    </row>
    <row r="52" spans="2:19" x14ac:dyDescent="0.15">
      <c r="B52" s="764"/>
      <c r="C52" s="278"/>
      <c r="D52" s="278"/>
      <c r="E52" s="278"/>
      <c r="F52" s="278"/>
      <c r="G52" s="278"/>
      <c r="H52" s="278"/>
      <c r="I52" s="278"/>
      <c r="J52" s="278"/>
      <c r="K52" s="278"/>
      <c r="L52" s="278"/>
      <c r="M52" s="278"/>
      <c r="N52" s="278"/>
      <c r="O52" s="278"/>
      <c r="P52" s="278"/>
      <c r="Q52" s="278"/>
      <c r="R52" s="765"/>
      <c r="S52" s="217"/>
    </row>
    <row r="53" spans="2:19" ht="15" customHeight="1" x14ac:dyDescent="0.15">
      <c r="B53" s="1007" t="s">
        <v>531</v>
      </c>
      <c r="C53" s="1008"/>
      <c r="D53" s="1008"/>
      <c r="E53" s="1008"/>
      <c r="F53" s="1009">
        <v>0</v>
      </c>
      <c r="G53" s="1009"/>
      <c r="H53" s="1009"/>
      <c r="I53" s="1008" t="s">
        <v>531</v>
      </c>
      <c r="J53" s="1008"/>
      <c r="K53" s="1008"/>
      <c r="L53" s="1008"/>
      <c r="M53" s="1008"/>
      <c r="N53" s="1008" t="s">
        <v>531</v>
      </c>
      <c r="O53" s="1008"/>
      <c r="P53" s="1008"/>
      <c r="Q53" s="1008"/>
      <c r="R53" s="1010"/>
    </row>
    <row r="54" spans="2:19" x14ac:dyDescent="0.15">
      <c r="B54" s="764"/>
      <c r="C54" s="278"/>
      <c r="D54" s="278"/>
      <c r="E54" s="278"/>
      <c r="F54" s="278"/>
      <c r="G54" s="278"/>
      <c r="H54" s="278"/>
      <c r="I54" s="278"/>
      <c r="J54" s="278"/>
      <c r="K54" s="278"/>
      <c r="L54" s="278"/>
      <c r="M54" s="278"/>
      <c r="N54" s="278"/>
      <c r="O54" s="278"/>
      <c r="P54" s="278"/>
      <c r="Q54" s="278"/>
      <c r="R54" s="765"/>
    </row>
    <row r="55" spans="2:19" x14ac:dyDescent="0.15">
      <c r="B55" s="764"/>
      <c r="C55" s="278"/>
      <c r="D55" s="278"/>
      <c r="E55" s="278"/>
      <c r="F55" s="278"/>
      <c r="G55" s="278"/>
      <c r="H55" s="278"/>
      <c r="I55" s="278"/>
      <c r="J55" s="278"/>
      <c r="K55" s="278"/>
      <c r="L55" s="278"/>
      <c r="M55" s="278"/>
      <c r="N55" s="278"/>
      <c r="O55" s="278"/>
      <c r="P55" s="278"/>
      <c r="Q55" s="278"/>
      <c r="R55" s="765"/>
    </row>
    <row r="56" spans="2:19" ht="14" thickBot="1" x14ac:dyDescent="0.2">
      <c r="B56" s="764"/>
      <c r="C56" s="281"/>
      <c r="D56" s="281"/>
      <c r="E56" s="281"/>
      <c r="F56" s="281"/>
      <c r="G56" s="281"/>
      <c r="H56" s="281"/>
      <c r="I56" s="278"/>
      <c r="J56" s="278"/>
      <c r="K56" s="278"/>
      <c r="L56" s="278"/>
      <c r="M56" s="278"/>
      <c r="N56" s="278"/>
      <c r="O56" s="278"/>
      <c r="P56" s="278"/>
      <c r="Q56" s="278"/>
      <c r="R56" s="765"/>
    </row>
    <row r="57" spans="2:19" ht="16" x14ac:dyDescent="0.2">
      <c r="B57" s="764"/>
      <c r="C57" s="287"/>
      <c r="D57" s="776"/>
      <c r="E57" s="278"/>
      <c r="F57" s="278"/>
      <c r="G57" s="278"/>
      <c r="H57" s="278"/>
      <c r="I57" s="278"/>
      <c r="J57" s="278"/>
      <c r="K57" s="777"/>
      <c r="L57" s="278"/>
      <c r="M57" s="278"/>
      <c r="N57" s="278"/>
      <c r="O57" s="278"/>
      <c r="P57" s="278"/>
      <c r="Q57" s="278"/>
      <c r="R57" s="765"/>
    </row>
    <row r="58" spans="2:19" ht="16" x14ac:dyDescent="0.2">
      <c r="B58" s="764"/>
      <c r="C58" s="287" t="s">
        <v>532</v>
      </c>
      <c r="D58" s="776"/>
      <c r="E58" s="278"/>
      <c r="F58" s="278"/>
      <c r="G58" s="278"/>
      <c r="H58" s="278"/>
      <c r="I58" s="278"/>
      <c r="J58" s="278"/>
      <c r="K58" s="278"/>
      <c r="L58" s="278"/>
      <c r="M58" s="278"/>
      <c r="N58" s="278"/>
      <c r="O58" s="278"/>
      <c r="P58" s="278"/>
      <c r="Q58" s="278"/>
      <c r="R58" s="765"/>
    </row>
    <row r="59" spans="2:19" ht="16" x14ac:dyDescent="0.2">
      <c r="B59" s="764"/>
      <c r="C59" s="776" t="s">
        <v>533</v>
      </c>
      <c r="D59" s="776"/>
      <c r="E59" s="278"/>
      <c r="F59" s="278"/>
      <c r="G59" s="278"/>
      <c r="H59" s="278"/>
      <c r="I59" s="278"/>
      <c r="J59" s="278"/>
      <c r="K59" s="278"/>
      <c r="L59" s="278"/>
      <c r="M59" s="278"/>
      <c r="N59" s="278"/>
      <c r="O59" s="278"/>
      <c r="P59" s="278"/>
      <c r="Q59" s="278"/>
      <c r="R59" s="765"/>
    </row>
    <row r="60" spans="2:19" ht="16" x14ac:dyDescent="0.2">
      <c r="B60" s="764"/>
      <c r="C60" s="776"/>
      <c r="D60" s="776"/>
      <c r="E60" s="278"/>
      <c r="F60" s="278"/>
      <c r="G60" s="278"/>
      <c r="H60" s="278"/>
      <c r="I60" s="278"/>
      <c r="J60" s="278"/>
      <c r="K60" s="278"/>
      <c r="L60" s="278"/>
      <c r="M60" s="278"/>
      <c r="N60" s="278"/>
      <c r="O60" s="278"/>
      <c r="P60" s="278"/>
      <c r="Q60" s="278"/>
      <c r="R60" s="765"/>
    </row>
    <row r="61" spans="2:19" ht="32" customHeight="1" x14ac:dyDescent="0.15">
      <c r="B61" s="996" t="s">
        <v>534</v>
      </c>
      <c r="C61" s="997"/>
      <c r="D61" s="997"/>
      <c r="E61" s="997"/>
      <c r="F61" s="997"/>
      <c r="G61" s="997"/>
      <c r="H61" s="997"/>
      <c r="I61" s="997"/>
      <c r="J61" s="997"/>
      <c r="K61" s="997"/>
      <c r="L61" s="997"/>
      <c r="M61" s="997"/>
      <c r="N61" s="997"/>
      <c r="O61" s="997"/>
      <c r="P61" s="997"/>
      <c r="Q61" s="997"/>
      <c r="R61" s="998"/>
    </row>
    <row r="62" spans="2:19" x14ac:dyDescent="0.15">
      <c r="B62" s="647"/>
      <c r="C62" s="640"/>
      <c r="D62" s="640"/>
      <c r="E62" s="640"/>
      <c r="F62" s="640"/>
      <c r="G62" s="640"/>
      <c r="H62" s="640"/>
      <c r="I62" s="640"/>
      <c r="J62" s="640"/>
      <c r="K62" s="640"/>
      <c r="L62" s="640"/>
      <c r="M62" s="640"/>
      <c r="N62" s="640"/>
      <c r="O62" s="640"/>
      <c r="P62" s="640"/>
      <c r="Q62" s="640"/>
      <c r="R62" s="763"/>
    </row>
    <row r="63" spans="2:19" x14ac:dyDescent="0.15">
      <c r="B63" s="647"/>
      <c r="C63" s="640"/>
      <c r="D63" s="640"/>
      <c r="E63" s="640"/>
      <c r="F63" s="640"/>
      <c r="G63" s="640"/>
      <c r="H63" s="640"/>
      <c r="I63" s="640"/>
      <c r="J63" s="640"/>
      <c r="K63" s="640"/>
      <c r="L63" s="640"/>
      <c r="M63" s="640"/>
      <c r="N63" s="640"/>
      <c r="O63" s="640"/>
      <c r="P63" s="640"/>
      <c r="Q63" s="640"/>
      <c r="R63" s="763"/>
    </row>
    <row r="64" spans="2:19" x14ac:dyDescent="0.15">
      <c r="B64" s="647"/>
      <c r="C64" s="640"/>
      <c r="D64" s="640"/>
      <c r="E64" s="640"/>
      <c r="F64" s="640"/>
      <c r="G64" s="640"/>
      <c r="H64" s="640"/>
      <c r="I64" s="640"/>
      <c r="J64" s="640"/>
      <c r="K64" s="640"/>
      <c r="L64" s="640"/>
      <c r="M64" s="640"/>
      <c r="N64" s="640"/>
      <c r="O64" s="640"/>
      <c r="P64" s="640"/>
      <c r="Q64" s="640"/>
      <c r="R64" s="763"/>
    </row>
    <row r="65" spans="2:18" x14ac:dyDescent="0.15">
      <c r="B65" s="647"/>
      <c r="C65" s="640"/>
      <c r="D65" s="640"/>
      <c r="E65" s="640"/>
      <c r="F65" s="640"/>
      <c r="G65" s="640"/>
      <c r="H65" s="640"/>
      <c r="I65" s="640"/>
      <c r="J65" s="640"/>
      <c r="K65" s="640"/>
      <c r="L65" s="640"/>
      <c r="M65" s="640"/>
      <c r="N65" s="640"/>
      <c r="O65" s="640"/>
      <c r="P65" s="640"/>
      <c r="Q65" s="640"/>
      <c r="R65" s="763"/>
    </row>
    <row r="66" spans="2:18" x14ac:dyDescent="0.15">
      <c r="B66" s="647"/>
      <c r="C66" s="640"/>
      <c r="D66" s="640"/>
      <c r="E66" s="640"/>
      <c r="F66" s="640"/>
      <c r="G66" s="640"/>
      <c r="H66" s="640"/>
      <c r="I66" s="640"/>
      <c r="J66" s="640"/>
      <c r="K66" s="640"/>
      <c r="L66" s="640"/>
      <c r="M66" s="640"/>
      <c r="N66" s="640"/>
      <c r="O66" s="640"/>
      <c r="P66" s="640"/>
      <c r="Q66" s="640"/>
      <c r="R66" s="763"/>
    </row>
    <row r="67" spans="2:18" x14ac:dyDescent="0.15">
      <c r="B67" s="647"/>
      <c r="C67" s="640"/>
      <c r="D67" s="640"/>
      <c r="E67" s="640"/>
      <c r="F67" s="640"/>
      <c r="G67" s="640"/>
      <c r="H67" s="640"/>
      <c r="I67" s="640"/>
      <c r="J67" s="640"/>
      <c r="K67" s="640"/>
      <c r="L67" s="640"/>
      <c r="M67" s="640"/>
      <c r="N67" s="640"/>
      <c r="O67" s="640"/>
      <c r="P67" s="640"/>
      <c r="Q67" s="640"/>
      <c r="R67" s="763"/>
    </row>
    <row r="68" spans="2:18" ht="14" thickBot="1" x14ac:dyDescent="0.2">
      <c r="B68" s="653"/>
      <c r="C68" s="94"/>
      <c r="D68" s="94"/>
      <c r="E68" s="94"/>
      <c r="F68" s="94"/>
      <c r="G68" s="94"/>
      <c r="H68" s="94"/>
      <c r="I68" s="94"/>
      <c r="J68" s="94"/>
      <c r="K68" s="94"/>
      <c r="L68" s="94"/>
      <c r="M68" s="94"/>
      <c r="N68" s="94"/>
      <c r="O68" s="94"/>
      <c r="P68" s="94"/>
      <c r="Q68" s="94"/>
      <c r="R68" s="778"/>
    </row>
  </sheetData>
  <mergeCells count="68">
    <mergeCell ref="O17:P17"/>
    <mergeCell ref="C12:G13"/>
    <mergeCell ref="F14:K14"/>
    <mergeCell ref="F15:K15"/>
    <mergeCell ref="M15:N15"/>
    <mergeCell ref="M16:N16"/>
    <mergeCell ref="B31:E31"/>
    <mergeCell ref="H31:I31"/>
    <mergeCell ref="J31:K31"/>
    <mergeCell ref="L31:M31"/>
    <mergeCell ref="M17:N17"/>
    <mergeCell ref="F17:K17"/>
    <mergeCell ref="J30:K30"/>
    <mergeCell ref="L30:M30"/>
    <mergeCell ref="B10:R11"/>
    <mergeCell ref="C14:E14"/>
    <mergeCell ref="C15:E15"/>
    <mergeCell ref="B20:R22"/>
    <mergeCell ref="B28:E28"/>
    <mergeCell ref="H28:I28"/>
    <mergeCell ref="J28:K28"/>
    <mergeCell ref="L28:M28"/>
    <mergeCell ref="N28:R28"/>
    <mergeCell ref="O15:P15"/>
    <mergeCell ref="C16:E16"/>
    <mergeCell ref="F16:K16"/>
    <mergeCell ref="O16:P16"/>
    <mergeCell ref="C17:E17"/>
    <mergeCell ref="B23:R26"/>
    <mergeCell ref="B27:R27"/>
    <mergeCell ref="B34:E34"/>
    <mergeCell ref="H34:I34"/>
    <mergeCell ref="J34:K34"/>
    <mergeCell ref="B61:R61"/>
    <mergeCell ref="D47:N47"/>
    <mergeCell ref="G48:H49"/>
    <mergeCell ref="H41:H42"/>
    <mergeCell ref="G41:G42"/>
    <mergeCell ref="F41:F42"/>
    <mergeCell ref="C42:E42"/>
    <mergeCell ref="B53:E53"/>
    <mergeCell ref="F53:H53"/>
    <mergeCell ref="I53:M53"/>
    <mergeCell ref="N53:R53"/>
    <mergeCell ref="N29:R34"/>
    <mergeCell ref="J32:K32"/>
    <mergeCell ref="H33:I33"/>
    <mergeCell ref="J33:K33"/>
    <mergeCell ref="B32:E32"/>
    <mergeCell ref="H32:I32"/>
    <mergeCell ref="L32:M32"/>
    <mergeCell ref="B33:E33"/>
    <mergeCell ref="F39:H39"/>
    <mergeCell ref="B29:E29"/>
    <mergeCell ref="H29:I29"/>
    <mergeCell ref="H36:I36"/>
    <mergeCell ref="H37:I37"/>
    <mergeCell ref="B35:R35"/>
    <mergeCell ref="L36:N36"/>
    <mergeCell ref="O36:P36"/>
    <mergeCell ref="L37:N37"/>
    <mergeCell ref="O37:P37"/>
    <mergeCell ref="L34:M34"/>
    <mergeCell ref="L33:M33"/>
    <mergeCell ref="J29:K29"/>
    <mergeCell ref="L29:M29"/>
    <mergeCell ref="B30:E30"/>
    <mergeCell ref="H30:I30"/>
  </mergeCells>
  <printOptions horizontalCentered="1" verticalCentered="1"/>
  <pageMargins left="0.2" right="0.2" top="0.25" bottom="0.25" header="0.3" footer="0.3"/>
  <pageSetup scale="59" orientation="landscape" horizontalDpi="0" verticalDpi="0"/>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U221"/>
  <sheetViews>
    <sheetView showZeros="0" topLeftCell="A10" workbookViewId="0">
      <selection activeCell="A13" sqref="A13"/>
    </sheetView>
  </sheetViews>
  <sheetFormatPr baseColWidth="10" defaultColWidth="10.83203125" defaultRowHeight="16" x14ac:dyDescent="0.2"/>
  <cols>
    <col min="1" max="2" width="10.83203125" style="305"/>
    <col min="3" max="3" width="6.5" style="305" customWidth="1"/>
    <col min="4" max="4" width="12.1640625" style="305" customWidth="1"/>
    <col min="5" max="12" width="9.5" style="305" customWidth="1"/>
    <col min="13" max="13" width="5" style="305" customWidth="1"/>
    <col min="14" max="21" width="11.1640625" style="305" customWidth="1"/>
    <col min="22" max="16384" width="10.83203125" style="305"/>
  </cols>
  <sheetData>
    <row r="2" spans="3:21" ht="69" customHeight="1" x14ac:dyDescent="0.2">
      <c r="C2" s="303" t="s">
        <v>535</v>
      </c>
      <c r="D2" s="304"/>
      <c r="E2" s="304"/>
      <c r="F2" s="304"/>
      <c r="G2" s="304"/>
      <c r="H2" s="304"/>
      <c r="I2" s="304"/>
      <c r="J2" s="304"/>
      <c r="K2" s="304"/>
      <c r="L2" s="304"/>
    </row>
    <row r="3" spans="3:21" ht="24" customHeight="1" x14ac:dyDescent="0.25">
      <c r="C3" s="1049" t="s">
        <v>5</v>
      </c>
      <c r="D3" s="1049"/>
      <c r="E3" s="1050" t="s">
        <v>536</v>
      </c>
      <c r="F3" s="1050"/>
      <c r="G3" s="1050"/>
      <c r="H3" s="1050"/>
      <c r="I3" s="1050"/>
      <c r="J3" s="306" t="s">
        <v>537</v>
      </c>
      <c r="K3" s="1051">
        <v>250000</v>
      </c>
      <c r="L3" s="1051"/>
      <c r="N3" s="307" t="s">
        <v>538</v>
      </c>
      <c r="O3" s="308"/>
      <c r="P3" s="308"/>
      <c r="Q3" s="308"/>
      <c r="R3" s="308"/>
      <c r="S3" s="308"/>
      <c r="T3" s="308"/>
      <c r="U3" s="308"/>
    </row>
    <row r="4" spans="3:21" ht="24" customHeight="1" x14ac:dyDescent="0.25">
      <c r="C4" s="839" t="s">
        <v>539</v>
      </c>
      <c r="D4" s="1050">
        <v>4</v>
      </c>
      <c r="E4" s="1050"/>
      <c r="F4" s="306" t="s">
        <v>540</v>
      </c>
      <c r="G4" s="1052">
        <v>3</v>
      </c>
      <c r="H4" s="1052"/>
      <c r="I4" s="306" t="s">
        <v>205</v>
      </c>
      <c r="J4" s="1053">
        <v>1888</v>
      </c>
      <c r="K4" s="1053"/>
      <c r="L4" s="1053"/>
    </row>
    <row r="5" spans="3:21" ht="14" customHeight="1" x14ac:dyDescent="0.2">
      <c r="C5" s="309"/>
      <c r="D5" s="310"/>
      <c r="E5" s="310"/>
      <c r="F5" s="311"/>
      <c r="G5" s="304"/>
      <c r="H5" s="304"/>
      <c r="I5" s="311"/>
      <c r="J5" s="304"/>
      <c r="K5" s="304"/>
      <c r="L5" s="304"/>
    </row>
    <row r="6" spans="3:21" ht="24" customHeight="1" x14ac:dyDescent="0.2">
      <c r="C6" s="1054" t="s">
        <v>541</v>
      </c>
      <c r="D6" s="1054"/>
      <c r="E6" s="1054"/>
      <c r="F6" s="1054"/>
      <c r="G6" s="1054"/>
      <c r="H6" s="1054"/>
      <c r="I6" s="1054"/>
      <c r="J6" s="1054"/>
      <c r="K6" s="1054"/>
      <c r="L6" s="1054"/>
    </row>
    <row r="7" spans="3:21" ht="44" customHeight="1" x14ac:dyDescent="0.2">
      <c r="C7" s="1055" t="s">
        <v>542</v>
      </c>
      <c r="D7" s="1055"/>
      <c r="E7" s="1055"/>
      <c r="F7" s="1055"/>
      <c r="G7" s="1055"/>
      <c r="H7" s="1055"/>
      <c r="I7" s="1055"/>
      <c r="J7" s="1055"/>
      <c r="K7" s="1055"/>
      <c r="L7" s="1055"/>
    </row>
    <row r="8" spans="3:21" ht="16" customHeight="1" x14ac:dyDescent="0.2">
      <c r="C8" s="309"/>
      <c r="D8" s="312" t="s">
        <v>543</v>
      </c>
      <c r="E8" s="1056">
        <v>41894</v>
      </c>
      <c r="F8" s="1056"/>
      <c r="G8" s="1056"/>
      <c r="H8" s="1056"/>
      <c r="I8" s="1056"/>
      <c r="J8" s="1056"/>
      <c r="K8" s="304"/>
      <c r="L8" s="304"/>
    </row>
    <row r="9" spans="3:21" ht="16" customHeight="1" x14ac:dyDescent="0.2">
      <c r="C9" s="309"/>
      <c r="D9" s="312" t="s">
        <v>544</v>
      </c>
      <c r="E9" s="1057">
        <v>114920</v>
      </c>
      <c r="F9" s="1057"/>
      <c r="G9" s="1057"/>
      <c r="H9" s="1057"/>
      <c r="I9" s="1057"/>
      <c r="J9" s="1057"/>
      <c r="K9" s="304"/>
      <c r="L9" s="304"/>
    </row>
    <row r="10" spans="3:21" ht="16" customHeight="1" x14ac:dyDescent="0.2">
      <c r="C10" s="309"/>
      <c r="D10" s="312" t="s">
        <v>545</v>
      </c>
      <c r="E10" s="1058" t="s">
        <v>546</v>
      </c>
      <c r="F10" s="1059"/>
      <c r="G10" s="1059"/>
      <c r="H10" s="1059"/>
      <c r="I10" s="1059"/>
      <c r="J10" s="1059"/>
      <c r="K10" s="304"/>
      <c r="L10" s="304"/>
    </row>
    <row r="11" spans="3:21" ht="16" customHeight="1" x14ac:dyDescent="0.2">
      <c r="C11" s="309"/>
      <c r="D11" s="312" t="s">
        <v>547</v>
      </c>
      <c r="E11" s="1048" t="s">
        <v>548</v>
      </c>
      <c r="F11" s="1048"/>
      <c r="G11" s="1048"/>
      <c r="H11" s="1048"/>
      <c r="I11" s="1048"/>
      <c r="J11" s="1048"/>
      <c r="K11" s="304"/>
      <c r="L11" s="304"/>
    </row>
    <row r="12" spans="3:21" ht="16" customHeight="1" x14ac:dyDescent="0.2">
      <c r="C12" s="309"/>
      <c r="D12" s="311"/>
      <c r="E12" s="310"/>
      <c r="F12" s="311"/>
      <c r="G12" s="304"/>
      <c r="H12" s="304"/>
      <c r="I12" s="311"/>
      <c r="J12" s="304"/>
      <c r="K12" s="304"/>
      <c r="L12" s="304"/>
    </row>
    <row r="13" spans="3:21" s="313" customFormat="1" ht="21" x14ac:dyDescent="0.25">
      <c r="C13" s="1046" t="s">
        <v>549</v>
      </c>
      <c r="D13" s="1046"/>
      <c r="E13" s="1046"/>
      <c r="F13" s="1046"/>
      <c r="G13" s="1046"/>
      <c r="H13" s="1046"/>
      <c r="I13" s="1046"/>
      <c r="J13" s="1046"/>
      <c r="K13" s="1046"/>
      <c r="L13" s="1046"/>
    </row>
    <row r="14" spans="3:21" s="313" customFormat="1" ht="21" x14ac:dyDescent="0.25">
      <c r="C14" s="842"/>
      <c r="D14" s="842"/>
      <c r="E14" s="842"/>
      <c r="F14" s="842"/>
      <c r="G14" s="842"/>
      <c r="H14" s="842"/>
      <c r="I14" s="842"/>
      <c r="J14" s="842"/>
      <c r="K14" s="842"/>
      <c r="L14" s="842"/>
    </row>
    <row r="15" spans="3:21" s="314" customFormat="1" ht="14" customHeight="1" x14ac:dyDescent="0.2">
      <c r="D15" s="315" t="s">
        <v>550</v>
      </c>
      <c r="E15" s="316"/>
      <c r="F15" s="317" t="s">
        <v>551</v>
      </c>
      <c r="G15" s="317" t="s">
        <v>457</v>
      </c>
      <c r="H15" s="318" t="s">
        <v>552</v>
      </c>
      <c r="I15" s="319"/>
      <c r="J15" s="317" t="s">
        <v>551</v>
      </c>
      <c r="K15" s="320" t="s">
        <v>457</v>
      </c>
    </row>
    <row r="16" spans="3:21" s="314" customFormat="1" ht="14" customHeight="1" x14ac:dyDescent="0.2">
      <c r="C16" s="321"/>
      <c r="D16" s="322" t="s">
        <v>553</v>
      </c>
      <c r="E16" s="321"/>
      <c r="F16" s="323">
        <v>114920</v>
      </c>
      <c r="G16" s="324">
        <f>SUM(F16/$F$21)</f>
        <v>0.60363134785963524</v>
      </c>
      <c r="H16" s="325" t="s">
        <v>2</v>
      </c>
      <c r="I16" s="326"/>
      <c r="J16" s="323">
        <v>125000</v>
      </c>
      <c r="K16" s="327">
        <f>SUM(J16/$J$21)</f>
        <v>0.65657778004224154</v>
      </c>
      <c r="L16" s="321"/>
    </row>
    <row r="17" spans="3:13" ht="14" customHeight="1" x14ac:dyDescent="0.2">
      <c r="C17" s="304"/>
      <c r="D17" s="322" t="s">
        <v>554</v>
      </c>
      <c r="E17" s="304"/>
      <c r="F17" s="323">
        <v>35360</v>
      </c>
      <c r="G17" s="324">
        <f>SUM(F17/$F$21)</f>
        <v>0.18573272241834929</v>
      </c>
      <c r="H17" s="325" t="s">
        <v>555</v>
      </c>
      <c r="I17" s="326"/>
      <c r="J17" s="323">
        <v>4010.9</v>
      </c>
      <c r="K17" s="327">
        <f>SUM(J17/$J$21)</f>
        <v>2.1067742543771414E-2</v>
      </c>
      <c r="L17" s="304"/>
    </row>
    <row r="18" spans="3:13" s="330" customFormat="1" ht="14" customHeight="1" x14ac:dyDescent="0.2">
      <c r="C18" s="328"/>
      <c r="D18" s="322" t="s">
        <v>556</v>
      </c>
      <c r="E18" s="328"/>
      <c r="F18" s="329">
        <v>40101.100000000006</v>
      </c>
      <c r="G18" s="324">
        <f>SUM(F18/$F$21)</f>
        <v>0.2106359297220155</v>
      </c>
      <c r="H18" s="325" t="s">
        <v>557</v>
      </c>
      <c r="I18" s="326"/>
      <c r="J18" s="323">
        <v>51800</v>
      </c>
      <c r="K18" s="327">
        <f>SUM(J18/$J$21)</f>
        <v>0.27208583204950493</v>
      </c>
      <c r="L18" s="328"/>
    </row>
    <row r="19" spans="3:13" s="313" customFormat="1" ht="14" customHeight="1" x14ac:dyDescent="0.2">
      <c r="C19" s="326"/>
      <c r="D19" s="322"/>
      <c r="E19" s="326"/>
      <c r="F19" s="326"/>
      <c r="G19" s="326"/>
      <c r="H19" s="325" t="s">
        <v>558</v>
      </c>
      <c r="I19" s="326"/>
      <c r="J19" s="323">
        <v>6895.2000000000007</v>
      </c>
      <c r="K19" s="327">
        <f>SUM(J19/$J$21)</f>
        <v>3.6217880871578116E-2</v>
      </c>
      <c r="L19" s="326"/>
    </row>
    <row r="20" spans="3:13" s="313" customFormat="1" ht="14" customHeight="1" x14ac:dyDescent="0.2">
      <c r="C20" s="326"/>
      <c r="D20" s="322"/>
      <c r="E20" s="326"/>
      <c r="F20" s="331"/>
      <c r="G20" s="332"/>
      <c r="H20" s="325" t="s">
        <v>559</v>
      </c>
      <c r="I20" s="326"/>
      <c r="J20" s="333">
        <v>2675</v>
      </c>
      <c r="K20" s="334">
        <f>SUM(J20/$J$21)</f>
        <v>1.405076449290397E-2</v>
      </c>
      <c r="L20" s="326"/>
    </row>
    <row r="21" spans="3:13" s="313" customFormat="1" ht="14" customHeight="1" x14ac:dyDescent="0.2">
      <c r="C21" s="326"/>
      <c r="D21" s="335"/>
      <c r="E21" s="336" t="s">
        <v>560</v>
      </c>
      <c r="F21" s="337">
        <f>SUM(F16:F18)</f>
        <v>190381.1</v>
      </c>
      <c r="G21" s="338">
        <f>SUM(G16:G18)</f>
        <v>1</v>
      </c>
      <c r="H21" s="339"/>
      <c r="I21" s="336" t="s">
        <v>561</v>
      </c>
      <c r="J21" s="337">
        <f>SUM(J16:J20)</f>
        <v>190381.1</v>
      </c>
      <c r="K21" s="340">
        <f>SUM(K16:K20)</f>
        <v>1</v>
      </c>
      <c r="L21" s="326"/>
    </row>
    <row r="22" spans="3:13" s="313" customFormat="1" ht="14" x14ac:dyDescent="0.2">
      <c r="C22" s="326"/>
      <c r="D22" s="326"/>
      <c r="E22" s="326"/>
      <c r="F22" s="326"/>
      <c r="G22" s="326"/>
      <c r="H22" s="326"/>
      <c r="I22" s="326"/>
      <c r="J22" s="326"/>
      <c r="K22" s="326"/>
      <c r="L22" s="326"/>
    </row>
    <row r="23" spans="3:13" s="313" customFormat="1" ht="21" x14ac:dyDescent="0.25">
      <c r="C23" s="1046" t="s">
        <v>562</v>
      </c>
      <c r="D23" s="1046"/>
      <c r="E23" s="1046"/>
      <c r="F23" s="1046"/>
      <c r="G23" s="1046"/>
      <c r="H23" s="1046"/>
      <c r="I23" s="1046"/>
      <c r="J23" s="1046"/>
      <c r="K23" s="1046"/>
      <c r="L23" s="1046"/>
    </row>
    <row r="24" spans="3:13" s="313" customFormat="1" ht="14" x14ac:dyDescent="0.2">
      <c r="C24" s="1047" t="s">
        <v>563</v>
      </c>
      <c r="D24" s="1047"/>
      <c r="E24" s="1047"/>
      <c r="F24" s="843" t="s">
        <v>564</v>
      </c>
      <c r="G24" s="843" t="s">
        <v>565</v>
      </c>
      <c r="H24" s="843" t="s">
        <v>22</v>
      </c>
      <c r="I24" s="843" t="s">
        <v>566</v>
      </c>
      <c r="J24" s="843" t="s">
        <v>567</v>
      </c>
      <c r="K24" s="843" t="s">
        <v>568</v>
      </c>
      <c r="L24" s="843" t="s">
        <v>569</v>
      </c>
      <c r="M24" s="341"/>
    </row>
    <row r="25" spans="3:13" s="313" customFormat="1" ht="14" x14ac:dyDescent="0.2">
      <c r="C25" s="1045" t="s">
        <v>570</v>
      </c>
      <c r="D25" s="1045"/>
      <c r="E25" s="1045"/>
      <c r="F25" s="342" t="s">
        <v>571</v>
      </c>
      <c r="G25" s="342">
        <v>4</v>
      </c>
      <c r="H25" s="342">
        <v>3</v>
      </c>
      <c r="I25" s="343">
        <v>2433</v>
      </c>
      <c r="J25" s="342" t="s">
        <v>572</v>
      </c>
      <c r="K25" s="342">
        <v>1944</v>
      </c>
      <c r="L25" s="841" t="s">
        <v>573</v>
      </c>
      <c r="M25" s="341"/>
    </row>
    <row r="26" spans="3:13" s="313" customFormat="1" ht="14" x14ac:dyDescent="0.2">
      <c r="C26" s="1045"/>
      <c r="D26" s="1045"/>
      <c r="E26" s="1045"/>
      <c r="F26" s="843" t="s">
        <v>574</v>
      </c>
      <c r="G26" s="843" t="s">
        <v>575</v>
      </c>
      <c r="H26" s="843" t="s">
        <v>576</v>
      </c>
      <c r="I26" s="843" t="s">
        <v>577</v>
      </c>
      <c r="J26" s="843" t="s">
        <v>578</v>
      </c>
      <c r="K26" s="843" t="s">
        <v>579</v>
      </c>
      <c r="L26" s="843" t="s">
        <v>580</v>
      </c>
      <c r="M26" s="341"/>
    </row>
    <row r="27" spans="3:13" x14ac:dyDescent="0.2">
      <c r="C27" s="1045"/>
      <c r="D27" s="1045"/>
      <c r="E27" s="1045"/>
      <c r="F27" s="342" t="s">
        <v>581</v>
      </c>
      <c r="G27" s="344">
        <v>41883</v>
      </c>
      <c r="H27" s="345">
        <v>249000</v>
      </c>
      <c r="I27" s="344">
        <v>41923</v>
      </c>
      <c r="J27" s="345">
        <v>244000</v>
      </c>
      <c r="K27" s="345">
        <v>211</v>
      </c>
      <c r="L27" s="342">
        <v>41</v>
      </c>
      <c r="M27" s="346"/>
    </row>
    <row r="28" spans="3:13" s="330" customFormat="1" ht="17" customHeight="1" x14ac:dyDescent="0.15">
      <c r="C28" s="1044" t="s">
        <v>563</v>
      </c>
      <c r="D28" s="1044"/>
      <c r="E28" s="1044"/>
      <c r="F28" s="840" t="s">
        <v>564</v>
      </c>
      <c r="G28" s="840" t="s">
        <v>565</v>
      </c>
      <c r="H28" s="840" t="s">
        <v>22</v>
      </c>
      <c r="I28" s="840" t="s">
        <v>566</v>
      </c>
      <c r="J28" s="840" t="s">
        <v>567</v>
      </c>
      <c r="K28" s="840" t="s">
        <v>568</v>
      </c>
      <c r="L28" s="840" t="s">
        <v>569</v>
      </c>
      <c r="M28" s="347"/>
    </row>
    <row r="29" spans="3:13" s="313" customFormat="1" ht="14" x14ac:dyDescent="0.2">
      <c r="C29" s="1045" t="s">
        <v>582</v>
      </c>
      <c r="D29" s="1045"/>
      <c r="E29" s="1045"/>
      <c r="F29" s="342" t="s">
        <v>571</v>
      </c>
      <c r="G29" s="342">
        <v>4</v>
      </c>
      <c r="H29" s="342">
        <v>3</v>
      </c>
      <c r="I29" s="343">
        <v>2433</v>
      </c>
      <c r="J29" s="342" t="s">
        <v>572</v>
      </c>
      <c r="K29" s="342">
        <v>1944</v>
      </c>
      <c r="L29" s="841" t="s">
        <v>573</v>
      </c>
      <c r="M29" s="341"/>
    </row>
    <row r="30" spans="3:13" s="313" customFormat="1" ht="14" x14ac:dyDescent="0.2">
      <c r="C30" s="1045"/>
      <c r="D30" s="1045"/>
      <c r="E30" s="1045"/>
      <c r="F30" s="840" t="s">
        <v>574</v>
      </c>
      <c r="G30" s="840" t="s">
        <v>575</v>
      </c>
      <c r="H30" s="840" t="s">
        <v>576</v>
      </c>
      <c r="I30" s="840" t="s">
        <v>577</v>
      </c>
      <c r="J30" s="840" t="s">
        <v>578</v>
      </c>
      <c r="K30" s="840" t="s">
        <v>579</v>
      </c>
      <c r="L30" s="840" t="s">
        <v>580</v>
      </c>
      <c r="M30" s="341"/>
    </row>
    <row r="31" spans="3:13" s="313" customFormat="1" ht="14" x14ac:dyDescent="0.2">
      <c r="C31" s="1045"/>
      <c r="D31" s="1045"/>
      <c r="E31" s="1045"/>
      <c r="F31" s="342" t="s">
        <v>581</v>
      </c>
      <c r="G31" s="344">
        <v>41883</v>
      </c>
      <c r="H31" s="345">
        <v>249000</v>
      </c>
      <c r="I31" s="344">
        <v>41923</v>
      </c>
      <c r="J31" s="345">
        <v>244000</v>
      </c>
      <c r="K31" s="345">
        <v>211</v>
      </c>
      <c r="L31" s="342">
        <v>41</v>
      </c>
      <c r="M31" s="341"/>
    </row>
    <row r="32" spans="3:13" s="313" customFormat="1" ht="14" x14ac:dyDescent="0.2">
      <c r="C32" s="1044" t="s">
        <v>563</v>
      </c>
      <c r="D32" s="1044"/>
      <c r="E32" s="1044"/>
      <c r="F32" s="840" t="s">
        <v>564</v>
      </c>
      <c r="G32" s="840" t="s">
        <v>565</v>
      </c>
      <c r="H32" s="840" t="s">
        <v>22</v>
      </c>
      <c r="I32" s="840" t="s">
        <v>566</v>
      </c>
      <c r="J32" s="840" t="s">
        <v>567</v>
      </c>
      <c r="K32" s="840" t="s">
        <v>568</v>
      </c>
      <c r="L32" s="840" t="s">
        <v>569</v>
      </c>
      <c r="M32" s="341"/>
    </row>
    <row r="33" spans="3:13" s="313" customFormat="1" ht="14" x14ac:dyDescent="0.2">
      <c r="C33" s="1045" t="s">
        <v>583</v>
      </c>
      <c r="D33" s="1045"/>
      <c r="E33" s="1045"/>
      <c r="F33" s="342" t="s">
        <v>571</v>
      </c>
      <c r="G33" s="342">
        <v>4</v>
      </c>
      <c r="H33" s="342">
        <v>3</v>
      </c>
      <c r="I33" s="343">
        <v>2433</v>
      </c>
      <c r="J33" s="342" t="s">
        <v>572</v>
      </c>
      <c r="K33" s="342">
        <v>1944</v>
      </c>
      <c r="L33" s="841" t="s">
        <v>573</v>
      </c>
      <c r="M33" s="341"/>
    </row>
    <row r="34" spans="3:13" s="313" customFormat="1" ht="14" x14ac:dyDescent="0.2">
      <c r="C34" s="1045"/>
      <c r="D34" s="1045"/>
      <c r="E34" s="1045"/>
      <c r="F34" s="840" t="s">
        <v>574</v>
      </c>
      <c r="G34" s="840" t="s">
        <v>575</v>
      </c>
      <c r="H34" s="840" t="s">
        <v>576</v>
      </c>
      <c r="I34" s="840" t="s">
        <v>577</v>
      </c>
      <c r="J34" s="840" t="s">
        <v>578</v>
      </c>
      <c r="K34" s="840" t="s">
        <v>579</v>
      </c>
      <c r="L34" s="840" t="s">
        <v>580</v>
      </c>
      <c r="M34" s="341"/>
    </row>
    <row r="35" spans="3:13" s="313" customFormat="1" ht="14" x14ac:dyDescent="0.2">
      <c r="C35" s="1045"/>
      <c r="D35" s="1045"/>
      <c r="E35" s="1045"/>
      <c r="F35" s="342" t="s">
        <v>581</v>
      </c>
      <c r="G35" s="344">
        <v>41883</v>
      </c>
      <c r="H35" s="345">
        <v>249000</v>
      </c>
      <c r="I35" s="344">
        <v>41923</v>
      </c>
      <c r="J35" s="345">
        <v>244000</v>
      </c>
      <c r="K35" s="345">
        <v>211</v>
      </c>
      <c r="L35" s="342">
        <v>41</v>
      </c>
    </row>
    <row r="36" spans="3:13" s="313" customFormat="1" ht="14" x14ac:dyDescent="0.2">
      <c r="C36" s="326"/>
      <c r="D36" s="326"/>
      <c r="E36" s="326"/>
      <c r="F36" s="326"/>
      <c r="G36" s="326"/>
      <c r="H36" s="326"/>
      <c r="I36" s="326"/>
      <c r="J36" s="326"/>
      <c r="K36" s="326"/>
      <c r="L36" s="326"/>
    </row>
    <row r="37" spans="3:13" s="313" customFormat="1" ht="21" x14ac:dyDescent="0.25">
      <c r="C37" s="1046" t="s">
        <v>584</v>
      </c>
      <c r="D37" s="1046"/>
      <c r="E37" s="1046"/>
      <c r="F37" s="1046"/>
      <c r="G37" s="1046"/>
      <c r="H37" s="1046"/>
      <c r="I37" s="1046"/>
      <c r="J37" s="1046"/>
      <c r="K37" s="1046"/>
      <c r="L37" s="1046"/>
    </row>
    <row r="38" spans="3:13" s="313" customFormat="1" ht="14" x14ac:dyDescent="0.2">
      <c r="C38" s="326"/>
      <c r="D38" s="326" t="s">
        <v>585</v>
      </c>
      <c r="E38" s="326"/>
      <c r="F38" s="326"/>
      <c r="G38" s="326"/>
      <c r="H38" s="326"/>
      <c r="I38" s="326"/>
      <c r="J38" s="326"/>
      <c r="K38" s="326"/>
      <c r="L38" s="326"/>
    </row>
    <row r="39" spans="3:13" s="313" customFormat="1" ht="14" x14ac:dyDescent="0.2">
      <c r="C39" s="326"/>
      <c r="D39" s="326" t="s">
        <v>586</v>
      </c>
      <c r="E39" s="326"/>
      <c r="F39" s="326"/>
      <c r="G39" s="326"/>
      <c r="H39" s="326"/>
      <c r="I39" s="326"/>
      <c r="J39" s="326"/>
      <c r="K39" s="326"/>
      <c r="L39" s="326"/>
    </row>
    <row r="40" spans="3:13" s="313" customFormat="1" ht="14" x14ac:dyDescent="0.2">
      <c r="C40" s="326"/>
      <c r="D40" s="326" t="s">
        <v>587</v>
      </c>
      <c r="E40" s="326"/>
      <c r="F40" s="326"/>
      <c r="G40" s="326"/>
      <c r="H40" s="326"/>
      <c r="I40" s="326"/>
      <c r="J40" s="326"/>
      <c r="K40" s="326"/>
      <c r="L40" s="326"/>
    </row>
    <row r="41" spans="3:13" s="313" customFormat="1" ht="14" x14ac:dyDescent="0.2">
      <c r="C41" s="326"/>
      <c r="D41" s="326" t="s">
        <v>588</v>
      </c>
      <c r="E41" s="326"/>
      <c r="F41" s="326"/>
      <c r="G41" s="326"/>
      <c r="H41" s="326"/>
      <c r="I41" s="326"/>
      <c r="J41" s="326"/>
      <c r="K41" s="326"/>
      <c r="L41" s="326"/>
    </row>
    <row r="42" spans="3:13" s="313" customFormat="1" ht="14" x14ac:dyDescent="0.2">
      <c r="C42" s="326"/>
      <c r="D42" s="326" t="s">
        <v>589</v>
      </c>
      <c r="E42" s="326"/>
      <c r="F42" s="326"/>
      <c r="G42" s="326"/>
      <c r="H42" s="326"/>
      <c r="I42" s="326"/>
      <c r="J42" s="326"/>
      <c r="K42" s="326"/>
      <c r="L42" s="326"/>
    </row>
    <row r="43" spans="3:13" s="313" customFormat="1" ht="14" x14ac:dyDescent="0.2">
      <c r="C43" s="326"/>
      <c r="D43" s="326"/>
      <c r="E43" s="326"/>
      <c r="F43" s="326"/>
      <c r="G43" s="326"/>
      <c r="H43" s="326"/>
      <c r="I43" s="326"/>
      <c r="J43" s="326"/>
      <c r="K43" s="326"/>
      <c r="L43" s="326"/>
    </row>
    <row r="44" spans="3:13" s="313" customFormat="1" ht="14" x14ac:dyDescent="0.2">
      <c r="C44" s="326"/>
      <c r="D44" s="326"/>
      <c r="E44" s="326"/>
      <c r="F44" s="326"/>
      <c r="G44" s="326"/>
      <c r="H44" s="326"/>
      <c r="I44" s="326"/>
      <c r="J44" s="326"/>
      <c r="K44" s="326"/>
      <c r="L44" s="326"/>
    </row>
    <row r="45" spans="3:13" s="313" customFormat="1" ht="14" x14ac:dyDescent="0.2">
      <c r="C45" s="326"/>
      <c r="D45" s="326"/>
      <c r="E45" s="326"/>
      <c r="F45" s="326"/>
      <c r="G45" s="326"/>
      <c r="H45" s="326"/>
      <c r="I45" s="326"/>
      <c r="J45" s="326"/>
      <c r="K45" s="326"/>
      <c r="L45" s="326"/>
    </row>
    <row r="46" spans="3:13" s="313" customFormat="1" ht="14" x14ac:dyDescent="0.2">
      <c r="C46" s="326"/>
      <c r="D46" s="326"/>
      <c r="E46" s="326"/>
      <c r="F46" s="326"/>
      <c r="G46" s="326"/>
      <c r="H46" s="326"/>
      <c r="I46" s="326"/>
      <c r="J46" s="326"/>
      <c r="K46" s="326"/>
      <c r="L46" s="326"/>
    </row>
    <row r="47" spans="3:13" s="313" customFormat="1" ht="14" x14ac:dyDescent="0.2"/>
    <row r="48" spans="3:13" s="313" customFormat="1" ht="14" x14ac:dyDescent="0.2"/>
    <row r="49" s="313" customFormat="1" ht="14" x14ac:dyDescent="0.2"/>
    <row r="50" s="313" customFormat="1" ht="14" x14ac:dyDescent="0.2"/>
    <row r="51" s="313" customFormat="1" ht="14" x14ac:dyDescent="0.2"/>
    <row r="52" s="313" customFormat="1" ht="14" x14ac:dyDescent="0.2"/>
    <row r="53" s="313" customFormat="1" ht="14" x14ac:dyDescent="0.2"/>
    <row r="54" s="313" customFormat="1" ht="14" x14ac:dyDescent="0.2"/>
    <row r="55" s="313" customFormat="1" ht="14" x14ac:dyDescent="0.2"/>
    <row r="56" s="313" customFormat="1" ht="14" x14ac:dyDescent="0.2"/>
    <row r="57" s="313" customFormat="1" ht="14" x14ac:dyDescent="0.2"/>
    <row r="58" s="313" customFormat="1" ht="14" x14ac:dyDescent="0.2"/>
    <row r="59" s="313" customFormat="1" ht="14" x14ac:dyDescent="0.2"/>
    <row r="60" s="313" customFormat="1" ht="14" x14ac:dyDescent="0.2"/>
    <row r="61" s="313" customFormat="1" ht="14" x14ac:dyDescent="0.2"/>
    <row r="76" ht="18" customHeight="1" x14ac:dyDescent="0.2"/>
    <row r="77" s="330" customFormat="1" ht="14" customHeight="1" x14ac:dyDescent="0.15"/>
    <row r="78" s="313" customFormat="1" ht="14" customHeight="1" x14ac:dyDescent="0.2"/>
    <row r="79" s="313" customFormat="1" ht="14" customHeight="1" x14ac:dyDescent="0.2"/>
    <row r="80" s="313" customFormat="1" ht="14" customHeight="1" x14ac:dyDescent="0.2"/>
    <row r="81" s="313" customFormat="1" ht="14" customHeight="1" x14ac:dyDescent="0.2"/>
    <row r="82" s="313" customFormat="1" ht="14" customHeight="1" x14ac:dyDescent="0.2"/>
    <row r="83" s="313" customFormat="1" ht="14" customHeight="1" x14ac:dyDescent="0.2"/>
    <row r="84" s="313" customFormat="1" ht="14" customHeight="1" x14ac:dyDescent="0.2"/>
    <row r="85" s="313" customFormat="1" ht="14" customHeight="1" x14ac:dyDescent="0.2"/>
    <row r="86" s="313" customFormat="1" ht="14" customHeight="1" x14ac:dyDescent="0.2"/>
    <row r="87" s="313" customFormat="1" ht="14" customHeight="1" x14ac:dyDescent="0.2"/>
    <row r="88" s="313" customFormat="1" ht="14" customHeight="1" x14ac:dyDescent="0.2"/>
    <row r="89" s="313" customFormat="1" ht="14" customHeight="1" x14ac:dyDescent="0.2"/>
    <row r="90" s="313" customFormat="1" ht="14" customHeight="1" x14ac:dyDescent="0.2"/>
    <row r="91" s="313" customFormat="1" ht="14" customHeight="1" x14ac:dyDescent="0.2"/>
    <row r="92" s="313" customFormat="1" ht="14" customHeight="1" x14ac:dyDescent="0.2"/>
    <row r="93" s="313" customFormat="1" ht="14" customHeight="1" x14ac:dyDescent="0.2"/>
    <row r="94" s="313" customFormat="1" ht="14" customHeight="1" x14ac:dyDescent="0.2"/>
    <row r="95" s="313" customFormat="1" ht="14" customHeight="1" x14ac:dyDescent="0.2"/>
    <row r="96" s="313" customFormat="1" ht="14" customHeight="1" x14ac:dyDescent="0.2"/>
    <row r="97" spans="3:4" s="313" customFormat="1" ht="14" customHeight="1" x14ac:dyDescent="0.2"/>
    <row r="98" spans="3:4" s="313" customFormat="1" ht="14" customHeight="1" x14ac:dyDescent="0.2"/>
    <row r="99" spans="3:4" s="313" customFormat="1" ht="14" customHeight="1" x14ac:dyDescent="0.2"/>
    <row r="100" spans="3:4" s="313" customFormat="1" ht="14" customHeight="1" x14ac:dyDescent="0.2"/>
    <row r="101" spans="3:4" s="313" customFormat="1" ht="14" customHeight="1" x14ac:dyDescent="0.2"/>
    <row r="102" spans="3:4" s="313" customFormat="1" ht="14" customHeight="1" x14ac:dyDescent="0.2"/>
    <row r="103" spans="3:4" s="313" customFormat="1" ht="14" customHeight="1" x14ac:dyDescent="0.2"/>
    <row r="104" spans="3:4" s="313" customFormat="1" ht="14" customHeight="1" x14ac:dyDescent="0.2"/>
    <row r="105" spans="3:4" s="313" customFormat="1" ht="14" customHeight="1" x14ac:dyDescent="0.2"/>
    <row r="106" spans="3:4" s="313" customFormat="1" ht="14" customHeight="1" x14ac:dyDescent="0.2"/>
    <row r="107" spans="3:4" s="313" customFormat="1" ht="14" customHeight="1" x14ac:dyDescent="0.2"/>
    <row r="108" spans="3:4" s="313" customFormat="1" ht="14" customHeight="1" x14ac:dyDescent="0.2"/>
    <row r="109" spans="3:4" s="313" customFormat="1" ht="14" customHeight="1" x14ac:dyDescent="0.2">
      <c r="C109" s="341"/>
      <c r="D109" s="341"/>
    </row>
    <row r="110" spans="3:4" s="313" customFormat="1" ht="14" customHeight="1" x14ac:dyDescent="0.2">
      <c r="C110" s="341"/>
      <c r="D110" s="341"/>
    </row>
    <row r="111" spans="3:4" s="313" customFormat="1" ht="14" customHeight="1" x14ac:dyDescent="0.2">
      <c r="C111" s="348" t="s">
        <v>42</v>
      </c>
      <c r="D111" s="349"/>
    </row>
    <row r="112" spans="3:4" s="313" customFormat="1" ht="14" customHeight="1" x14ac:dyDescent="0.2">
      <c r="C112" s="341"/>
      <c r="D112" s="349"/>
    </row>
    <row r="113" spans="3:4" s="313" customFormat="1" ht="14" customHeight="1" x14ac:dyDescent="0.2">
      <c r="C113" s="341"/>
      <c r="D113" s="349"/>
    </row>
    <row r="114" spans="3:4" s="313" customFormat="1" ht="16" customHeight="1" x14ac:dyDescent="0.2">
      <c r="C114" s="341"/>
      <c r="D114" s="349"/>
    </row>
    <row r="115" spans="3:4" s="313" customFormat="1" ht="14" customHeight="1" x14ac:dyDescent="0.2"/>
    <row r="116" spans="3:4" s="313" customFormat="1" ht="14" customHeight="1" x14ac:dyDescent="0.2"/>
    <row r="117" spans="3:4" s="313" customFormat="1" ht="14" customHeight="1" x14ac:dyDescent="0.2"/>
    <row r="118" spans="3:4" s="313" customFormat="1" ht="14" customHeight="1" x14ac:dyDescent="0.2"/>
    <row r="119" spans="3:4" s="313" customFormat="1" ht="14" customHeight="1" x14ac:dyDescent="0.2"/>
    <row r="120" spans="3:4" s="313" customFormat="1" ht="14" customHeight="1" x14ac:dyDescent="0.2"/>
    <row r="121" spans="3:4" s="313" customFormat="1" ht="14" customHeight="1" x14ac:dyDescent="0.2"/>
    <row r="122" spans="3:4" s="313" customFormat="1" ht="14" customHeight="1" x14ac:dyDescent="0.2"/>
    <row r="123" spans="3:4" s="313" customFormat="1" ht="14" customHeight="1" x14ac:dyDescent="0.2"/>
    <row r="124" spans="3:4" s="313" customFormat="1" ht="14" customHeight="1" x14ac:dyDescent="0.2"/>
    <row r="125" spans="3:4" s="313" customFormat="1" ht="14" customHeight="1" x14ac:dyDescent="0.2"/>
    <row r="126" spans="3:4" s="313" customFormat="1" ht="14" customHeight="1" x14ac:dyDescent="0.2"/>
    <row r="128" spans="3:4" s="330" customFormat="1" ht="17" customHeight="1" x14ac:dyDescent="0.15"/>
    <row r="129" s="313" customFormat="1" ht="14" x14ac:dyDescent="0.2"/>
    <row r="130" s="313" customFormat="1" ht="14" x14ac:dyDescent="0.2"/>
    <row r="131" s="313" customFormat="1" ht="14" x14ac:dyDescent="0.2"/>
    <row r="132" s="313" customFormat="1" ht="14" x14ac:dyDescent="0.2"/>
    <row r="133" s="313" customFormat="1" ht="14" x14ac:dyDescent="0.2"/>
    <row r="134" s="313" customFormat="1" ht="14" x14ac:dyDescent="0.2"/>
    <row r="135" s="313" customFormat="1" ht="14" x14ac:dyDescent="0.2"/>
    <row r="136" s="313" customFormat="1" ht="14" x14ac:dyDescent="0.2"/>
    <row r="137" s="313" customFormat="1" ht="14" x14ac:dyDescent="0.2"/>
    <row r="138" s="313" customFormat="1" ht="14" x14ac:dyDescent="0.2"/>
    <row r="139" s="313" customFormat="1" ht="14" x14ac:dyDescent="0.2"/>
    <row r="140" s="313" customFormat="1" ht="14" x14ac:dyDescent="0.2"/>
    <row r="141" s="313" customFormat="1" ht="14" x14ac:dyDescent="0.2"/>
    <row r="142" s="313" customFormat="1" ht="14" x14ac:dyDescent="0.2"/>
    <row r="143" s="313" customFormat="1" ht="14" x14ac:dyDescent="0.2"/>
    <row r="144" s="313" customFormat="1" ht="14" x14ac:dyDescent="0.2"/>
    <row r="145" s="313" customFormat="1" ht="14" x14ac:dyDescent="0.2"/>
    <row r="146" s="313" customFormat="1" ht="14" x14ac:dyDescent="0.2"/>
    <row r="147" s="313" customFormat="1" ht="14" x14ac:dyDescent="0.2"/>
    <row r="148" s="313" customFormat="1" ht="14" x14ac:dyDescent="0.2"/>
    <row r="149" s="313" customFormat="1" ht="14" x14ac:dyDescent="0.2"/>
    <row r="150" s="313" customFormat="1" ht="14" x14ac:dyDescent="0.2"/>
    <row r="151" s="313" customFormat="1" ht="14" x14ac:dyDescent="0.2"/>
    <row r="152" s="313" customFormat="1" ht="14" x14ac:dyDescent="0.2"/>
    <row r="153" s="313" customFormat="1" ht="14" x14ac:dyDescent="0.2"/>
    <row r="154" s="313" customFormat="1" ht="14" x14ac:dyDescent="0.2"/>
    <row r="155" s="313" customFormat="1" ht="14" x14ac:dyDescent="0.2"/>
    <row r="156" s="313" customFormat="1" ht="14" x14ac:dyDescent="0.2"/>
    <row r="157" s="313" customFormat="1" ht="14" x14ac:dyDescent="0.2"/>
    <row r="158" s="313" customFormat="1" ht="14" x14ac:dyDescent="0.2"/>
    <row r="159" s="313" customFormat="1" ht="14" x14ac:dyDescent="0.2"/>
    <row r="160" s="313" customFormat="1" ht="14" x14ac:dyDescent="0.2"/>
    <row r="161" s="313" customFormat="1" ht="14" x14ac:dyDescent="0.2"/>
    <row r="162" s="313" customFormat="1" ht="14" x14ac:dyDescent="0.2"/>
    <row r="163" s="313" customFormat="1" ht="14" x14ac:dyDescent="0.2"/>
    <row r="164" s="313" customFormat="1" ht="14" x14ac:dyDescent="0.2"/>
    <row r="178" s="330" customFormat="1" ht="17" customHeight="1" x14ac:dyDescent="0.15"/>
    <row r="179" s="313" customFormat="1" ht="14" x14ac:dyDescent="0.2"/>
    <row r="180" s="313" customFormat="1" ht="14" x14ac:dyDescent="0.2"/>
    <row r="181" s="313" customFormat="1" ht="14" x14ac:dyDescent="0.2"/>
    <row r="182" s="313" customFormat="1" ht="14" x14ac:dyDescent="0.2"/>
    <row r="183" s="313" customFormat="1" ht="14" x14ac:dyDescent="0.2"/>
    <row r="184" s="313" customFormat="1" ht="14" x14ac:dyDescent="0.2"/>
    <row r="185" s="313" customFormat="1" ht="14" x14ac:dyDescent="0.2"/>
    <row r="186" s="313" customFormat="1" ht="14" x14ac:dyDescent="0.2"/>
    <row r="187" s="313" customFormat="1" ht="14" x14ac:dyDescent="0.2"/>
    <row r="188" s="313" customFormat="1" ht="14" x14ac:dyDescent="0.2"/>
    <row r="189" s="313" customFormat="1" ht="14" x14ac:dyDescent="0.2"/>
    <row r="190" s="313" customFormat="1" ht="14" x14ac:dyDescent="0.2"/>
    <row r="191" s="313" customFormat="1" ht="14" x14ac:dyDescent="0.2"/>
    <row r="192" s="313" customFormat="1" ht="14" x14ac:dyDescent="0.2"/>
    <row r="193" s="313" customFormat="1" ht="14" x14ac:dyDescent="0.2"/>
    <row r="194" s="313" customFormat="1" ht="14" x14ac:dyDescent="0.2"/>
    <row r="197" s="314" customFormat="1" ht="18" customHeight="1" x14ac:dyDescent="0.15"/>
    <row r="198" s="313" customFormat="1" ht="14" x14ac:dyDescent="0.2"/>
    <row r="199" s="313" customFormat="1" ht="14" x14ac:dyDescent="0.2"/>
    <row r="200" s="313" customFormat="1" ht="14" x14ac:dyDescent="0.2"/>
    <row r="201" s="313" customFormat="1" ht="14" x14ac:dyDescent="0.2"/>
    <row r="202" s="313" customFormat="1" ht="14" x14ac:dyDescent="0.2"/>
    <row r="203" s="313" customFormat="1" ht="14" x14ac:dyDescent="0.2"/>
    <row r="204" s="313" customFormat="1" ht="14" x14ac:dyDescent="0.2"/>
    <row r="205" s="313" customFormat="1" ht="14" x14ac:dyDescent="0.2"/>
    <row r="206" s="313" customFormat="1" ht="14" x14ac:dyDescent="0.2"/>
    <row r="207" s="313" customFormat="1" ht="14" x14ac:dyDescent="0.2"/>
    <row r="208" s="313" customFormat="1" ht="14" x14ac:dyDescent="0.2"/>
    <row r="209" s="313" customFormat="1" ht="14" x14ac:dyDescent="0.2"/>
    <row r="210" s="313" customFormat="1" ht="14" x14ac:dyDescent="0.2"/>
    <row r="211" s="313" customFormat="1" ht="14" x14ac:dyDescent="0.2"/>
    <row r="212" s="313" customFormat="1" ht="14" x14ac:dyDescent="0.2"/>
    <row r="213" s="313" customFormat="1" ht="14" x14ac:dyDescent="0.2"/>
    <row r="214" s="313" customFormat="1" ht="14" x14ac:dyDescent="0.2"/>
    <row r="220" ht="27" customHeight="1" x14ac:dyDescent="0.2"/>
    <row r="221" ht="27" customHeight="1" x14ac:dyDescent="0.2"/>
  </sheetData>
  <mergeCells count="21">
    <mergeCell ref="E11:J11"/>
    <mergeCell ref="C3:D3"/>
    <mergeCell ref="E3:I3"/>
    <mergeCell ref="K3:L3"/>
    <mergeCell ref="D4:E4"/>
    <mergeCell ref="G4:H4"/>
    <mergeCell ref="J4:L4"/>
    <mergeCell ref="C6:L6"/>
    <mergeCell ref="C7:L7"/>
    <mergeCell ref="E8:J8"/>
    <mergeCell ref="E9:J9"/>
    <mergeCell ref="E10:J10"/>
    <mergeCell ref="C32:E32"/>
    <mergeCell ref="C33:E35"/>
    <mergeCell ref="C37:L37"/>
    <mergeCell ref="C13:L13"/>
    <mergeCell ref="C23:L23"/>
    <mergeCell ref="C24:E24"/>
    <mergeCell ref="C25:E27"/>
    <mergeCell ref="C28:E28"/>
    <mergeCell ref="C29:E31"/>
  </mergeCells>
  <printOptions horizontalCentered="1"/>
  <pageMargins left="0.25" right="0.25" top="0.25" bottom="0.25" header="0" footer="0"/>
  <pageSetup orientation="portrait" horizontalDpi="4294967292" verticalDpi="4294967292" r:id="rId1"/>
  <rowBreaks count="1" manualBreakCount="1">
    <brk id="7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J59"/>
  <sheetViews>
    <sheetView showGridLines="0" workbookViewId="0"/>
  </sheetViews>
  <sheetFormatPr baseColWidth="10" defaultColWidth="10.83203125" defaultRowHeight="13" x14ac:dyDescent="0.15"/>
  <cols>
    <col min="1" max="1" width="3" style="11" customWidth="1"/>
    <col min="2" max="2" width="3.83203125" style="11" customWidth="1"/>
    <col min="3" max="3" width="13.5" style="11" customWidth="1"/>
    <col min="4" max="6" width="10.83203125" style="11"/>
    <col min="7" max="7" width="13.1640625" style="11" customWidth="1"/>
    <col min="8" max="8" width="2.5" style="11" customWidth="1"/>
    <col min="9" max="9" width="1.1640625" style="11" customWidth="1"/>
    <col min="10" max="10" width="2.5" style="11" customWidth="1"/>
    <col min="11" max="21" width="10.83203125" style="11"/>
    <col min="22" max="22" width="2.5" style="11" customWidth="1"/>
    <col min="23" max="16384" width="10.83203125" style="11"/>
  </cols>
  <sheetData>
    <row r="1" spans="2:36" ht="14" thickBot="1" x14ac:dyDescent="0.2"/>
    <row r="2" spans="2:36" x14ac:dyDescent="0.15">
      <c r="B2" s="779"/>
      <c r="C2" s="780"/>
      <c r="D2" s="780"/>
      <c r="E2" s="780"/>
      <c r="F2" s="780"/>
      <c r="G2" s="780"/>
      <c r="H2" s="780"/>
      <c r="I2" s="780"/>
      <c r="J2" s="780"/>
      <c r="K2" s="780"/>
      <c r="L2" s="780"/>
      <c r="M2" s="780"/>
      <c r="N2" s="780"/>
      <c r="O2" s="781"/>
    </row>
    <row r="3" spans="2:36" x14ac:dyDescent="0.15">
      <c r="B3" s="367"/>
      <c r="C3" s="254"/>
      <c r="D3" s="254"/>
      <c r="E3" s="254"/>
      <c r="F3" s="254"/>
      <c r="G3" s="254"/>
      <c r="H3" s="254"/>
      <c r="I3" s="254"/>
      <c r="J3" s="254"/>
      <c r="K3" s="254"/>
      <c r="L3" s="254"/>
      <c r="M3" s="254"/>
      <c r="N3" s="254"/>
      <c r="O3" s="782"/>
    </row>
    <row r="4" spans="2:36" x14ac:dyDescent="0.15">
      <c r="B4" s="367"/>
      <c r="C4" s="254"/>
      <c r="D4" s="254"/>
      <c r="E4" s="254"/>
      <c r="F4" s="254"/>
      <c r="G4" s="254"/>
      <c r="H4" s="254"/>
      <c r="I4" s="254"/>
      <c r="J4" s="254"/>
      <c r="K4" s="254"/>
      <c r="L4" s="254"/>
      <c r="M4" s="254"/>
      <c r="N4" s="254"/>
      <c r="O4" s="782"/>
    </row>
    <row r="5" spans="2:36" x14ac:dyDescent="0.15">
      <c r="B5" s="367"/>
      <c r="C5" s="254"/>
      <c r="D5" s="254"/>
      <c r="E5" s="254"/>
      <c r="F5" s="254"/>
      <c r="G5" s="254"/>
      <c r="H5" s="254"/>
      <c r="I5" s="254"/>
      <c r="J5" s="254"/>
      <c r="K5" s="254"/>
      <c r="L5" s="254"/>
      <c r="M5" s="254"/>
      <c r="N5" s="254"/>
      <c r="O5" s="782"/>
    </row>
    <row r="6" spans="2:36" x14ac:dyDescent="0.15">
      <c r="B6" s="367"/>
      <c r="C6" s="254"/>
      <c r="D6" s="254"/>
      <c r="E6" s="254"/>
      <c r="F6" s="254"/>
      <c r="G6" s="254"/>
      <c r="H6" s="254"/>
      <c r="I6" s="254"/>
      <c r="J6" s="254"/>
      <c r="K6" s="254"/>
      <c r="L6" s="254"/>
      <c r="M6" s="254"/>
      <c r="N6" s="254"/>
      <c r="O6" s="782"/>
    </row>
    <row r="7" spans="2:36" x14ac:dyDescent="0.15">
      <c r="B7" s="367"/>
      <c r="C7" s="254"/>
      <c r="D7" s="254"/>
      <c r="E7" s="254"/>
      <c r="F7" s="254"/>
      <c r="G7" s="254"/>
      <c r="H7" s="254"/>
      <c r="I7" s="254"/>
      <c r="J7" s="254"/>
      <c r="K7" s="254"/>
      <c r="L7" s="254"/>
      <c r="M7" s="254"/>
      <c r="N7" s="254"/>
      <c r="O7" s="782"/>
    </row>
    <row r="8" spans="2:36" x14ac:dyDescent="0.15">
      <c r="B8" s="367"/>
      <c r="C8" s="254"/>
      <c r="D8" s="254"/>
      <c r="E8" s="254"/>
      <c r="F8" s="254"/>
      <c r="G8" s="254"/>
      <c r="H8" s="254"/>
      <c r="I8" s="254"/>
      <c r="J8" s="254"/>
      <c r="K8" s="254"/>
      <c r="L8" s="254"/>
      <c r="M8" s="254"/>
      <c r="N8" s="254"/>
      <c r="O8" s="782"/>
    </row>
    <row r="9" spans="2:36" x14ac:dyDescent="0.15">
      <c r="B9" s="367"/>
      <c r="C9" s="254"/>
      <c r="D9" s="254"/>
      <c r="E9" s="254"/>
      <c r="F9" s="254"/>
      <c r="G9" s="254"/>
      <c r="H9" s="254"/>
      <c r="I9" s="254"/>
      <c r="J9" s="254"/>
      <c r="K9" s="254"/>
      <c r="L9" s="254"/>
      <c r="M9" s="254"/>
      <c r="N9" s="254"/>
      <c r="O9" s="782"/>
    </row>
    <row r="10" spans="2:36" x14ac:dyDescent="0.15">
      <c r="B10" s="367"/>
      <c r="C10" s="254"/>
      <c r="D10" s="254"/>
      <c r="E10" s="254"/>
      <c r="F10" s="254"/>
      <c r="G10" s="254"/>
      <c r="H10" s="254"/>
      <c r="I10" s="254"/>
      <c r="J10" s="254"/>
      <c r="K10" s="254"/>
      <c r="L10" s="254"/>
      <c r="M10" s="254"/>
      <c r="N10" s="254"/>
      <c r="O10" s="782"/>
    </row>
    <row r="11" spans="2:36" x14ac:dyDescent="0.15">
      <c r="B11" s="367"/>
      <c r="C11" s="254"/>
      <c r="D11" s="254"/>
      <c r="E11" s="254"/>
      <c r="F11" s="254"/>
      <c r="G11" s="254"/>
      <c r="H11" s="254"/>
      <c r="I11" s="254"/>
      <c r="J11" s="254"/>
      <c r="K11" s="254"/>
      <c r="L11" s="254"/>
      <c r="M11" s="254"/>
      <c r="N11" s="254"/>
      <c r="O11" s="782"/>
    </row>
    <row r="12" spans="2:36" ht="14" thickBot="1" x14ac:dyDescent="0.2">
      <c r="B12" s="367"/>
      <c r="C12" s="254"/>
      <c r="D12" s="254"/>
      <c r="E12" s="254"/>
      <c r="F12" s="254"/>
      <c r="G12" s="254"/>
      <c r="H12" s="254"/>
      <c r="I12" s="254"/>
      <c r="J12" s="254"/>
      <c r="K12" s="254"/>
      <c r="L12" s="254"/>
      <c r="M12" s="254"/>
      <c r="N12" s="254"/>
      <c r="O12" s="782"/>
    </row>
    <row r="13" spans="2:36" ht="22" thickBot="1" x14ac:dyDescent="0.3">
      <c r="B13" s="1067" t="s">
        <v>590</v>
      </c>
      <c r="C13" s="1068"/>
      <c r="D13" s="1068"/>
      <c r="E13" s="1068"/>
      <c r="F13" s="1068"/>
      <c r="G13" s="1069"/>
      <c r="H13" s="246"/>
      <c r="I13" s="1067" t="s">
        <v>591</v>
      </c>
      <c r="J13" s="1068"/>
      <c r="K13" s="1068"/>
      <c r="L13" s="1068"/>
      <c r="M13" s="1068"/>
      <c r="N13" s="1068"/>
      <c r="O13" s="1069"/>
      <c r="P13" s="245"/>
      <c r="Q13" s="245"/>
      <c r="R13" s="245"/>
      <c r="S13" s="228"/>
      <c r="T13" s="228"/>
      <c r="U13" s="228"/>
      <c r="V13" s="228"/>
      <c r="W13" s="228"/>
      <c r="X13" s="228"/>
      <c r="Y13" s="228"/>
      <c r="Z13" s="228"/>
      <c r="AA13" s="228"/>
      <c r="AB13" s="228"/>
      <c r="AC13" s="228"/>
      <c r="AD13" s="228"/>
      <c r="AE13" s="228"/>
      <c r="AF13" s="228"/>
      <c r="AG13" s="228"/>
      <c r="AH13" s="228"/>
      <c r="AI13" s="228"/>
      <c r="AJ13" s="229"/>
    </row>
    <row r="14" spans="2:36" ht="16" x14ac:dyDescent="0.2">
      <c r="B14" s="1063" t="s">
        <v>592</v>
      </c>
      <c r="C14" s="1064"/>
      <c r="D14" s="1064"/>
      <c r="E14" s="1064"/>
      <c r="F14" s="1064"/>
      <c r="G14" s="1064"/>
      <c r="H14" s="247"/>
      <c r="I14" s="1070" t="s">
        <v>593</v>
      </c>
      <c r="J14" s="1071"/>
      <c r="K14" s="1071"/>
      <c r="L14" s="1071"/>
      <c r="M14" s="1071"/>
      <c r="N14" s="1071"/>
      <c r="O14" s="1072"/>
      <c r="P14" s="230"/>
      <c r="Q14" s="230"/>
      <c r="R14" s="231"/>
      <c r="S14" s="231"/>
      <c r="T14" s="231"/>
      <c r="V14" s="230"/>
      <c r="W14" s="230"/>
      <c r="X14" s="230"/>
      <c r="Y14" s="230"/>
      <c r="Z14" s="230"/>
      <c r="AA14" s="230"/>
      <c r="AB14" s="230"/>
      <c r="AC14" s="230"/>
      <c r="AD14" s="230"/>
      <c r="AE14" s="230"/>
      <c r="AF14" s="230"/>
      <c r="AG14" s="230"/>
      <c r="AH14" s="230"/>
      <c r="AI14" s="230"/>
      <c r="AJ14" s="232"/>
    </row>
    <row r="15" spans="2:36" ht="16" x14ac:dyDescent="0.2">
      <c r="B15" s="783"/>
      <c r="C15" s="231"/>
      <c r="D15" s="231"/>
      <c r="E15" s="231"/>
      <c r="F15" s="231"/>
      <c r="G15" s="231"/>
      <c r="H15" s="248"/>
      <c r="I15" s="231"/>
      <c r="J15" s="254"/>
      <c r="K15" s="254"/>
      <c r="L15" s="254"/>
      <c r="M15" s="231"/>
      <c r="N15" s="231"/>
      <c r="O15" s="784"/>
      <c r="P15" s="231"/>
      <c r="Q15" s="231"/>
      <c r="R15" s="231"/>
      <c r="S15" s="231"/>
      <c r="T15" s="231"/>
      <c r="U15" s="231"/>
      <c r="V15" s="231"/>
      <c r="W15" s="231"/>
      <c r="X15" s="231"/>
      <c r="Y15" s="231"/>
      <c r="Z15" s="231"/>
      <c r="AA15" s="231"/>
      <c r="AB15" s="231"/>
      <c r="AC15" s="231"/>
      <c r="AD15" s="231"/>
      <c r="AE15" s="231"/>
      <c r="AF15" s="231"/>
      <c r="AG15" s="231"/>
      <c r="AH15" s="231"/>
      <c r="AI15" s="231"/>
      <c r="AJ15" s="232"/>
    </row>
    <row r="16" spans="2:36" ht="16" x14ac:dyDescent="0.2">
      <c r="B16" s="785"/>
      <c r="C16" s="234" t="s">
        <v>594</v>
      </c>
      <c r="D16" s="235"/>
      <c r="E16" s="235"/>
      <c r="F16" s="235"/>
      <c r="G16" s="235"/>
      <c r="H16" s="249"/>
      <c r="I16" s="235"/>
      <c r="J16" s="233"/>
      <c r="K16" s="234" t="s">
        <v>595</v>
      </c>
      <c r="L16" s="235"/>
      <c r="M16" s="235"/>
      <c r="N16" s="235"/>
      <c r="O16" s="786"/>
      <c r="P16" s="235"/>
      <c r="Q16" s="235"/>
      <c r="R16" s="231"/>
      <c r="S16" s="231"/>
      <c r="T16" s="231"/>
      <c r="U16" s="231"/>
      <c r="Y16" s="235"/>
      <c r="Z16" s="235"/>
      <c r="AA16" s="235"/>
      <c r="AB16" s="235"/>
      <c r="AC16" s="235"/>
      <c r="AD16" s="235"/>
      <c r="AE16" s="235"/>
      <c r="AF16" s="235"/>
      <c r="AG16" s="235"/>
      <c r="AH16" s="235"/>
      <c r="AI16" s="235"/>
      <c r="AJ16" s="232"/>
    </row>
    <row r="17" spans="2:36" ht="16" x14ac:dyDescent="0.2">
      <c r="B17" s="783"/>
      <c r="C17" s="236"/>
      <c r="D17" s="231"/>
      <c r="E17" s="231"/>
      <c r="F17" s="231"/>
      <c r="G17" s="231"/>
      <c r="H17" s="248"/>
      <c r="I17" s="231"/>
      <c r="J17" s="231"/>
      <c r="K17" s="231"/>
      <c r="L17" s="231"/>
      <c r="M17" s="231"/>
      <c r="N17" s="231"/>
      <c r="O17" s="784"/>
      <c r="P17" s="231"/>
      <c r="Q17" s="231"/>
      <c r="R17" s="231"/>
      <c r="S17" s="231"/>
      <c r="T17" s="231"/>
      <c r="U17" s="231"/>
      <c r="Y17" s="231"/>
      <c r="Z17" s="231"/>
      <c r="AA17" s="231"/>
      <c r="AB17" s="231"/>
      <c r="AC17" s="231"/>
      <c r="AD17" s="231"/>
      <c r="AE17" s="231"/>
      <c r="AF17" s="231"/>
      <c r="AG17" s="231"/>
      <c r="AH17" s="231"/>
      <c r="AI17" s="231"/>
      <c r="AJ17" s="232"/>
    </row>
    <row r="18" spans="2:36" ht="16" x14ac:dyDescent="0.2">
      <c r="B18" s="785"/>
      <c r="C18" s="234" t="s">
        <v>596</v>
      </c>
      <c r="D18" s="235"/>
      <c r="E18" s="235"/>
      <c r="F18" s="235"/>
      <c r="G18" s="235"/>
      <c r="H18" s="249"/>
      <c r="I18" s="235"/>
      <c r="J18" s="233"/>
      <c r="K18" s="234" t="s">
        <v>597</v>
      </c>
      <c r="L18" s="235"/>
      <c r="M18" s="235"/>
      <c r="N18" s="235"/>
      <c r="O18" s="786"/>
      <c r="P18" s="235"/>
      <c r="Q18" s="235"/>
      <c r="R18" s="231"/>
      <c r="S18" s="231"/>
      <c r="T18" s="231"/>
      <c r="U18" s="231"/>
      <c r="Y18" s="235"/>
      <c r="Z18" s="235"/>
      <c r="AA18" s="235"/>
      <c r="AB18" s="235"/>
      <c r="AC18" s="235"/>
      <c r="AD18" s="235"/>
      <c r="AE18" s="235"/>
      <c r="AF18" s="235"/>
      <c r="AG18" s="235"/>
      <c r="AH18" s="235"/>
      <c r="AI18" s="235"/>
      <c r="AJ18" s="232"/>
    </row>
    <row r="19" spans="2:36" ht="16" x14ac:dyDescent="0.2">
      <c r="B19" s="783"/>
      <c r="C19" s="236"/>
      <c r="D19" s="236"/>
      <c r="E19" s="236"/>
      <c r="F19" s="236"/>
      <c r="G19" s="236"/>
      <c r="H19" s="250"/>
      <c r="I19" s="236"/>
      <c r="J19" s="231"/>
      <c r="K19" s="231"/>
      <c r="L19" s="231"/>
      <c r="M19" s="236"/>
      <c r="N19" s="236"/>
      <c r="O19" s="787"/>
      <c r="P19" s="236"/>
      <c r="Q19" s="236"/>
      <c r="R19" s="231"/>
      <c r="S19" s="231"/>
      <c r="T19" s="231"/>
      <c r="U19" s="231"/>
      <c r="Y19" s="231"/>
      <c r="Z19" s="231"/>
      <c r="AA19" s="231"/>
      <c r="AB19" s="231"/>
      <c r="AC19" s="231"/>
      <c r="AD19" s="231"/>
      <c r="AE19" s="231"/>
      <c r="AF19" s="231"/>
      <c r="AG19" s="231"/>
      <c r="AH19" s="231"/>
      <c r="AI19" s="231"/>
      <c r="AJ19" s="232"/>
    </row>
    <row r="20" spans="2:36" ht="16" x14ac:dyDescent="0.2">
      <c r="B20" s="785"/>
      <c r="C20" s="234" t="s">
        <v>598</v>
      </c>
      <c r="D20" s="235"/>
      <c r="E20" s="235"/>
      <c r="F20" s="235"/>
      <c r="G20" s="235"/>
      <c r="H20" s="249"/>
      <c r="I20" s="235"/>
      <c r="J20" s="233"/>
      <c r="K20" s="234" t="s">
        <v>599</v>
      </c>
      <c r="L20" s="235"/>
      <c r="M20" s="235"/>
      <c r="N20" s="235"/>
      <c r="O20" s="786"/>
      <c r="P20" s="235"/>
      <c r="Q20" s="235"/>
      <c r="R20" s="235"/>
      <c r="S20" s="231"/>
      <c r="T20" s="231"/>
      <c r="U20" s="231"/>
      <c r="Y20" s="235"/>
      <c r="Z20" s="235"/>
      <c r="AA20" s="235"/>
      <c r="AB20" s="235"/>
      <c r="AC20" s="235"/>
      <c r="AD20" s="235"/>
      <c r="AE20" s="235"/>
      <c r="AF20" s="235"/>
      <c r="AG20" s="235"/>
      <c r="AH20" s="235"/>
      <c r="AI20" s="235"/>
      <c r="AJ20" s="232"/>
    </row>
    <row r="21" spans="2:36" ht="16" x14ac:dyDescent="0.2">
      <c r="B21" s="783"/>
      <c r="C21" s="236"/>
      <c r="D21" s="236"/>
      <c r="E21" s="236"/>
      <c r="F21" s="236"/>
      <c r="G21" s="236"/>
      <c r="H21" s="250"/>
      <c r="I21" s="236"/>
      <c r="J21" s="231"/>
      <c r="K21" s="231"/>
      <c r="L21" s="231"/>
      <c r="M21" s="236"/>
      <c r="N21" s="236"/>
      <c r="O21" s="787"/>
      <c r="P21" s="236"/>
      <c r="Q21" s="236"/>
      <c r="R21" s="231"/>
      <c r="S21" s="231"/>
      <c r="T21" s="231"/>
      <c r="U21" s="231"/>
      <c r="Y21" s="231"/>
      <c r="Z21" s="231"/>
      <c r="AA21" s="231"/>
      <c r="AB21" s="231"/>
      <c r="AC21" s="231"/>
      <c r="AD21" s="231"/>
      <c r="AE21" s="231"/>
      <c r="AF21" s="231"/>
      <c r="AG21" s="231"/>
      <c r="AH21" s="231"/>
      <c r="AI21" s="231"/>
      <c r="AJ21" s="232"/>
    </row>
    <row r="22" spans="2:36" ht="16" x14ac:dyDescent="0.2">
      <c r="B22" s="785"/>
      <c r="C22" s="234" t="s">
        <v>600</v>
      </c>
      <c r="D22" s="235"/>
      <c r="E22" s="235"/>
      <c r="F22" s="235"/>
      <c r="G22" s="235"/>
      <c r="H22" s="249"/>
      <c r="I22" s="235"/>
      <c r="J22" s="233"/>
      <c r="K22" s="234" t="s">
        <v>601</v>
      </c>
      <c r="L22" s="235"/>
      <c r="M22" s="235"/>
      <c r="N22" s="235"/>
      <c r="O22" s="786"/>
      <c r="P22" s="235"/>
      <c r="Q22" s="235"/>
      <c r="R22" s="231"/>
      <c r="S22" s="231"/>
      <c r="T22" s="231"/>
      <c r="U22" s="231"/>
      <c r="Y22" s="235"/>
      <c r="Z22" s="235"/>
      <c r="AA22" s="235"/>
      <c r="AB22" s="235"/>
      <c r="AC22" s="235"/>
      <c r="AD22" s="235"/>
      <c r="AE22" s="235"/>
      <c r="AF22" s="235"/>
      <c r="AG22" s="235"/>
      <c r="AH22" s="235"/>
      <c r="AI22" s="235"/>
      <c r="AJ22" s="232"/>
    </row>
    <row r="23" spans="2:36" ht="16" x14ac:dyDescent="0.2">
      <c r="B23" s="783"/>
      <c r="C23" s="231"/>
      <c r="D23" s="231"/>
      <c r="E23" s="231"/>
      <c r="F23" s="231"/>
      <c r="G23" s="231"/>
      <c r="H23" s="248"/>
      <c r="I23" s="231"/>
      <c r="J23" s="231"/>
      <c r="K23" s="231"/>
      <c r="L23" s="231"/>
      <c r="M23" s="231"/>
      <c r="N23" s="231"/>
      <c r="O23" s="784"/>
      <c r="P23" s="231"/>
      <c r="Q23" s="231"/>
      <c r="R23" s="231"/>
      <c r="S23" s="231"/>
      <c r="T23" s="231"/>
      <c r="U23" s="231"/>
      <c r="Y23" s="231"/>
      <c r="Z23" s="231"/>
      <c r="AA23" s="231"/>
      <c r="AB23" s="231"/>
      <c r="AC23" s="231"/>
      <c r="AD23" s="231"/>
      <c r="AE23" s="231"/>
      <c r="AF23" s="231"/>
      <c r="AG23" s="231"/>
      <c r="AH23" s="231"/>
      <c r="AI23" s="231"/>
      <c r="AJ23" s="232"/>
    </row>
    <row r="24" spans="2:36" ht="16" x14ac:dyDescent="0.2">
      <c r="B24" s="785"/>
      <c r="C24" s="234" t="s">
        <v>602</v>
      </c>
      <c r="D24" s="235"/>
      <c r="E24" s="235"/>
      <c r="F24" s="235"/>
      <c r="G24" s="235"/>
      <c r="H24" s="249"/>
      <c r="I24" s="235"/>
      <c r="J24" s="233"/>
      <c r="K24" s="234" t="s">
        <v>603</v>
      </c>
      <c r="L24" s="235"/>
      <c r="M24" s="235"/>
      <c r="N24" s="235"/>
      <c r="O24" s="786"/>
      <c r="P24" s="235"/>
      <c r="Q24" s="235"/>
      <c r="R24" s="231"/>
      <c r="S24" s="231"/>
      <c r="T24" s="231"/>
      <c r="U24" s="231"/>
      <c r="Y24" s="235"/>
      <c r="Z24" s="235"/>
      <c r="AA24" s="235"/>
      <c r="AB24" s="235"/>
      <c r="AC24" s="235"/>
      <c r="AD24" s="235"/>
      <c r="AE24" s="235"/>
      <c r="AF24" s="235"/>
      <c r="AG24" s="235"/>
      <c r="AH24" s="235"/>
      <c r="AI24" s="235"/>
      <c r="AJ24" s="232"/>
    </row>
    <row r="25" spans="2:36" ht="16" x14ac:dyDescent="0.2">
      <c r="B25" s="783"/>
      <c r="C25" s="236"/>
      <c r="D25" s="236"/>
      <c r="E25" s="236"/>
      <c r="F25" s="236"/>
      <c r="G25" s="236"/>
      <c r="H25" s="250"/>
      <c r="I25" s="236"/>
      <c r="J25" s="231"/>
      <c r="K25" s="231"/>
      <c r="L25" s="231"/>
      <c r="M25" s="236"/>
      <c r="N25" s="236"/>
      <c r="O25" s="787"/>
      <c r="P25" s="236"/>
      <c r="Q25" s="236"/>
      <c r="R25" s="231"/>
      <c r="S25" s="231"/>
      <c r="T25" s="231"/>
      <c r="U25" s="231"/>
      <c r="Y25" s="231"/>
      <c r="Z25" s="231"/>
      <c r="AA25" s="231"/>
      <c r="AB25" s="231"/>
      <c r="AC25" s="231"/>
      <c r="AD25" s="231"/>
      <c r="AE25" s="231"/>
      <c r="AF25" s="231"/>
      <c r="AG25" s="231"/>
      <c r="AH25" s="231"/>
      <c r="AI25" s="231"/>
      <c r="AJ25" s="232"/>
    </row>
    <row r="26" spans="2:36" ht="16" x14ac:dyDescent="0.2">
      <c r="B26" s="785"/>
      <c r="C26" s="234" t="s">
        <v>604</v>
      </c>
      <c r="D26" s="235"/>
      <c r="E26" s="235"/>
      <c r="F26" s="235"/>
      <c r="G26" s="235"/>
      <c r="H26" s="249"/>
      <c r="I26" s="235"/>
      <c r="J26" s="233"/>
      <c r="K26" s="234" t="s">
        <v>605</v>
      </c>
      <c r="L26" s="235"/>
      <c r="M26" s="235"/>
      <c r="N26" s="235"/>
      <c r="O26" s="786"/>
      <c r="P26" s="235"/>
      <c r="Q26" s="235"/>
      <c r="R26" s="231"/>
      <c r="S26" s="231"/>
      <c r="T26" s="231"/>
      <c r="U26" s="231"/>
      <c r="Y26" s="235"/>
      <c r="Z26" s="235"/>
      <c r="AA26" s="235"/>
      <c r="AB26" s="235"/>
      <c r="AC26" s="235"/>
      <c r="AD26" s="235"/>
      <c r="AE26" s="235"/>
      <c r="AF26" s="235"/>
      <c r="AG26" s="235"/>
      <c r="AH26" s="235"/>
      <c r="AI26" s="235"/>
      <c r="AJ26" s="232"/>
    </row>
    <row r="27" spans="2:36" ht="16" x14ac:dyDescent="0.2">
      <c r="B27" s="783"/>
      <c r="C27" s="236"/>
      <c r="D27" s="236"/>
      <c r="E27" s="236"/>
      <c r="F27" s="236"/>
      <c r="G27" s="236"/>
      <c r="H27" s="250"/>
      <c r="I27" s="236"/>
      <c r="J27" s="231"/>
      <c r="K27" s="231"/>
      <c r="L27" s="231"/>
      <c r="M27" s="236"/>
      <c r="N27" s="236"/>
      <c r="O27" s="787"/>
      <c r="P27" s="236"/>
      <c r="Q27" s="236"/>
      <c r="R27" s="231"/>
      <c r="S27" s="231"/>
      <c r="T27" s="231"/>
      <c r="U27" s="231"/>
      <c r="Y27" s="231"/>
      <c r="Z27" s="231"/>
      <c r="AA27" s="231"/>
      <c r="AB27" s="231"/>
      <c r="AC27" s="231"/>
      <c r="AD27" s="231"/>
      <c r="AE27" s="231"/>
      <c r="AF27" s="231"/>
      <c r="AG27" s="231"/>
      <c r="AH27" s="231"/>
      <c r="AI27" s="231"/>
      <c r="AJ27" s="232"/>
    </row>
    <row r="28" spans="2:36" ht="16" x14ac:dyDescent="0.2">
      <c r="B28" s="783"/>
      <c r="C28" s="236"/>
      <c r="D28" s="236"/>
      <c r="E28" s="236"/>
      <c r="F28" s="236"/>
      <c r="G28" s="236"/>
      <c r="H28" s="250"/>
      <c r="I28" s="236"/>
      <c r="J28" s="233"/>
      <c r="K28" s="234" t="s">
        <v>606</v>
      </c>
      <c r="L28" s="235"/>
      <c r="M28" s="236"/>
      <c r="N28" s="236"/>
      <c r="O28" s="787"/>
      <c r="P28" s="236"/>
      <c r="Q28" s="236"/>
      <c r="R28" s="231"/>
      <c r="S28" s="231"/>
      <c r="T28" s="231"/>
      <c r="U28" s="231"/>
      <c r="Y28" s="231"/>
      <c r="Z28" s="231"/>
      <c r="AA28" s="231"/>
      <c r="AB28" s="231"/>
      <c r="AC28" s="231"/>
      <c r="AD28" s="231"/>
      <c r="AE28" s="231"/>
      <c r="AF28" s="231"/>
      <c r="AG28" s="231"/>
      <c r="AH28" s="231"/>
      <c r="AI28" s="231"/>
      <c r="AJ28" s="232"/>
    </row>
    <row r="29" spans="2:36" ht="16" x14ac:dyDescent="0.2">
      <c r="B29" s="1065" t="s">
        <v>607</v>
      </c>
      <c r="C29" s="1066"/>
      <c r="D29" s="1066"/>
      <c r="E29" s="1066"/>
      <c r="F29" s="1066"/>
      <c r="G29" s="1066"/>
      <c r="H29" s="251"/>
      <c r="I29" s="1065" t="s">
        <v>608</v>
      </c>
      <c r="J29" s="1066"/>
      <c r="K29" s="1066"/>
      <c r="L29" s="1066"/>
      <c r="M29" s="1066"/>
      <c r="N29" s="1066"/>
      <c r="O29" s="1073"/>
      <c r="P29" s="230"/>
      <c r="Q29" s="230"/>
      <c r="R29" s="231"/>
      <c r="S29" s="231"/>
      <c r="T29" s="231"/>
      <c r="U29" s="231"/>
      <c r="Y29" s="235"/>
      <c r="Z29" s="235"/>
      <c r="AA29" s="235"/>
      <c r="AB29" s="235"/>
      <c r="AC29" s="235"/>
      <c r="AD29" s="235"/>
      <c r="AE29" s="235"/>
      <c r="AF29" s="235"/>
      <c r="AG29" s="235"/>
      <c r="AH29" s="235"/>
      <c r="AI29" s="235"/>
      <c r="AJ29" s="232"/>
    </row>
    <row r="30" spans="2:36" ht="16" x14ac:dyDescent="0.2">
      <c r="B30" s="783"/>
      <c r="C30" s="236"/>
      <c r="D30" s="236"/>
      <c r="E30" s="236"/>
      <c r="F30" s="236"/>
      <c r="G30" s="236"/>
      <c r="H30" s="250"/>
      <c r="I30" s="236"/>
      <c r="J30" s="236"/>
      <c r="K30" s="254"/>
      <c r="L30" s="236"/>
      <c r="M30" s="236"/>
      <c r="N30" s="236"/>
      <c r="O30" s="787"/>
      <c r="P30" s="236"/>
      <c r="Q30" s="236"/>
      <c r="R30" s="231"/>
      <c r="S30" s="231"/>
      <c r="T30" s="231"/>
      <c r="U30" s="231"/>
      <c r="V30" s="231"/>
      <c r="W30" s="231"/>
      <c r="X30" s="231"/>
      <c r="Y30" s="231"/>
      <c r="Z30" s="231"/>
      <c r="AA30" s="231"/>
      <c r="AB30" s="231"/>
      <c r="AC30" s="231"/>
      <c r="AD30" s="231"/>
      <c r="AE30" s="231"/>
      <c r="AF30" s="231"/>
      <c r="AG30" s="231"/>
      <c r="AH30" s="231"/>
      <c r="AI30" s="231"/>
      <c r="AJ30" s="232"/>
    </row>
    <row r="31" spans="2:36" ht="16" x14ac:dyDescent="0.2">
      <c r="B31" s="785"/>
      <c r="C31" s="234" t="s">
        <v>609</v>
      </c>
      <c r="D31" s="235"/>
      <c r="E31" s="235"/>
      <c r="F31" s="235"/>
      <c r="G31" s="235"/>
      <c r="H31" s="249"/>
      <c r="I31" s="235"/>
      <c r="J31" s="233"/>
      <c r="K31" s="234" t="s">
        <v>610</v>
      </c>
      <c r="L31" s="254"/>
      <c r="M31" s="235"/>
      <c r="N31" s="235"/>
      <c r="O31" s="786"/>
      <c r="P31" s="235"/>
      <c r="Q31" s="235"/>
      <c r="R31" s="231"/>
      <c r="S31" s="231"/>
      <c r="T31" s="231"/>
      <c r="V31" s="230"/>
      <c r="W31" s="230"/>
      <c r="X31" s="230"/>
      <c r="Y31" s="230"/>
      <c r="Z31" s="230"/>
      <c r="AA31" s="230"/>
      <c r="AB31" s="230"/>
      <c r="AC31" s="230"/>
      <c r="AD31" s="230"/>
      <c r="AE31" s="230"/>
      <c r="AF31" s="230"/>
      <c r="AG31" s="230"/>
      <c r="AH31" s="230"/>
      <c r="AI31" s="230"/>
      <c r="AJ31" s="232"/>
    </row>
    <row r="32" spans="2:36" ht="16" x14ac:dyDescent="0.2">
      <c r="B32" s="783"/>
      <c r="C32" s="236"/>
      <c r="D32" s="236"/>
      <c r="E32" s="236"/>
      <c r="F32" s="236"/>
      <c r="G32" s="236"/>
      <c r="H32" s="250"/>
      <c r="I32" s="236"/>
      <c r="J32" s="231"/>
      <c r="K32" s="231"/>
      <c r="L32" s="254"/>
      <c r="M32" s="236"/>
      <c r="N32" s="236"/>
      <c r="O32" s="787"/>
      <c r="P32" s="236"/>
      <c r="Q32" s="236"/>
      <c r="R32" s="231"/>
      <c r="S32" s="231"/>
      <c r="T32" s="231"/>
      <c r="U32" s="231"/>
      <c r="V32" s="231"/>
      <c r="W32" s="231"/>
      <c r="X32" s="231"/>
      <c r="Y32" s="231"/>
      <c r="Z32" s="231"/>
      <c r="AA32" s="231"/>
      <c r="AB32" s="231"/>
      <c r="AC32" s="231"/>
      <c r="AD32" s="231"/>
      <c r="AE32" s="231"/>
      <c r="AF32" s="231"/>
      <c r="AG32" s="231"/>
      <c r="AH32" s="231"/>
      <c r="AI32" s="231"/>
      <c r="AJ32" s="232"/>
    </row>
    <row r="33" spans="2:36" ht="16" x14ac:dyDescent="0.2">
      <c r="B33" s="785"/>
      <c r="C33" s="234" t="s">
        <v>611</v>
      </c>
      <c r="D33" s="235"/>
      <c r="E33" s="235"/>
      <c r="F33" s="235"/>
      <c r="G33" s="235"/>
      <c r="H33" s="249"/>
      <c r="I33" s="235"/>
      <c r="J33" s="233"/>
      <c r="K33" s="234" t="s">
        <v>612</v>
      </c>
      <c r="L33" s="254"/>
      <c r="M33" s="235"/>
      <c r="N33" s="235"/>
      <c r="O33" s="786"/>
      <c r="P33" s="235"/>
      <c r="Q33" s="235"/>
      <c r="R33" s="231"/>
      <c r="S33" s="231"/>
      <c r="T33" s="231"/>
      <c r="U33" s="236"/>
      <c r="X33" s="235"/>
      <c r="Y33" s="235"/>
      <c r="Z33" s="235"/>
      <c r="AA33" s="235"/>
      <c r="AB33" s="235"/>
      <c r="AC33" s="235"/>
      <c r="AD33" s="235"/>
      <c r="AE33" s="235"/>
      <c r="AF33" s="235"/>
      <c r="AG33" s="235"/>
      <c r="AH33" s="235"/>
      <c r="AI33" s="235"/>
      <c r="AJ33" s="232"/>
    </row>
    <row r="34" spans="2:36" ht="16" x14ac:dyDescent="0.2">
      <c r="B34" s="783"/>
      <c r="C34" s="236"/>
      <c r="D34" s="236"/>
      <c r="E34" s="236"/>
      <c r="F34" s="236"/>
      <c r="G34" s="236"/>
      <c r="H34" s="250"/>
      <c r="I34" s="236"/>
      <c r="J34" s="231"/>
      <c r="K34" s="231"/>
      <c r="L34" s="254"/>
      <c r="M34" s="236"/>
      <c r="N34" s="236"/>
      <c r="O34" s="787"/>
      <c r="P34" s="236"/>
      <c r="Q34" s="236"/>
      <c r="R34" s="231"/>
      <c r="S34" s="231"/>
      <c r="T34" s="231"/>
      <c r="U34" s="236"/>
      <c r="X34" s="231"/>
      <c r="Y34" s="231"/>
      <c r="Z34" s="231"/>
      <c r="AA34" s="231"/>
      <c r="AB34" s="231"/>
      <c r="AC34" s="231"/>
      <c r="AD34" s="231"/>
      <c r="AE34" s="231"/>
      <c r="AF34" s="231"/>
      <c r="AG34" s="231"/>
      <c r="AH34" s="231"/>
      <c r="AI34" s="231"/>
      <c r="AJ34" s="232"/>
    </row>
    <row r="35" spans="2:36" ht="16" x14ac:dyDescent="0.2">
      <c r="B35" s="785"/>
      <c r="C35" s="234" t="s">
        <v>613</v>
      </c>
      <c r="D35" s="235"/>
      <c r="E35" s="235"/>
      <c r="F35" s="235"/>
      <c r="G35" s="235"/>
      <c r="H35" s="249"/>
      <c r="I35" s="235"/>
      <c r="J35" s="233"/>
      <c r="K35" s="234" t="s">
        <v>614</v>
      </c>
      <c r="L35" s="254"/>
      <c r="M35" s="235"/>
      <c r="N35" s="235"/>
      <c r="O35" s="786"/>
      <c r="P35" s="235"/>
      <c r="Q35" s="235"/>
      <c r="R35" s="231"/>
      <c r="S35" s="231"/>
      <c r="T35" s="231"/>
      <c r="U35" s="236"/>
      <c r="X35" s="235"/>
      <c r="Y35" s="235"/>
      <c r="Z35" s="235"/>
      <c r="AA35" s="235"/>
      <c r="AB35" s="235"/>
      <c r="AC35" s="235"/>
      <c r="AD35" s="235"/>
      <c r="AE35" s="235"/>
      <c r="AF35" s="235"/>
      <c r="AG35" s="235"/>
      <c r="AH35" s="235"/>
      <c r="AI35" s="235"/>
      <c r="AJ35" s="232"/>
    </row>
    <row r="36" spans="2:36" ht="16" x14ac:dyDescent="0.2">
      <c r="B36" s="783"/>
      <c r="C36" s="236"/>
      <c r="D36" s="236"/>
      <c r="E36" s="236"/>
      <c r="F36" s="236"/>
      <c r="G36" s="236"/>
      <c r="H36" s="250"/>
      <c r="I36" s="236"/>
      <c r="J36" s="236"/>
      <c r="K36" s="236"/>
      <c r="L36" s="236"/>
      <c r="M36" s="236"/>
      <c r="N36" s="236"/>
      <c r="O36" s="787"/>
      <c r="P36" s="236"/>
      <c r="Q36" s="236"/>
      <c r="R36" s="231"/>
      <c r="S36" s="231"/>
      <c r="T36" s="231"/>
      <c r="U36" s="236"/>
      <c r="X36" s="231"/>
      <c r="Y36" s="231"/>
      <c r="Z36" s="231"/>
      <c r="AA36" s="231"/>
      <c r="AB36" s="231"/>
      <c r="AC36" s="231"/>
      <c r="AD36" s="231"/>
      <c r="AE36" s="231"/>
      <c r="AF36" s="231"/>
      <c r="AG36" s="231"/>
      <c r="AH36" s="231"/>
      <c r="AI36" s="231"/>
      <c r="AJ36" s="232"/>
    </row>
    <row r="37" spans="2:36" ht="16" x14ac:dyDescent="0.2">
      <c r="B37" s="785"/>
      <c r="C37" s="234" t="s">
        <v>615</v>
      </c>
      <c r="D37" s="235"/>
      <c r="E37" s="235"/>
      <c r="F37" s="235"/>
      <c r="G37" s="235"/>
      <c r="H37" s="249"/>
      <c r="I37" s="235"/>
      <c r="J37" s="233"/>
      <c r="K37" s="234" t="s">
        <v>616</v>
      </c>
      <c r="L37" s="235"/>
      <c r="M37" s="235"/>
      <c r="N37" s="235"/>
      <c r="O37" s="786"/>
      <c r="P37" s="235"/>
      <c r="Q37" s="235"/>
      <c r="R37" s="231"/>
      <c r="S37" s="231"/>
      <c r="T37" s="231"/>
      <c r="U37" s="236"/>
      <c r="X37" s="235"/>
      <c r="Y37" s="235"/>
      <c r="Z37" s="235"/>
      <c r="AA37" s="235"/>
      <c r="AB37" s="235"/>
      <c r="AC37" s="235"/>
      <c r="AD37" s="235"/>
      <c r="AE37" s="235"/>
      <c r="AF37" s="235"/>
      <c r="AG37" s="235"/>
      <c r="AH37" s="235"/>
      <c r="AI37" s="235"/>
      <c r="AJ37" s="232"/>
    </row>
    <row r="38" spans="2:36" ht="16" x14ac:dyDescent="0.2">
      <c r="B38" s="783"/>
      <c r="C38" s="231"/>
      <c r="D38" s="236"/>
      <c r="E38" s="236"/>
      <c r="F38" s="236"/>
      <c r="G38" s="236"/>
      <c r="H38" s="250"/>
      <c r="I38" s="236"/>
      <c r="J38" s="231"/>
      <c r="K38" s="231"/>
      <c r="L38" s="231"/>
      <c r="M38" s="236"/>
      <c r="N38" s="236"/>
      <c r="O38" s="787"/>
      <c r="P38" s="236"/>
      <c r="Q38" s="236"/>
      <c r="R38" s="236"/>
      <c r="S38" s="231"/>
      <c r="T38" s="231"/>
      <c r="U38" s="231"/>
      <c r="V38" s="231"/>
      <c r="W38" s="231"/>
      <c r="X38" s="231"/>
      <c r="Y38" s="231"/>
      <c r="Z38" s="231"/>
      <c r="AA38" s="231"/>
      <c r="AB38" s="231"/>
      <c r="AC38" s="231"/>
      <c r="AD38" s="231"/>
      <c r="AE38" s="231"/>
      <c r="AF38" s="231"/>
      <c r="AG38" s="231"/>
      <c r="AH38" s="231"/>
      <c r="AI38" s="231"/>
      <c r="AJ38" s="232"/>
    </row>
    <row r="39" spans="2:36" ht="16" x14ac:dyDescent="0.2">
      <c r="B39" s="783"/>
      <c r="C39" s="231"/>
      <c r="D39" s="236"/>
      <c r="E39" s="236"/>
      <c r="F39" s="236"/>
      <c r="G39" s="236"/>
      <c r="H39" s="250"/>
      <c r="I39" s="236"/>
      <c r="J39" s="233"/>
      <c r="K39" s="234" t="s">
        <v>617</v>
      </c>
      <c r="L39" s="235"/>
      <c r="M39" s="236"/>
      <c r="N39" s="236"/>
      <c r="O39" s="787"/>
      <c r="P39" s="236"/>
      <c r="Q39" s="236"/>
      <c r="R39" s="236"/>
      <c r="S39" s="231"/>
      <c r="T39" s="231"/>
      <c r="U39" s="231"/>
      <c r="V39" s="231"/>
      <c r="W39" s="231"/>
      <c r="X39" s="231"/>
      <c r="Y39" s="231"/>
      <c r="Z39" s="231"/>
      <c r="AA39" s="231"/>
      <c r="AB39" s="231"/>
      <c r="AC39" s="231"/>
      <c r="AD39" s="231"/>
      <c r="AE39" s="231"/>
      <c r="AF39" s="231"/>
      <c r="AG39" s="231"/>
      <c r="AH39" s="231"/>
      <c r="AI39" s="231"/>
      <c r="AJ39" s="232"/>
    </row>
    <row r="40" spans="2:36" ht="16" x14ac:dyDescent="0.2">
      <c r="B40" s="783"/>
      <c r="C40" s="231"/>
      <c r="D40" s="236"/>
      <c r="E40" s="236"/>
      <c r="F40" s="236"/>
      <c r="G40" s="236"/>
      <c r="H40" s="250"/>
      <c r="I40" s="236"/>
      <c r="J40" s="231"/>
      <c r="K40" s="231"/>
      <c r="L40" s="231"/>
      <c r="M40" s="236"/>
      <c r="N40" s="236"/>
      <c r="O40" s="787"/>
      <c r="P40" s="236"/>
      <c r="Q40" s="236"/>
      <c r="R40" s="236"/>
      <c r="S40" s="231"/>
      <c r="T40" s="231"/>
      <c r="U40" s="231"/>
      <c r="V40" s="231"/>
      <c r="W40" s="231"/>
      <c r="X40" s="231"/>
      <c r="Y40" s="231"/>
      <c r="Z40" s="231"/>
      <c r="AA40" s="231"/>
      <c r="AB40" s="231"/>
      <c r="AC40" s="231"/>
      <c r="AD40" s="231"/>
      <c r="AE40" s="231"/>
      <c r="AF40" s="231"/>
      <c r="AG40" s="231"/>
      <c r="AH40" s="231"/>
      <c r="AI40" s="231"/>
      <c r="AJ40" s="232"/>
    </row>
    <row r="41" spans="2:36" ht="17" thickBot="1" x14ac:dyDescent="0.25">
      <c r="B41" s="783"/>
      <c r="C41" s="231"/>
      <c r="D41" s="236"/>
      <c r="E41" s="236"/>
      <c r="F41" s="236"/>
      <c r="G41" s="236"/>
      <c r="H41" s="252"/>
      <c r="I41" s="236"/>
      <c r="J41" s="233"/>
      <c r="K41" s="234" t="s">
        <v>618</v>
      </c>
      <c r="L41" s="235"/>
      <c r="M41" s="236"/>
      <c r="N41" s="236"/>
      <c r="O41" s="787"/>
      <c r="P41" s="236"/>
      <c r="Q41" s="236"/>
      <c r="R41" s="236"/>
      <c r="S41" s="231"/>
      <c r="T41" s="231"/>
      <c r="U41" s="231"/>
      <c r="V41" s="231"/>
      <c r="W41" s="231"/>
      <c r="X41" s="231"/>
      <c r="Y41" s="231"/>
      <c r="Z41" s="231"/>
      <c r="AA41" s="231"/>
      <c r="AB41" s="231"/>
      <c r="AC41" s="231"/>
      <c r="AD41" s="231"/>
      <c r="AE41" s="231"/>
      <c r="AF41" s="231"/>
      <c r="AG41" s="231"/>
      <c r="AH41" s="231"/>
      <c r="AI41" s="231"/>
      <c r="AJ41" s="232"/>
    </row>
    <row r="42" spans="2:36" ht="16" x14ac:dyDescent="0.2">
      <c r="B42" s="783"/>
      <c r="C42" s="231"/>
      <c r="D42" s="236"/>
      <c r="E42" s="236"/>
      <c r="F42" s="236"/>
      <c r="G42" s="236"/>
      <c r="H42" s="236"/>
      <c r="I42" s="236"/>
      <c r="J42" s="236"/>
      <c r="K42" s="236"/>
      <c r="L42" s="236"/>
      <c r="M42" s="236"/>
      <c r="N42" s="236"/>
      <c r="O42" s="787"/>
      <c r="P42" s="236"/>
      <c r="Q42" s="236"/>
      <c r="R42" s="236"/>
      <c r="S42" s="231"/>
      <c r="T42" s="231"/>
      <c r="U42" s="231"/>
      <c r="V42" s="231"/>
      <c r="W42" s="231"/>
      <c r="X42" s="231"/>
      <c r="Y42" s="231"/>
      <c r="Z42" s="231"/>
      <c r="AA42" s="231"/>
      <c r="AB42" s="231"/>
      <c r="AC42" s="231"/>
      <c r="AD42" s="231"/>
      <c r="AE42" s="231"/>
      <c r="AF42" s="231"/>
      <c r="AG42" s="231"/>
      <c r="AH42" s="231"/>
      <c r="AI42" s="231"/>
      <c r="AJ42" s="232"/>
    </row>
    <row r="43" spans="2:36" ht="16" x14ac:dyDescent="0.2">
      <c r="B43" s="783"/>
      <c r="C43" s="231"/>
      <c r="D43" s="236"/>
      <c r="E43" s="236"/>
      <c r="F43" s="236"/>
      <c r="G43" s="236"/>
      <c r="H43" s="236"/>
      <c r="I43" s="236"/>
      <c r="J43" s="236"/>
      <c r="K43" s="236"/>
      <c r="L43" s="236"/>
      <c r="M43" s="236"/>
      <c r="N43" s="236"/>
      <c r="O43" s="787"/>
      <c r="P43" s="236"/>
      <c r="Q43" s="236"/>
      <c r="R43" s="236"/>
      <c r="S43" s="231"/>
      <c r="T43" s="231"/>
      <c r="U43" s="231"/>
      <c r="V43" s="231"/>
      <c r="W43" s="231"/>
      <c r="X43" s="231"/>
      <c r="Y43" s="231"/>
      <c r="Z43" s="231"/>
      <c r="AA43" s="231"/>
      <c r="AB43" s="231"/>
      <c r="AC43" s="231"/>
      <c r="AD43" s="231"/>
      <c r="AE43" s="231"/>
      <c r="AF43" s="231"/>
      <c r="AG43" s="231"/>
      <c r="AH43" s="231"/>
      <c r="AI43" s="231"/>
      <c r="AJ43" s="232"/>
    </row>
    <row r="44" spans="2:36" ht="16" x14ac:dyDescent="0.2">
      <c r="B44" s="783"/>
      <c r="C44" s="230" t="s">
        <v>619</v>
      </c>
      <c r="D44" s="236"/>
      <c r="E44" s="236"/>
      <c r="F44" s="236"/>
      <c r="G44" s="236"/>
      <c r="H44" s="236"/>
      <c r="I44" s="236"/>
      <c r="J44" s="236"/>
      <c r="K44" s="236"/>
      <c r="L44" s="236"/>
      <c r="M44" s="236"/>
      <c r="N44" s="236"/>
      <c r="O44" s="787"/>
      <c r="P44" s="236"/>
      <c r="Q44" s="236"/>
      <c r="R44" s="236"/>
      <c r="S44" s="231"/>
      <c r="T44" s="231"/>
      <c r="U44" s="231"/>
      <c r="V44" s="231"/>
      <c r="W44" s="231"/>
      <c r="X44" s="231"/>
      <c r="Y44" s="231"/>
      <c r="Z44" s="231"/>
      <c r="AA44" s="231"/>
      <c r="AB44" s="231"/>
      <c r="AC44" s="231"/>
      <c r="AD44" s="231"/>
      <c r="AE44" s="231"/>
      <c r="AF44" s="231"/>
      <c r="AG44" s="231"/>
      <c r="AH44" s="231"/>
      <c r="AI44" s="231"/>
      <c r="AJ44" s="232"/>
    </row>
    <row r="45" spans="2:36" ht="15" customHeight="1" x14ac:dyDescent="0.2">
      <c r="B45" s="783"/>
      <c r="C45" s="254"/>
      <c r="D45" s="236"/>
      <c r="E45" s="236"/>
      <c r="F45" s="236"/>
      <c r="G45" s="236"/>
      <c r="H45" s="236"/>
      <c r="I45" s="236"/>
      <c r="J45" s="236"/>
      <c r="K45" s="236"/>
      <c r="L45" s="236"/>
      <c r="M45" s="236"/>
      <c r="N45" s="236"/>
      <c r="O45" s="787"/>
      <c r="P45" s="236"/>
      <c r="Q45" s="236"/>
      <c r="R45" s="236"/>
      <c r="S45" s="231"/>
      <c r="T45" s="231"/>
      <c r="U45" s="231"/>
      <c r="V45" s="231"/>
      <c r="W45" s="231"/>
      <c r="X45" s="231"/>
      <c r="Y45" s="231"/>
      <c r="Z45" s="231"/>
      <c r="AA45" s="231"/>
      <c r="AB45" s="231"/>
      <c r="AC45" s="231"/>
      <c r="AD45" s="231"/>
      <c r="AE45" s="231"/>
      <c r="AF45" s="231"/>
      <c r="AG45" s="231"/>
      <c r="AH45" s="231"/>
      <c r="AI45" s="231"/>
      <c r="AJ45" s="232"/>
    </row>
    <row r="46" spans="2:36" ht="16" x14ac:dyDescent="0.2">
      <c r="B46" s="783"/>
      <c r="C46" s="235" t="s">
        <v>620</v>
      </c>
      <c r="D46" s="237"/>
      <c r="E46" s="237"/>
      <c r="F46" s="237"/>
      <c r="G46" s="237"/>
      <c r="H46" s="236"/>
      <c r="I46" s="236"/>
      <c r="J46" s="236"/>
      <c r="K46" s="235" t="s">
        <v>621</v>
      </c>
      <c r="L46" s="237"/>
      <c r="M46" s="237"/>
      <c r="N46" s="237"/>
      <c r="O46" s="788"/>
      <c r="P46" s="253"/>
      <c r="Q46" s="236"/>
      <c r="R46" s="236"/>
      <c r="S46" s="231"/>
      <c r="T46" s="231"/>
      <c r="U46" s="231"/>
      <c r="V46" s="231"/>
      <c r="W46" s="231"/>
      <c r="X46" s="231"/>
      <c r="Y46" s="231"/>
      <c r="Z46" s="231"/>
      <c r="AA46" s="231"/>
      <c r="AB46" s="231"/>
      <c r="AC46" s="231"/>
      <c r="AD46" s="231"/>
      <c r="AE46" s="231"/>
      <c r="AF46" s="231"/>
      <c r="AG46" s="231"/>
      <c r="AH46" s="231"/>
      <c r="AI46" s="231"/>
      <c r="AJ46" s="232"/>
    </row>
    <row r="47" spans="2:36" ht="16" x14ac:dyDescent="0.2">
      <c r="B47" s="783"/>
      <c r="C47" s="231"/>
      <c r="D47" s="236"/>
      <c r="E47" s="236"/>
      <c r="F47" s="236"/>
      <c r="G47" s="236"/>
      <c r="H47" s="236"/>
      <c r="I47" s="236"/>
      <c r="J47" s="236"/>
      <c r="K47" s="236"/>
      <c r="L47" s="254"/>
      <c r="M47" s="254"/>
      <c r="N47" s="254"/>
      <c r="O47" s="782"/>
      <c r="P47" s="254"/>
      <c r="Q47" s="236"/>
      <c r="R47" s="236"/>
      <c r="S47" s="231"/>
      <c r="T47" s="231"/>
      <c r="U47" s="231"/>
      <c r="V47" s="231"/>
      <c r="W47" s="231"/>
      <c r="X47" s="231"/>
      <c r="Y47" s="231"/>
      <c r="Z47" s="231"/>
      <c r="AA47" s="231"/>
      <c r="AB47" s="231"/>
      <c r="AC47" s="231"/>
      <c r="AD47" s="231"/>
      <c r="AE47" s="231"/>
      <c r="AF47" s="231"/>
      <c r="AG47" s="231"/>
      <c r="AH47" s="231"/>
      <c r="AI47" s="231"/>
      <c r="AJ47" s="232"/>
    </row>
    <row r="48" spans="2:36" ht="16" x14ac:dyDescent="0.2">
      <c r="B48" s="783"/>
      <c r="C48" s="235" t="s">
        <v>622</v>
      </c>
      <c r="D48" s="237"/>
      <c r="E48" s="237"/>
      <c r="F48" s="237"/>
      <c r="G48" s="237"/>
      <c r="H48" s="236"/>
      <c r="I48" s="236"/>
      <c r="J48" s="236"/>
      <c r="K48" s="235" t="s">
        <v>623</v>
      </c>
      <c r="L48" s="237"/>
      <c r="M48" s="237"/>
      <c r="N48" s="237"/>
      <c r="O48" s="788"/>
      <c r="P48" s="253"/>
      <c r="Q48" s="236"/>
      <c r="R48" s="236"/>
      <c r="S48" s="231"/>
      <c r="T48" s="231"/>
      <c r="U48" s="231"/>
      <c r="V48" s="231"/>
      <c r="W48" s="231"/>
      <c r="X48" s="231"/>
      <c r="Y48" s="231"/>
      <c r="Z48" s="231"/>
      <c r="AA48" s="231"/>
      <c r="AB48" s="231"/>
      <c r="AC48" s="231"/>
      <c r="AD48" s="231"/>
      <c r="AE48" s="231"/>
      <c r="AF48" s="231"/>
      <c r="AG48" s="231"/>
      <c r="AH48" s="231"/>
      <c r="AI48" s="231"/>
      <c r="AJ48" s="232"/>
    </row>
    <row r="49" spans="2:36" ht="16" x14ac:dyDescent="0.2">
      <c r="B49" s="789"/>
      <c r="C49" s="254"/>
      <c r="D49" s="230"/>
      <c r="E49" s="230"/>
      <c r="F49" s="230"/>
      <c r="G49" s="230"/>
      <c r="H49" s="230"/>
      <c r="I49" s="230"/>
      <c r="J49" s="231"/>
      <c r="K49" s="231"/>
      <c r="L49" s="231"/>
      <c r="M49" s="231"/>
      <c r="N49" s="231"/>
      <c r="O49" s="784"/>
      <c r="P49" s="231"/>
      <c r="Q49" s="231"/>
      <c r="R49" s="231"/>
      <c r="S49" s="231"/>
      <c r="T49" s="231"/>
      <c r="U49" s="231"/>
      <c r="Y49" s="235"/>
      <c r="Z49" s="235"/>
      <c r="AA49" s="235"/>
      <c r="AB49" s="235"/>
      <c r="AC49" s="235"/>
      <c r="AD49" s="235"/>
      <c r="AE49" s="235"/>
      <c r="AF49" s="235"/>
      <c r="AG49" s="235"/>
      <c r="AH49" s="235"/>
      <c r="AI49" s="235"/>
      <c r="AJ49" s="232"/>
    </row>
    <row r="50" spans="2:36" ht="16" x14ac:dyDescent="0.2">
      <c r="B50" s="789"/>
      <c r="C50" s="235" t="s">
        <v>622</v>
      </c>
      <c r="D50" s="237"/>
      <c r="E50" s="237"/>
      <c r="F50" s="237"/>
      <c r="G50" s="237"/>
      <c r="H50" s="236"/>
      <c r="I50" s="236"/>
      <c r="J50" s="236"/>
      <c r="K50" s="235" t="s">
        <v>623</v>
      </c>
      <c r="L50" s="237"/>
      <c r="M50" s="237"/>
      <c r="N50" s="237"/>
      <c r="O50" s="788"/>
      <c r="Q50" s="231"/>
      <c r="R50" s="231"/>
      <c r="S50" s="231"/>
      <c r="T50" s="231"/>
      <c r="U50" s="236"/>
      <c r="Y50" s="231"/>
      <c r="Z50" s="231"/>
      <c r="AA50" s="231"/>
      <c r="AB50" s="231"/>
      <c r="AC50" s="231"/>
      <c r="AD50" s="231"/>
      <c r="AE50" s="231"/>
      <c r="AF50" s="231"/>
      <c r="AG50" s="231"/>
      <c r="AH50" s="231"/>
      <c r="AI50" s="231"/>
      <c r="AJ50" s="232"/>
    </row>
    <row r="51" spans="2:36" ht="16" x14ac:dyDescent="0.2">
      <c r="B51" s="367"/>
      <c r="C51" s="254"/>
      <c r="D51" s="254"/>
      <c r="E51" s="254"/>
      <c r="F51" s="254"/>
      <c r="G51" s="254"/>
      <c r="H51" s="254"/>
      <c r="I51" s="254"/>
      <c r="J51" s="254"/>
      <c r="K51" s="254"/>
      <c r="L51" s="254"/>
      <c r="M51" s="254"/>
      <c r="N51" s="254"/>
      <c r="O51" s="782"/>
      <c r="Q51" s="253"/>
      <c r="U51" s="236"/>
      <c r="Y51" s="235"/>
      <c r="Z51" s="235"/>
      <c r="AA51" s="235"/>
      <c r="AB51" s="235"/>
      <c r="AC51" s="235"/>
      <c r="AD51" s="235"/>
      <c r="AE51" s="235"/>
      <c r="AF51" s="235"/>
      <c r="AG51" s="235"/>
      <c r="AH51" s="235"/>
      <c r="AI51" s="235"/>
      <c r="AJ51" s="232"/>
    </row>
    <row r="52" spans="2:36" ht="16" x14ac:dyDescent="0.2">
      <c r="B52" s="790"/>
      <c r="C52" s="235" t="s">
        <v>624</v>
      </c>
      <c r="D52" s="255"/>
      <c r="E52" s="255"/>
      <c r="F52" s="255"/>
      <c r="G52" s="255"/>
      <c r="H52" s="254"/>
      <c r="I52" s="254"/>
      <c r="J52" s="254"/>
      <c r="K52" s="238"/>
      <c r="L52" s="239"/>
      <c r="M52" s="239"/>
      <c r="N52" s="239"/>
      <c r="O52" s="791"/>
      <c r="P52" s="240"/>
      <c r="Q52" s="240"/>
      <c r="R52" s="254"/>
      <c r="S52" s="254"/>
      <c r="T52" s="254"/>
      <c r="U52" s="236"/>
      <c r="Y52" s="231"/>
      <c r="Z52" s="231"/>
      <c r="AA52" s="231"/>
      <c r="AB52" s="231"/>
      <c r="AC52" s="231"/>
      <c r="AD52" s="231"/>
      <c r="AE52" s="231"/>
      <c r="AF52" s="231"/>
      <c r="AG52" s="231"/>
      <c r="AH52" s="231"/>
      <c r="AI52" s="231"/>
      <c r="AJ52" s="232"/>
    </row>
    <row r="53" spans="2:36" ht="16" x14ac:dyDescent="0.2">
      <c r="B53" s="367"/>
      <c r="C53" s="235"/>
      <c r="D53" s="254"/>
      <c r="E53" s="254"/>
      <c r="F53" s="254"/>
      <c r="G53" s="254"/>
      <c r="H53" s="254"/>
      <c r="I53" s="254"/>
      <c r="J53" s="254"/>
      <c r="K53" s="254"/>
      <c r="L53" s="254"/>
      <c r="M53" s="254"/>
      <c r="N53" s="254"/>
      <c r="O53" s="782"/>
      <c r="P53" s="254"/>
      <c r="Q53" s="253"/>
      <c r="R53" s="254"/>
      <c r="S53" s="254"/>
      <c r="T53" s="254"/>
      <c r="U53" s="236"/>
      <c r="Y53" s="235"/>
      <c r="Z53" s="235"/>
      <c r="AA53" s="235"/>
      <c r="AB53" s="235"/>
      <c r="AC53" s="235"/>
      <c r="AD53" s="235"/>
      <c r="AE53" s="235"/>
      <c r="AF53" s="235"/>
      <c r="AG53" s="235"/>
      <c r="AH53" s="235"/>
      <c r="AI53" s="235"/>
      <c r="AJ53" s="232"/>
    </row>
    <row r="54" spans="2:36" ht="16" x14ac:dyDescent="0.2">
      <c r="B54" s="790"/>
      <c r="C54" s="238"/>
      <c r="D54" s="238"/>
      <c r="E54" s="238"/>
      <c r="F54" s="239"/>
      <c r="G54" s="239"/>
      <c r="H54" s="239"/>
      <c r="I54" s="239"/>
      <c r="J54" s="239"/>
      <c r="K54" s="241"/>
      <c r="L54" s="241"/>
      <c r="M54" s="241"/>
      <c r="N54" s="241"/>
      <c r="O54" s="791"/>
      <c r="P54" s="240"/>
      <c r="Q54" s="240"/>
      <c r="R54" s="240"/>
      <c r="S54" s="240"/>
      <c r="T54" s="240"/>
      <c r="U54" s="231"/>
      <c r="V54" s="231"/>
      <c r="W54" s="231"/>
      <c r="X54" s="231"/>
      <c r="Y54" s="231"/>
      <c r="Z54" s="231"/>
      <c r="AA54" s="231"/>
      <c r="AB54" s="231"/>
      <c r="AC54" s="231"/>
      <c r="AD54" s="231"/>
      <c r="AE54" s="231"/>
      <c r="AF54" s="231"/>
      <c r="AG54" s="231"/>
      <c r="AH54" s="231"/>
      <c r="AI54" s="231"/>
      <c r="AJ54" s="232"/>
    </row>
    <row r="55" spans="2:36" ht="16" x14ac:dyDescent="0.2">
      <c r="B55" s="1060"/>
      <c r="C55" s="1061"/>
      <c r="D55" s="1061"/>
      <c r="E55" s="1061"/>
      <c r="F55" s="1061"/>
      <c r="G55" s="242"/>
      <c r="H55" s="242"/>
      <c r="I55" s="242"/>
      <c r="J55" s="242"/>
      <c r="K55" s="242"/>
      <c r="L55" s="242"/>
      <c r="M55" s="242"/>
      <c r="N55" s="254"/>
      <c r="O55" s="786"/>
      <c r="P55" s="235"/>
      <c r="Q55" s="1062"/>
      <c r="R55" s="1062"/>
      <c r="S55" s="1062"/>
      <c r="T55" s="1062"/>
      <c r="U55" s="231"/>
      <c r="V55" s="231"/>
      <c r="W55" s="231"/>
      <c r="X55" s="231"/>
      <c r="Y55" s="231"/>
      <c r="Z55" s="231"/>
      <c r="AA55" s="231"/>
      <c r="AB55" s="231"/>
      <c r="AC55" s="231"/>
      <c r="AD55" s="231"/>
      <c r="AE55" s="231"/>
      <c r="AF55" s="231"/>
      <c r="AG55" s="231"/>
      <c r="AH55" s="231"/>
      <c r="AI55" s="231"/>
      <c r="AJ55" s="232"/>
    </row>
    <row r="56" spans="2:36" ht="17" thickBot="1" x14ac:dyDescent="0.25">
      <c r="B56" s="792"/>
      <c r="C56" s="793"/>
      <c r="D56" s="794"/>
      <c r="E56" s="794"/>
      <c r="F56" s="794"/>
      <c r="G56" s="794"/>
      <c r="H56" s="794"/>
      <c r="I56" s="794"/>
      <c r="J56" s="794"/>
      <c r="K56" s="794"/>
      <c r="L56" s="794"/>
      <c r="M56" s="794"/>
      <c r="N56" s="794"/>
      <c r="O56" s="795"/>
      <c r="P56" s="231"/>
      <c r="Q56" s="231"/>
      <c r="R56" s="231"/>
      <c r="S56" s="231"/>
      <c r="T56" s="231"/>
      <c r="U56" s="231"/>
      <c r="V56" s="243"/>
      <c r="W56" s="243"/>
      <c r="X56" s="243"/>
      <c r="Y56" s="243"/>
      <c r="Z56" s="243"/>
      <c r="AA56" s="243"/>
      <c r="AB56" s="243"/>
      <c r="AC56" s="243"/>
      <c r="AD56" s="243"/>
      <c r="AE56" s="243"/>
      <c r="AF56" s="243"/>
      <c r="AG56" s="243"/>
      <c r="AH56" s="243"/>
      <c r="AI56" s="243"/>
      <c r="AJ56" s="244"/>
    </row>
    <row r="57" spans="2:36" x14ac:dyDescent="0.15">
      <c r="P57" s="254"/>
      <c r="Q57" s="254"/>
      <c r="R57" s="254"/>
      <c r="S57" s="254"/>
      <c r="T57" s="254"/>
      <c r="U57" s="254"/>
    </row>
    <row r="58" spans="2:36" x14ac:dyDescent="0.15">
      <c r="P58" s="254"/>
      <c r="Q58" s="254"/>
      <c r="R58" s="254"/>
      <c r="S58" s="254"/>
      <c r="T58" s="254"/>
      <c r="U58" s="254"/>
    </row>
    <row r="59" spans="2:36" x14ac:dyDescent="0.15">
      <c r="P59" s="254"/>
      <c r="Q59" s="254"/>
      <c r="R59" s="254"/>
      <c r="S59" s="254"/>
      <c r="T59" s="254"/>
      <c r="U59" s="254"/>
    </row>
  </sheetData>
  <mergeCells count="8">
    <mergeCell ref="B55:F55"/>
    <mergeCell ref="Q55:T55"/>
    <mergeCell ref="B14:G14"/>
    <mergeCell ref="B29:G29"/>
    <mergeCell ref="B13:G13"/>
    <mergeCell ref="I13:O13"/>
    <mergeCell ref="I14:O14"/>
    <mergeCell ref="I29:O29"/>
  </mergeCells>
  <pageMargins left="0.7" right="0.7" top="0.75" bottom="0.75" header="0.3" footer="0.3"/>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8"/>
  <sheetViews>
    <sheetView showGridLines="0" zoomScale="90" zoomScaleNormal="90" workbookViewId="0"/>
  </sheetViews>
  <sheetFormatPr baseColWidth="10" defaultColWidth="10.83203125" defaultRowHeight="16" x14ac:dyDescent="0.2"/>
  <cols>
    <col min="1" max="1" width="3.83203125" style="157" customWidth="1"/>
    <col min="2" max="2" width="47.5" style="157" bestFit="1" customWidth="1"/>
    <col min="3" max="3" width="24.1640625" style="157" customWidth="1"/>
    <col min="4" max="5" width="16.83203125" style="157" bestFit="1" customWidth="1"/>
    <col min="6" max="6" width="21.1640625" style="157" customWidth="1"/>
    <col min="7" max="7" width="16.83203125" style="157" bestFit="1" customWidth="1"/>
    <col min="8" max="8" width="22.5" style="157" customWidth="1"/>
    <col min="9" max="9" width="20.5" style="157" customWidth="1"/>
    <col min="10" max="10" width="21.5" style="157" customWidth="1"/>
    <col min="11" max="16384" width="10.83203125" style="157"/>
  </cols>
  <sheetData>
    <row r="1" spans="2:10" ht="17" thickBot="1" x14ac:dyDescent="0.25"/>
    <row r="2" spans="2:10" x14ac:dyDescent="0.2">
      <c r="B2" s="800"/>
      <c r="C2" s="801"/>
      <c r="D2" s="801"/>
      <c r="E2" s="801"/>
      <c r="F2" s="801"/>
      <c r="G2" s="801"/>
      <c r="H2" s="801"/>
      <c r="I2" s="801"/>
      <c r="J2" s="802"/>
    </row>
    <row r="3" spans="2:10" x14ac:dyDescent="0.2">
      <c r="B3" s="803"/>
      <c r="C3" s="804"/>
      <c r="D3" s="804"/>
      <c r="E3" s="804"/>
      <c r="F3" s="804"/>
      <c r="G3" s="804"/>
      <c r="H3" s="804"/>
      <c r="I3" s="804"/>
      <c r="J3" s="805"/>
    </row>
    <row r="4" spans="2:10" x14ac:dyDescent="0.2">
      <c r="B4" s="803"/>
      <c r="C4" s="804"/>
      <c r="D4" s="804"/>
      <c r="E4" s="804"/>
      <c r="F4" s="804"/>
      <c r="G4" s="804"/>
      <c r="H4" s="804"/>
      <c r="I4" s="804"/>
      <c r="J4" s="805"/>
    </row>
    <row r="5" spans="2:10" x14ac:dyDescent="0.2">
      <c r="B5" s="803"/>
      <c r="C5" s="804"/>
      <c r="D5" s="804"/>
      <c r="E5" s="804"/>
      <c r="F5" s="804"/>
      <c r="G5" s="804"/>
      <c r="H5" s="804"/>
      <c r="I5" s="804"/>
      <c r="J5" s="805"/>
    </row>
    <row r="6" spans="2:10" x14ac:dyDescent="0.2">
      <c r="B6" s="803"/>
      <c r="C6" s="804"/>
      <c r="D6" s="804"/>
      <c r="E6" s="804"/>
      <c r="F6" s="804"/>
      <c r="G6" s="804"/>
      <c r="H6" s="804"/>
      <c r="I6" s="804"/>
      <c r="J6" s="805"/>
    </row>
    <row r="7" spans="2:10" x14ac:dyDescent="0.2">
      <c r="B7" s="803"/>
      <c r="C7" s="804"/>
      <c r="D7" s="804"/>
      <c r="E7" s="804"/>
      <c r="F7" s="804"/>
      <c r="G7" s="804"/>
      <c r="H7" s="804"/>
      <c r="I7" s="804"/>
      <c r="J7" s="805"/>
    </row>
    <row r="8" spans="2:10" x14ac:dyDescent="0.2">
      <c r="B8" s="803"/>
      <c r="C8" s="804"/>
      <c r="D8" s="804"/>
      <c r="E8" s="804"/>
      <c r="F8" s="804"/>
      <c r="G8" s="804"/>
      <c r="H8" s="804"/>
      <c r="I8" s="804"/>
      <c r="J8" s="805"/>
    </row>
    <row r="9" spans="2:10" x14ac:dyDescent="0.2">
      <c r="B9" s="803"/>
      <c r="C9" s="804"/>
      <c r="D9" s="804"/>
      <c r="E9" s="804"/>
      <c r="F9" s="804"/>
      <c r="G9" s="804"/>
      <c r="H9" s="804"/>
      <c r="I9" s="804"/>
      <c r="J9" s="805"/>
    </row>
    <row r="10" spans="2:10" ht="22" thickBot="1" x14ac:dyDescent="0.3">
      <c r="B10" s="806" t="s">
        <v>625</v>
      </c>
      <c r="C10" s="804"/>
      <c r="D10" s="804"/>
      <c r="E10" s="804"/>
      <c r="F10" s="804"/>
      <c r="G10" s="804"/>
      <c r="H10" s="804"/>
      <c r="I10" s="804"/>
      <c r="J10" s="805"/>
    </row>
    <row r="11" spans="2:10" ht="24" x14ac:dyDescent="0.3">
      <c r="B11" s="796" t="s">
        <v>626</v>
      </c>
      <c r="C11" s="1074">
        <v>130000</v>
      </c>
      <c r="D11" s="1075"/>
      <c r="E11" s="1076">
        <v>200000</v>
      </c>
      <c r="F11" s="1077"/>
      <c r="G11" s="1078">
        <v>225000</v>
      </c>
      <c r="H11" s="1079"/>
      <c r="I11" s="1078">
        <v>250000</v>
      </c>
      <c r="J11" s="1079"/>
    </row>
    <row r="12" spans="2:10" x14ac:dyDescent="0.2">
      <c r="B12" s="797">
        <v>0.65</v>
      </c>
      <c r="C12" s="158">
        <f>$B$12*C11</f>
        <v>84500</v>
      </c>
      <c r="D12" s="159">
        <f>$B$12*C11</f>
        <v>84500</v>
      </c>
      <c r="E12" s="160">
        <f t="shared" ref="E12:I12" si="0">$B$12*E11</f>
        <v>130000</v>
      </c>
      <c r="F12" s="159">
        <f>$B$12*E11</f>
        <v>130000</v>
      </c>
      <c r="G12" s="160">
        <f t="shared" si="0"/>
        <v>146250</v>
      </c>
      <c r="H12" s="159">
        <f>$B$12*G11</f>
        <v>146250</v>
      </c>
      <c r="I12" s="160">
        <f t="shared" si="0"/>
        <v>162500</v>
      </c>
      <c r="J12" s="159">
        <f>$B$12*I11</f>
        <v>162500</v>
      </c>
    </row>
    <row r="13" spans="2:10" ht="19" x14ac:dyDescent="0.25">
      <c r="B13" s="798" t="s">
        <v>627</v>
      </c>
      <c r="C13" s="161">
        <v>50000</v>
      </c>
      <c r="D13" s="162">
        <v>30000</v>
      </c>
      <c r="E13" s="163">
        <v>60000</v>
      </c>
      <c r="F13" s="162">
        <v>40000</v>
      </c>
      <c r="G13" s="163">
        <v>70000</v>
      </c>
      <c r="H13" s="162">
        <v>50000</v>
      </c>
      <c r="I13" s="163">
        <v>80000</v>
      </c>
      <c r="J13" s="164">
        <v>60000</v>
      </c>
    </row>
    <row r="14" spans="2:10" ht="22" thickBot="1" x14ac:dyDescent="0.3">
      <c r="B14" s="799" t="s">
        <v>628</v>
      </c>
      <c r="C14" s="165">
        <f>C12-C13</f>
        <v>34500</v>
      </c>
      <c r="D14" s="166">
        <f>D12-D13</f>
        <v>54500</v>
      </c>
      <c r="E14" s="165">
        <f t="shared" ref="E14:J14" si="1">E12-E13</f>
        <v>70000</v>
      </c>
      <c r="F14" s="166">
        <f t="shared" si="1"/>
        <v>90000</v>
      </c>
      <c r="G14" s="165">
        <f t="shared" si="1"/>
        <v>76250</v>
      </c>
      <c r="H14" s="166">
        <f t="shared" si="1"/>
        <v>96250</v>
      </c>
      <c r="I14" s="165">
        <f t="shared" si="1"/>
        <v>82500</v>
      </c>
      <c r="J14" s="166">
        <f t="shared" si="1"/>
        <v>102500</v>
      </c>
    </row>
    <row r="15" spans="2:10" x14ac:dyDescent="0.2">
      <c r="B15" s="803"/>
      <c r="C15" s="804"/>
      <c r="D15" s="804"/>
      <c r="E15" s="804"/>
      <c r="F15" s="804"/>
      <c r="G15" s="804"/>
      <c r="H15" s="804"/>
      <c r="I15" s="804"/>
      <c r="J15" s="805"/>
    </row>
    <row r="16" spans="2:10" x14ac:dyDescent="0.2">
      <c r="B16" s="803"/>
      <c r="C16" s="804">
        <v>55000</v>
      </c>
      <c r="D16" s="804"/>
      <c r="E16" s="804"/>
      <c r="F16" s="804"/>
      <c r="G16" s="804"/>
      <c r="H16" s="804"/>
      <c r="I16" s="804"/>
      <c r="J16" s="805"/>
    </row>
    <row r="17" spans="2:10" x14ac:dyDescent="0.2">
      <c r="B17" s="803"/>
      <c r="C17" s="804">
        <v>50000</v>
      </c>
      <c r="D17" s="804"/>
      <c r="E17" s="804"/>
      <c r="F17" s="804"/>
      <c r="G17" s="804"/>
      <c r="H17" s="804"/>
      <c r="I17" s="804"/>
      <c r="J17" s="805"/>
    </row>
    <row r="18" spans="2:10" x14ac:dyDescent="0.2">
      <c r="B18" s="803"/>
      <c r="C18" s="804"/>
      <c r="D18" s="804"/>
      <c r="E18" s="804"/>
      <c r="F18" s="804"/>
      <c r="G18" s="804"/>
      <c r="H18" s="804"/>
      <c r="I18" s="804"/>
      <c r="J18" s="805"/>
    </row>
    <row r="19" spans="2:10" x14ac:dyDescent="0.2">
      <c r="B19" s="803"/>
      <c r="C19" s="804">
        <f>SUM(C16:C18)</f>
        <v>105000</v>
      </c>
      <c r="D19" s="804"/>
      <c r="E19" s="804"/>
      <c r="F19" s="804"/>
      <c r="G19" s="804"/>
      <c r="H19" s="804"/>
      <c r="I19" s="804"/>
      <c r="J19" s="805"/>
    </row>
    <row r="20" spans="2:10" x14ac:dyDescent="0.2">
      <c r="B20" s="803">
        <v>0.06</v>
      </c>
      <c r="C20" s="807">
        <f>B20*C11</f>
        <v>7800</v>
      </c>
      <c r="D20" s="804"/>
      <c r="E20" s="804"/>
      <c r="F20" s="804"/>
      <c r="G20" s="804"/>
      <c r="H20" s="804"/>
      <c r="I20" s="804"/>
      <c r="J20" s="805"/>
    </row>
    <row r="21" spans="2:10" x14ac:dyDescent="0.2">
      <c r="B21" s="803"/>
      <c r="C21" s="804"/>
      <c r="D21" s="804"/>
      <c r="E21" s="804"/>
      <c r="F21" s="804"/>
      <c r="G21" s="804"/>
      <c r="H21" s="804"/>
      <c r="I21" s="804"/>
      <c r="J21" s="805"/>
    </row>
    <row r="22" spans="2:10" x14ac:dyDescent="0.2">
      <c r="B22" s="803"/>
      <c r="C22" s="807">
        <f>C19+C20</f>
        <v>112800</v>
      </c>
      <c r="D22" s="804"/>
      <c r="E22" s="804"/>
      <c r="F22" s="804"/>
      <c r="G22" s="804"/>
      <c r="H22" s="804"/>
      <c r="I22" s="804"/>
      <c r="J22" s="805"/>
    </row>
    <row r="23" spans="2:10" x14ac:dyDescent="0.2">
      <c r="B23" s="803"/>
      <c r="C23" s="804"/>
      <c r="D23" s="804"/>
      <c r="E23" s="804"/>
      <c r="F23" s="804"/>
      <c r="G23" s="804"/>
      <c r="H23" s="804"/>
      <c r="I23" s="804"/>
      <c r="J23" s="805"/>
    </row>
    <row r="24" spans="2:10" x14ac:dyDescent="0.2">
      <c r="B24" s="803"/>
      <c r="C24" s="804"/>
      <c r="D24" s="804"/>
      <c r="E24" s="804"/>
      <c r="F24" s="804"/>
      <c r="G24" s="804"/>
      <c r="H24" s="804"/>
      <c r="I24" s="804"/>
      <c r="J24" s="805"/>
    </row>
    <row r="25" spans="2:10" x14ac:dyDescent="0.2">
      <c r="B25" s="803"/>
      <c r="C25" s="804"/>
      <c r="D25" s="804"/>
      <c r="E25" s="804"/>
      <c r="F25" s="804"/>
      <c r="G25" s="804"/>
      <c r="H25" s="804"/>
      <c r="I25" s="804"/>
      <c r="J25" s="805"/>
    </row>
    <row r="26" spans="2:10" x14ac:dyDescent="0.2">
      <c r="B26" s="803"/>
      <c r="C26" s="804"/>
      <c r="D26" s="804"/>
      <c r="E26" s="804"/>
      <c r="F26" s="804"/>
      <c r="G26" s="804"/>
      <c r="H26" s="804"/>
      <c r="I26" s="804"/>
      <c r="J26" s="805"/>
    </row>
    <row r="27" spans="2:10" x14ac:dyDescent="0.2">
      <c r="B27" s="808">
        <v>45000</v>
      </c>
      <c r="C27" s="804" t="s">
        <v>629</v>
      </c>
      <c r="D27" s="804"/>
      <c r="E27" s="804"/>
      <c r="F27" s="804"/>
      <c r="G27" s="804"/>
      <c r="H27" s="804"/>
      <c r="I27" s="804"/>
      <c r="J27" s="805"/>
    </row>
    <row r="28" spans="2:10" ht="17" thickBot="1" x14ac:dyDescent="0.25">
      <c r="B28" s="809"/>
      <c r="C28" s="810"/>
      <c r="D28" s="810"/>
      <c r="E28" s="810"/>
      <c r="F28" s="810"/>
      <c r="G28" s="810"/>
      <c r="H28" s="810"/>
      <c r="I28" s="810"/>
      <c r="J28" s="811"/>
    </row>
  </sheetData>
  <mergeCells count="4">
    <mergeCell ref="C11:D11"/>
    <mergeCell ref="E11:F11"/>
    <mergeCell ref="G11:H11"/>
    <mergeCell ref="I11:J11"/>
  </mergeCells>
  <pageMargins left="0.7" right="0.7" top="0.75" bottom="0.75" header="0.3" footer="0.3"/>
  <pageSetup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C26"/>
  <sheetViews>
    <sheetView workbookViewId="0">
      <selection activeCell="A25" sqref="A25"/>
    </sheetView>
  </sheetViews>
  <sheetFormatPr baseColWidth="10" defaultColWidth="11.5" defaultRowHeight="13" x14ac:dyDescent="0.15"/>
  <cols>
    <col min="1" max="12" width="3.5" customWidth="1"/>
    <col min="13" max="13" width="1.5" customWidth="1"/>
    <col min="14" max="40" width="4.83203125" customWidth="1"/>
    <col min="41" max="41" width="1.5" customWidth="1"/>
    <col min="42" max="68" width="4.83203125" customWidth="1"/>
    <col min="69" max="69" width="1.5" customWidth="1"/>
    <col min="70" max="81" width="3.83203125" customWidth="1"/>
  </cols>
  <sheetData>
    <row r="1" spans="1:81" ht="16" x14ac:dyDescent="0.15">
      <c r="A1" s="183"/>
      <c r="B1" s="183"/>
      <c r="C1" s="183"/>
      <c r="D1" s="183"/>
      <c r="E1" s="183"/>
      <c r="F1" s="183"/>
      <c r="G1" s="183"/>
      <c r="H1" s="183"/>
      <c r="I1" s="183"/>
      <c r="J1" s="183"/>
      <c r="K1" s="183"/>
      <c r="L1" s="183"/>
      <c r="M1" s="183"/>
      <c r="N1" s="183"/>
      <c r="O1" s="183"/>
      <c r="P1" s="183"/>
      <c r="Q1" s="183"/>
      <c r="R1" s="183"/>
      <c r="S1" s="1142" t="s">
        <v>630</v>
      </c>
      <c r="T1" s="1142"/>
      <c r="U1" s="1142"/>
      <c r="V1" s="1142"/>
      <c r="W1" s="1142"/>
      <c r="X1" s="1142"/>
      <c r="Y1" s="1142"/>
      <c r="Z1" s="1142"/>
      <c r="AA1" s="1142"/>
      <c r="AB1" s="1142"/>
      <c r="AC1" s="1142"/>
      <c r="AD1" s="1142"/>
      <c r="AE1" s="1142"/>
      <c r="AF1" s="1142"/>
      <c r="AG1" s="1142"/>
      <c r="AH1" s="1142"/>
      <c r="AI1" s="1142"/>
      <c r="AJ1" s="1142"/>
      <c r="AK1" s="1142"/>
      <c r="AL1" s="1142"/>
      <c r="AM1" s="1142"/>
      <c r="AN1" s="1142"/>
      <c r="AO1" s="184"/>
      <c r="AP1" s="183"/>
      <c r="AQ1" s="183"/>
      <c r="AR1" s="183"/>
      <c r="AS1" s="183"/>
      <c r="AT1" s="183"/>
      <c r="AU1" s="1142" t="s">
        <v>631</v>
      </c>
      <c r="AV1" s="1142"/>
      <c r="AW1" s="1142"/>
      <c r="AX1" s="1142"/>
      <c r="AY1" s="1142"/>
      <c r="AZ1" s="1142"/>
      <c r="BA1" s="1142"/>
      <c r="BB1" s="1142"/>
      <c r="BC1" s="1142"/>
      <c r="BD1" s="1142"/>
      <c r="BE1" s="1142"/>
      <c r="BF1" s="1142"/>
      <c r="BG1" s="1142"/>
      <c r="BH1" s="1142"/>
      <c r="BI1" s="1142"/>
      <c r="BJ1" s="1142"/>
      <c r="BK1" s="1142"/>
      <c r="BL1" s="1142"/>
      <c r="BM1" s="1142"/>
      <c r="BN1" s="1142"/>
      <c r="BO1" s="1142"/>
      <c r="BP1" s="1142"/>
      <c r="BQ1" s="183"/>
      <c r="BR1" s="183"/>
      <c r="BS1" s="183"/>
      <c r="BT1" s="183"/>
      <c r="BU1" s="183"/>
      <c r="BV1" s="183"/>
      <c r="BW1" s="183"/>
      <c r="BX1" s="183"/>
      <c r="BY1" s="183"/>
      <c r="BZ1" s="183"/>
      <c r="CA1" s="183"/>
      <c r="CB1" s="183"/>
      <c r="CC1" s="183"/>
    </row>
    <row r="2" spans="1:81" ht="17" thickBot="1" x14ac:dyDescent="0.2">
      <c r="A2" s="183"/>
      <c r="B2" s="185"/>
      <c r="C2" s="185"/>
      <c r="D2" s="185"/>
      <c r="E2" s="185"/>
      <c r="F2" s="185"/>
      <c r="G2" s="185"/>
      <c r="H2" s="185"/>
      <c r="I2" s="185"/>
      <c r="J2" s="183"/>
      <c r="K2" s="183"/>
      <c r="L2" s="183"/>
      <c r="M2" s="183"/>
      <c r="N2" s="1140" t="s">
        <v>632</v>
      </c>
      <c r="O2" s="1140"/>
      <c r="P2" s="1140"/>
      <c r="Q2" s="1140"/>
      <c r="R2" s="1140"/>
      <c r="S2" s="1143"/>
      <c r="T2" s="1143"/>
      <c r="U2" s="1143"/>
      <c r="V2" s="1143"/>
      <c r="W2" s="1143"/>
      <c r="X2" s="1143"/>
      <c r="Y2" s="1143"/>
      <c r="Z2" s="1143"/>
      <c r="AA2" s="1143"/>
      <c r="AB2" s="1143"/>
      <c r="AC2" s="1143"/>
      <c r="AD2" s="1143"/>
      <c r="AE2" s="1143"/>
      <c r="AF2" s="1143"/>
      <c r="AG2" s="1143"/>
      <c r="AH2" s="1143"/>
      <c r="AI2" s="1143"/>
      <c r="AJ2" s="1143"/>
      <c r="AK2" s="1143"/>
      <c r="AL2" s="1143"/>
      <c r="AM2" s="1143"/>
      <c r="AN2" s="1143"/>
      <c r="AO2" s="184"/>
      <c r="AP2" s="1140" t="s">
        <v>632</v>
      </c>
      <c r="AQ2" s="1140"/>
      <c r="AR2" s="1140"/>
      <c r="AS2" s="1140"/>
      <c r="AT2" s="1140"/>
      <c r="AU2" s="1143"/>
      <c r="AV2" s="1143"/>
      <c r="AW2" s="1143"/>
      <c r="AX2" s="1143"/>
      <c r="AY2" s="1143"/>
      <c r="AZ2" s="1143"/>
      <c r="BA2" s="1143"/>
      <c r="BB2" s="1143"/>
      <c r="BC2" s="1143"/>
      <c r="BD2" s="1143"/>
      <c r="BE2" s="1143"/>
      <c r="BF2" s="1143"/>
      <c r="BG2" s="1143"/>
      <c r="BH2" s="1143"/>
      <c r="BI2" s="1143"/>
      <c r="BJ2" s="1143"/>
      <c r="BK2" s="1143"/>
      <c r="BL2" s="1143"/>
      <c r="BM2" s="1143"/>
      <c r="BN2" s="1143"/>
      <c r="BO2" s="1143"/>
      <c r="BP2" s="1143"/>
      <c r="BQ2" s="183"/>
      <c r="BR2" s="183"/>
      <c r="BS2" s="183"/>
      <c r="BT2" s="183"/>
      <c r="BU2" s="183"/>
      <c r="BV2" s="183"/>
      <c r="BW2" s="183"/>
      <c r="BX2" s="183"/>
      <c r="BY2" s="183"/>
      <c r="BZ2" s="183"/>
      <c r="CA2" s="183"/>
      <c r="CB2" s="183"/>
      <c r="CC2" s="183"/>
    </row>
    <row r="3" spans="1:81" ht="16" x14ac:dyDescent="0.15">
      <c r="A3" s="1162" t="s">
        <v>633</v>
      </c>
      <c r="B3" s="1163"/>
      <c r="C3" s="1163"/>
      <c r="D3" s="1163"/>
      <c r="E3" s="1163"/>
      <c r="F3" s="1163"/>
      <c r="G3" s="1163"/>
      <c r="H3" s="1163"/>
      <c r="I3" s="1163"/>
      <c r="J3" s="1163"/>
      <c r="K3" s="1163"/>
      <c r="L3" s="1164"/>
      <c r="M3" s="183"/>
      <c r="N3" s="1141">
        <v>1000</v>
      </c>
      <c r="O3" s="1141"/>
      <c r="P3" s="1141"/>
      <c r="Q3" s="1141"/>
      <c r="R3" s="1141"/>
      <c r="S3" s="1132" t="s">
        <v>634</v>
      </c>
      <c r="T3" s="1132"/>
      <c r="U3" s="1132"/>
      <c r="V3" s="1132"/>
      <c r="W3" s="1132"/>
      <c r="X3" s="1132" t="s">
        <v>635</v>
      </c>
      <c r="Y3" s="1132"/>
      <c r="Z3" s="1132"/>
      <c r="AA3" s="1132"/>
      <c r="AB3" s="1132"/>
      <c r="AC3" s="1132" t="s">
        <v>636</v>
      </c>
      <c r="AD3" s="1132"/>
      <c r="AE3" s="1132"/>
      <c r="AF3" s="1132"/>
      <c r="AG3" s="1132"/>
      <c r="AH3" s="1132" t="s">
        <v>637</v>
      </c>
      <c r="AI3" s="1132"/>
      <c r="AJ3" s="1132"/>
      <c r="AK3" s="1132"/>
      <c r="AL3" s="1132" t="s">
        <v>638</v>
      </c>
      <c r="AM3" s="1132"/>
      <c r="AN3" s="1132"/>
      <c r="AO3" s="184"/>
      <c r="AP3" s="1141">
        <v>5000</v>
      </c>
      <c r="AQ3" s="1141"/>
      <c r="AR3" s="1141"/>
      <c r="AS3" s="1141"/>
      <c r="AT3" s="1141"/>
      <c r="AU3" s="1132" t="s">
        <v>2</v>
      </c>
      <c r="AV3" s="1132"/>
      <c r="AW3" s="1132"/>
      <c r="AX3" s="1132"/>
      <c r="AY3" s="1132"/>
      <c r="AZ3" s="1132" t="s">
        <v>635</v>
      </c>
      <c r="BA3" s="1132"/>
      <c r="BB3" s="1132"/>
      <c r="BC3" s="1132"/>
      <c r="BD3" s="1132"/>
      <c r="BE3" s="1132" t="s">
        <v>636</v>
      </c>
      <c r="BF3" s="1132"/>
      <c r="BG3" s="1132"/>
      <c r="BH3" s="1132"/>
      <c r="BI3" s="1132"/>
      <c r="BJ3" s="1132" t="s">
        <v>637</v>
      </c>
      <c r="BK3" s="1132"/>
      <c r="BL3" s="1132"/>
      <c r="BM3" s="1132"/>
      <c r="BN3" s="1132" t="s">
        <v>638</v>
      </c>
      <c r="BO3" s="1132"/>
      <c r="BP3" s="1132"/>
      <c r="BQ3" s="183"/>
      <c r="BR3" s="1162" t="s">
        <v>639</v>
      </c>
      <c r="BS3" s="1163"/>
      <c r="BT3" s="1163"/>
      <c r="BU3" s="1163"/>
      <c r="BV3" s="1163"/>
      <c r="BW3" s="1163"/>
      <c r="BX3" s="1163"/>
      <c r="BY3" s="1163"/>
      <c r="BZ3" s="1163"/>
      <c r="CA3" s="1163"/>
      <c r="CB3" s="1163"/>
      <c r="CC3" s="1164"/>
    </row>
    <row r="4" spans="1:81" ht="16" x14ac:dyDescent="0.15">
      <c r="A4" s="1165"/>
      <c r="B4" s="1166"/>
      <c r="C4" s="1166"/>
      <c r="D4" s="1166"/>
      <c r="E4" s="1166"/>
      <c r="F4" s="1166"/>
      <c r="G4" s="1166"/>
      <c r="H4" s="1166"/>
      <c r="I4" s="1166"/>
      <c r="J4" s="1166"/>
      <c r="K4" s="1166"/>
      <c r="L4" s="1167"/>
      <c r="M4" s="183"/>
      <c r="N4" s="1125" t="s">
        <v>163</v>
      </c>
      <c r="O4" s="1125"/>
      <c r="P4" s="1125"/>
      <c r="Q4" s="1125"/>
      <c r="R4" s="1125"/>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84"/>
      <c r="AP4" s="1125" t="s">
        <v>634</v>
      </c>
      <c r="AQ4" s="1125"/>
      <c r="AR4" s="1125"/>
      <c r="AS4" s="1125"/>
      <c r="AT4" s="1125"/>
      <c r="AU4" s="1132"/>
      <c r="AV4" s="1132"/>
      <c r="AW4" s="1132"/>
      <c r="AX4" s="1132"/>
      <c r="AY4" s="1132"/>
      <c r="AZ4" s="1132"/>
      <c r="BA4" s="1132"/>
      <c r="BB4" s="1132"/>
      <c r="BC4" s="1132"/>
      <c r="BD4" s="1132"/>
      <c r="BE4" s="1132"/>
      <c r="BF4" s="1132"/>
      <c r="BG4" s="1132"/>
      <c r="BH4" s="1132"/>
      <c r="BI4" s="1132"/>
      <c r="BJ4" s="1132"/>
      <c r="BK4" s="1132"/>
      <c r="BL4" s="1132"/>
      <c r="BM4" s="1132"/>
      <c r="BN4" s="1132"/>
      <c r="BO4" s="1132"/>
      <c r="BP4" s="1132"/>
      <c r="BQ4" s="183"/>
      <c r="BR4" s="1165"/>
      <c r="BS4" s="1166"/>
      <c r="BT4" s="1166"/>
      <c r="BU4" s="1166"/>
      <c r="BV4" s="1166"/>
      <c r="BW4" s="1166"/>
      <c r="BX4" s="1166"/>
      <c r="BY4" s="1166"/>
      <c r="BZ4" s="1166"/>
      <c r="CA4" s="1166"/>
      <c r="CB4" s="1166"/>
      <c r="CC4" s="1167"/>
    </row>
    <row r="5" spans="1:81" ht="17" thickBot="1" x14ac:dyDescent="0.2">
      <c r="A5" s="1168"/>
      <c r="B5" s="1169"/>
      <c r="C5" s="1169"/>
      <c r="D5" s="1169"/>
      <c r="E5" s="1169"/>
      <c r="F5" s="1169"/>
      <c r="G5" s="1169"/>
      <c r="H5" s="1169"/>
      <c r="I5" s="1169"/>
      <c r="J5" s="1169"/>
      <c r="K5" s="1169"/>
      <c r="L5" s="1170"/>
      <c r="M5" s="183"/>
      <c r="N5" s="1109">
        <f>N6-$O$7</f>
        <v>0</v>
      </c>
      <c r="O5" s="1109"/>
      <c r="P5" s="1109"/>
      <c r="Q5" s="1109"/>
      <c r="R5" s="1109"/>
      <c r="S5" s="1082">
        <f t="shared" ref="S5:S13" si="0">$I$15</f>
        <v>0</v>
      </c>
      <c r="T5" s="1082"/>
      <c r="U5" s="1082"/>
      <c r="V5" s="1082"/>
      <c r="W5" s="1082"/>
      <c r="X5" s="1082">
        <v>0</v>
      </c>
      <c r="Y5" s="1083"/>
      <c r="Z5" s="1083"/>
      <c r="AA5" s="1083"/>
      <c r="AB5" s="1083"/>
      <c r="AC5" s="1082">
        <f>S5-X5</f>
        <v>0</v>
      </c>
      <c r="AD5" s="1083"/>
      <c r="AE5" s="1083"/>
      <c r="AF5" s="1083"/>
      <c r="AG5" s="1083"/>
      <c r="AH5" s="1082">
        <f>IFERROR(AC5/$I$19,0)</f>
        <v>0</v>
      </c>
      <c r="AI5" s="1082"/>
      <c r="AJ5" s="1082"/>
      <c r="AK5" s="1082"/>
      <c r="AL5" s="1084">
        <v>0</v>
      </c>
      <c r="AM5" s="1084"/>
      <c r="AN5" s="1084"/>
      <c r="AO5" s="183"/>
      <c r="AP5" s="1109">
        <f>AP6-$AQ$7</f>
        <v>130000</v>
      </c>
      <c r="AQ5" s="1109"/>
      <c r="AR5" s="1109"/>
      <c r="AS5" s="1109"/>
      <c r="AT5" s="1109"/>
      <c r="AU5" s="1082">
        <f t="shared" ref="AU5:AU13" si="1">Purchase_Price_Sensitivity</f>
        <v>0</v>
      </c>
      <c r="AV5" s="1082"/>
      <c r="AW5" s="1082"/>
      <c r="AX5" s="1082"/>
      <c r="AY5" s="1082"/>
      <c r="AZ5" s="1082">
        <v>0</v>
      </c>
      <c r="BA5" s="1083"/>
      <c r="BB5" s="1083"/>
      <c r="BC5" s="1083"/>
      <c r="BD5" s="1083"/>
      <c r="BE5" s="1082">
        <f>AP5-AZ5</f>
        <v>130000</v>
      </c>
      <c r="BF5" s="1083"/>
      <c r="BG5" s="1083"/>
      <c r="BH5" s="1083"/>
      <c r="BI5" s="1083"/>
      <c r="BJ5" s="1082">
        <f>IFERROR(BE5/$I$19,0)</f>
        <v>0</v>
      </c>
      <c r="BK5" s="1082"/>
      <c r="BL5" s="1082"/>
      <c r="BM5" s="1082"/>
      <c r="BN5" s="1084">
        <v>0</v>
      </c>
      <c r="BO5" s="1084"/>
      <c r="BP5" s="1084"/>
      <c r="BQ5" s="183"/>
      <c r="BR5" s="1168"/>
      <c r="BS5" s="1169"/>
      <c r="BT5" s="1169"/>
      <c r="BU5" s="1169"/>
      <c r="BV5" s="1169"/>
      <c r="BW5" s="1169"/>
      <c r="BX5" s="1169"/>
      <c r="BY5" s="1169"/>
      <c r="BZ5" s="1169"/>
      <c r="CA5" s="1169"/>
      <c r="CB5" s="1169"/>
      <c r="CC5" s="1170"/>
    </row>
    <row r="6" spans="1:81" ht="16" x14ac:dyDescent="0.15">
      <c r="A6" s="183"/>
      <c r="B6" s="183"/>
      <c r="C6" s="183"/>
      <c r="D6" s="183"/>
      <c r="E6" s="183"/>
      <c r="F6" s="183"/>
      <c r="G6" s="183"/>
      <c r="H6" s="183"/>
      <c r="I6" s="183"/>
      <c r="J6" s="183"/>
      <c r="K6" s="183"/>
      <c r="L6" s="183"/>
      <c r="M6" s="183"/>
      <c r="N6" s="1109">
        <f>N7-$O$7</f>
        <v>0</v>
      </c>
      <c r="O6" s="1109"/>
      <c r="P6" s="1109"/>
      <c r="Q6" s="1109"/>
      <c r="R6" s="1109"/>
      <c r="S6" s="1082">
        <f t="shared" si="0"/>
        <v>0</v>
      </c>
      <c r="T6" s="1082"/>
      <c r="U6" s="1082"/>
      <c r="V6" s="1082"/>
      <c r="W6" s="1082"/>
      <c r="X6" s="1082">
        <v>0</v>
      </c>
      <c r="Y6" s="1083"/>
      <c r="Z6" s="1083"/>
      <c r="AA6" s="1083"/>
      <c r="AB6" s="1083"/>
      <c r="AC6" s="1082">
        <f t="shared" ref="AC6:AC13" si="2">S6-X6</f>
        <v>0</v>
      </c>
      <c r="AD6" s="1083"/>
      <c r="AE6" s="1083"/>
      <c r="AF6" s="1083"/>
      <c r="AG6" s="1083"/>
      <c r="AH6" s="1082">
        <f t="shared" ref="AH6:AH13" si="3">IFERROR(AC6/$I$19,0)</f>
        <v>0</v>
      </c>
      <c r="AI6" s="1082"/>
      <c r="AJ6" s="1082"/>
      <c r="AK6" s="1082"/>
      <c r="AL6" s="1084">
        <v>0</v>
      </c>
      <c r="AM6" s="1084"/>
      <c r="AN6" s="1084"/>
      <c r="AO6" s="183"/>
      <c r="AP6" s="1109">
        <f>AP7-$AQ$7</f>
        <v>130000</v>
      </c>
      <c r="AQ6" s="1109"/>
      <c r="AR6" s="1109"/>
      <c r="AS6" s="1109"/>
      <c r="AT6" s="1109"/>
      <c r="AU6" s="1144">
        <f t="shared" si="1"/>
        <v>0</v>
      </c>
      <c r="AV6" s="1145"/>
      <c r="AW6" s="1145"/>
      <c r="AX6" s="1145"/>
      <c r="AY6" s="1146"/>
      <c r="AZ6" s="1082">
        <v>0</v>
      </c>
      <c r="BA6" s="1083"/>
      <c r="BB6" s="1083"/>
      <c r="BC6" s="1083"/>
      <c r="BD6" s="1083"/>
      <c r="BE6" s="1082">
        <f t="shared" ref="BE6:BE13" si="4">AP6-AZ6</f>
        <v>130000</v>
      </c>
      <c r="BF6" s="1083"/>
      <c r="BG6" s="1083"/>
      <c r="BH6" s="1083"/>
      <c r="BI6" s="1083"/>
      <c r="BJ6" s="1082">
        <f t="shared" ref="BJ6:BJ13" si="5">IFERROR(BE6/$I$19,0)</f>
        <v>0</v>
      </c>
      <c r="BK6" s="1082"/>
      <c r="BL6" s="1082"/>
      <c r="BM6" s="1082"/>
      <c r="BN6" s="1084">
        <v>0</v>
      </c>
      <c r="BO6" s="1084"/>
      <c r="BP6" s="1084"/>
      <c r="BQ6" s="183"/>
      <c r="BR6" s="183"/>
      <c r="BS6" s="183"/>
      <c r="BT6" s="183"/>
      <c r="BU6" s="183"/>
      <c r="BV6" s="183"/>
      <c r="BW6" s="183"/>
      <c r="BX6" s="183"/>
      <c r="BY6" s="183"/>
      <c r="BZ6" s="183"/>
      <c r="CA6" s="183"/>
      <c r="CB6" s="183"/>
      <c r="CC6" s="183"/>
    </row>
    <row r="7" spans="1:81" ht="16" x14ac:dyDescent="0.15">
      <c r="A7" s="1156" t="s">
        <v>640</v>
      </c>
      <c r="B7" s="1157"/>
      <c r="C7" s="1157"/>
      <c r="D7" s="1157"/>
      <c r="E7" s="1157"/>
      <c r="F7" s="1157"/>
      <c r="G7" s="1157"/>
      <c r="H7" s="1157"/>
      <c r="I7" s="1157"/>
      <c r="J7" s="1157"/>
      <c r="K7" s="1157"/>
      <c r="L7" s="1158"/>
      <c r="M7" s="183"/>
      <c r="N7" s="1109">
        <f>N8-$O$7</f>
        <v>0</v>
      </c>
      <c r="O7" s="1109"/>
      <c r="P7" s="1109"/>
      <c r="Q7" s="1109"/>
      <c r="R7" s="1109"/>
      <c r="S7" s="1082">
        <f t="shared" si="0"/>
        <v>0</v>
      </c>
      <c r="T7" s="1082"/>
      <c r="U7" s="1082"/>
      <c r="V7" s="1082"/>
      <c r="W7" s="1082"/>
      <c r="X7" s="1082">
        <v>0</v>
      </c>
      <c r="Y7" s="1083"/>
      <c r="Z7" s="1083"/>
      <c r="AA7" s="1083"/>
      <c r="AB7" s="1083"/>
      <c r="AC7" s="1082">
        <f t="shared" si="2"/>
        <v>0</v>
      </c>
      <c r="AD7" s="1083"/>
      <c r="AE7" s="1083"/>
      <c r="AF7" s="1083"/>
      <c r="AG7" s="1083"/>
      <c r="AH7" s="1082">
        <f t="shared" si="3"/>
        <v>0</v>
      </c>
      <c r="AI7" s="1082"/>
      <c r="AJ7" s="1082"/>
      <c r="AK7" s="1082"/>
      <c r="AL7" s="1084">
        <v>0</v>
      </c>
      <c r="AM7" s="1084"/>
      <c r="AN7" s="1084"/>
      <c r="AO7" s="183"/>
      <c r="AP7" s="1109">
        <f>AP8-$AQ$7</f>
        <v>130000</v>
      </c>
      <c r="AQ7" s="1109"/>
      <c r="AR7" s="1109"/>
      <c r="AS7" s="1109"/>
      <c r="AT7" s="1109"/>
      <c r="AU7" s="1144">
        <f t="shared" si="1"/>
        <v>0</v>
      </c>
      <c r="AV7" s="1145"/>
      <c r="AW7" s="1145"/>
      <c r="AX7" s="1145"/>
      <c r="AY7" s="1146"/>
      <c r="AZ7" s="1082">
        <v>0</v>
      </c>
      <c r="BA7" s="1083"/>
      <c r="BB7" s="1083"/>
      <c r="BC7" s="1083"/>
      <c r="BD7" s="1083"/>
      <c r="BE7" s="1082">
        <f t="shared" si="4"/>
        <v>130000</v>
      </c>
      <c r="BF7" s="1083"/>
      <c r="BG7" s="1083"/>
      <c r="BH7" s="1083"/>
      <c r="BI7" s="1083"/>
      <c r="BJ7" s="1082">
        <f t="shared" si="5"/>
        <v>0</v>
      </c>
      <c r="BK7" s="1082"/>
      <c r="BL7" s="1082"/>
      <c r="BM7" s="1082"/>
      <c r="BN7" s="1084">
        <v>0</v>
      </c>
      <c r="BO7" s="1084"/>
      <c r="BP7" s="1084"/>
      <c r="BQ7" s="183"/>
      <c r="BR7" s="1156" t="s">
        <v>641</v>
      </c>
      <c r="BS7" s="1157"/>
      <c r="BT7" s="1157"/>
      <c r="BU7" s="1157"/>
      <c r="BV7" s="1157"/>
      <c r="BW7" s="1157"/>
      <c r="BX7" s="1157"/>
      <c r="BY7" s="1157"/>
      <c r="BZ7" s="1157"/>
      <c r="CA7" s="1157"/>
      <c r="CB7" s="1157"/>
      <c r="CC7" s="1158"/>
    </row>
    <row r="8" spans="1:81" ht="17" thickBot="1" x14ac:dyDescent="0.2">
      <c r="A8" s="186"/>
      <c r="B8" s="187"/>
      <c r="C8" s="187"/>
      <c r="D8" s="187"/>
      <c r="E8" s="187"/>
      <c r="F8" s="187"/>
      <c r="G8" s="187"/>
      <c r="H8" s="187"/>
      <c r="I8" s="187"/>
      <c r="J8" s="187"/>
      <c r="K8" s="187"/>
      <c r="L8" s="188"/>
      <c r="M8" s="183"/>
      <c r="N8" s="1109">
        <f>N9-$O$7</f>
        <v>0</v>
      </c>
      <c r="O8" s="1109"/>
      <c r="P8" s="1109"/>
      <c r="Q8" s="1109"/>
      <c r="R8" s="1109"/>
      <c r="S8" s="1109">
        <f t="shared" si="0"/>
        <v>0</v>
      </c>
      <c r="T8" s="1109"/>
      <c r="U8" s="1109"/>
      <c r="V8" s="1109"/>
      <c r="W8" s="1109"/>
      <c r="X8" s="1109">
        <v>0</v>
      </c>
      <c r="Y8" s="1110"/>
      <c r="Z8" s="1110"/>
      <c r="AA8" s="1110"/>
      <c r="AB8" s="1110"/>
      <c r="AC8" s="1109">
        <f t="shared" si="2"/>
        <v>0</v>
      </c>
      <c r="AD8" s="1110"/>
      <c r="AE8" s="1110"/>
      <c r="AF8" s="1110"/>
      <c r="AG8" s="1110"/>
      <c r="AH8" s="1109">
        <f t="shared" si="3"/>
        <v>0</v>
      </c>
      <c r="AI8" s="1109"/>
      <c r="AJ8" s="1109"/>
      <c r="AK8" s="1109"/>
      <c r="AL8" s="1111">
        <v>0</v>
      </c>
      <c r="AM8" s="1111"/>
      <c r="AN8" s="1111"/>
      <c r="AO8" s="183"/>
      <c r="AP8" s="1109">
        <f>AP9-$AQ$7</f>
        <v>130000</v>
      </c>
      <c r="AQ8" s="1109"/>
      <c r="AR8" s="1109"/>
      <c r="AS8" s="1109"/>
      <c r="AT8" s="1109"/>
      <c r="AU8" s="1159">
        <f t="shared" si="1"/>
        <v>0</v>
      </c>
      <c r="AV8" s="1160"/>
      <c r="AW8" s="1160"/>
      <c r="AX8" s="1160"/>
      <c r="AY8" s="1161"/>
      <c r="AZ8" s="1109">
        <v>0</v>
      </c>
      <c r="BA8" s="1110"/>
      <c r="BB8" s="1110"/>
      <c r="BC8" s="1110"/>
      <c r="BD8" s="1110"/>
      <c r="BE8" s="1109">
        <f t="shared" si="4"/>
        <v>130000</v>
      </c>
      <c r="BF8" s="1110"/>
      <c r="BG8" s="1110"/>
      <c r="BH8" s="1110"/>
      <c r="BI8" s="1110"/>
      <c r="BJ8" s="1109">
        <f t="shared" si="5"/>
        <v>0</v>
      </c>
      <c r="BK8" s="1109"/>
      <c r="BL8" s="1109"/>
      <c r="BM8" s="1109"/>
      <c r="BN8" s="1111">
        <v>0</v>
      </c>
      <c r="BO8" s="1111"/>
      <c r="BP8" s="1111"/>
      <c r="BQ8" s="183"/>
      <c r="BR8" s="189"/>
      <c r="BS8" s="190"/>
      <c r="BT8" s="190"/>
      <c r="BU8" s="190"/>
      <c r="BV8" s="190"/>
      <c r="BW8" s="190"/>
      <c r="BX8" s="190"/>
      <c r="BY8" s="190"/>
      <c r="BZ8" s="190"/>
      <c r="CA8" s="190"/>
      <c r="CB8" s="190"/>
      <c r="CC8" s="191"/>
    </row>
    <row r="9" spans="1:81" ht="19" thickTop="1" thickBot="1" x14ac:dyDescent="0.2">
      <c r="A9" s="1135" t="s">
        <v>2</v>
      </c>
      <c r="B9" s="1088"/>
      <c r="C9" s="1088"/>
      <c r="D9" s="1088"/>
      <c r="E9" s="1088"/>
      <c r="F9" s="1088"/>
      <c r="G9" s="1088"/>
      <c r="H9" s="1147">
        <v>0</v>
      </c>
      <c r="I9" s="1148"/>
      <c r="J9" s="1148"/>
      <c r="K9" s="1148"/>
      <c r="L9" s="1149"/>
      <c r="M9" s="192"/>
      <c r="N9" s="1089">
        <f>H9</f>
        <v>0</v>
      </c>
      <c r="O9" s="1089"/>
      <c r="P9" s="1089"/>
      <c r="Q9" s="1089"/>
      <c r="R9" s="1090"/>
      <c r="S9" s="1091">
        <f t="shared" si="0"/>
        <v>0</v>
      </c>
      <c r="T9" s="1091"/>
      <c r="U9" s="1091"/>
      <c r="V9" s="1091"/>
      <c r="W9" s="1091"/>
      <c r="X9" s="1091">
        <v>0</v>
      </c>
      <c r="Y9" s="1092"/>
      <c r="Z9" s="1092"/>
      <c r="AA9" s="1092"/>
      <c r="AB9" s="1092"/>
      <c r="AC9" s="1091">
        <f t="shared" si="2"/>
        <v>0</v>
      </c>
      <c r="AD9" s="1091"/>
      <c r="AE9" s="1091"/>
      <c r="AF9" s="1091"/>
      <c r="AG9" s="1091"/>
      <c r="AH9" s="1091">
        <f t="shared" si="3"/>
        <v>0</v>
      </c>
      <c r="AI9" s="1092"/>
      <c r="AJ9" s="1092"/>
      <c r="AK9" s="1092"/>
      <c r="AL9" s="1093">
        <v>0</v>
      </c>
      <c r="AM9" s="1093"/>
      <c r="AN9" s="1094"/>
      <c r="AO9" s="193"/>
      <c r="AP9" s="1089">
        <f>H11</f>
        <v>130000</v>
      </c>
      <c r="AQ9" s="1089"/>
      <c r="AR9" s="1089"/>
      <c r="AS9" s="1089"/>
      <c r="AT9" s="1090"/>
      <c r="AU9" s="1155">
        <f t="shared" si="1"/>
        <v>0</v>
      </c>
      <c r="AV9" s="1089"/>
      <c r="AW9" s="1089"/>
      <c r="AX9" s="1089"/>
      <c r="AY9" s="1090"/>
      <c r="AZ9" s="1091">
        <v>0</v>
      </c>
      <c r="BA9" s="1092"/>
      <c r="BB9" s="1092"/>
      <c r="BC9" s="1092"/>
      <c r="BD9" s="1092"/>
      <c r="BE9" s="1091">
        <f t="shared" si="4"/>
        <v>130000</v>
      </c>
      <c r="BF9" s="1091"/>
      <c r="BG9" s="1091"/>
      <c r="BH9" s="1091"/>
      <c r="BI9" s="1091"/>
      <c r="BJ9" s="1091">
        <f t="shared" si="5"/>
        <v>0</v>
      </c>
      <c r="BK9" s="1092"/>
      <c r="BL9" s="1092"/>
      <c r="BM9" s="1092"/>
      <c r="BN9" s="1093">
        <v>0</v>
      </c>
      <c r="BO9" s="1093"/>
      <c r="BP9" s="1094"/>
      <c r="BQ9" s="194"/>
      <c r="BR9" s="1153" t="s">
        <v>39</v>
      </c>
      <c r="BS9" s="1154"/>
      <c r="BT9" s="1154"/>
      <c r="BU9" s="1154"/>
      <c r="BV9" s="1154"/>
      <c r="BW9" s="1154"/>
      <c r="BX9" s="1154"/>
      <c r="BY9" s="1106">
        <f>H11</f>
        <v>130000</v>
      </c>
      <c r="BZ9" s="1107"/>
      <c r="CA9" s="1107"/>
      <c r="CB9" s="1107"/>
      <c r="CC9" s="1108"/>
    </row>
    <row r="10" spans="1:81" ht="17" thickTop="1" x14ac:dyDescent="0.15">
      <c r="A10" s="195"/>
      <c r="B10" s="190"/>
      <c r="C10" s="190"/>
      <c r="D10" s="190"/>
      <c r="E10" s="190"/>
      <c r="F10" s="190"/>
      <c r="G10" s="190"/>
      <c r="H10" s="190"/>
      <c r="I10" s="190"/>
      <c r="J10" s="190"/>
      <c r="K10" s="190"/>
      <c r="L10" s="196"/>
      <c r="M10" s="183"/>
      <c r="N10" s="1100">
        <f>N9+$O$7</f>
        <v>0</v>
      </c>
      <c r="O10" s="1100"/>
      <c r="P10" s="1100"/>
      <c r="Q10" s="1100"/>
      <c r="R10" s="1100"/>
      <c r="S10" s="1100">
        <f t="shared" si="0"/>
        <v>0</v>
      </c>
      <c r="T10" s="1100"/>
      <c r="U10" s="1100"/>
      <c r="V10" s="1100"/>
      <c r="W10" s="1100"/>
      <c r="X10" s="1100">
        <v>0</v>
      </c>
      <c r="Y10" s="1101"/>
      <c r="Z10" s="1101"/>
      <c r="AA10" s="1101"/>
      <c r="AB10" s="1101"/>
      <c r="AC10" s="1082">
        <f t="shared" si="2"/>
        <v>0</v>
      </c>
      <c r="AD10" s="1083"/>
      <c r="AE10" s="1083"/>
      <c r="AF10" s="1083"/>
      <c r="AG10" s="1083"/>
      <c r="AH10" s="1082">
        <f t="shared" si="3"/>
        <v>0</v>
      </c>
      <c r="AI10" s="1082"/>
      <c r="AJ10" s="1082"/>
      <c r="AK10" s="1082"/>
      <c r="AL10" s="1086">
        <v>0</v>
      </c>
      <c r="AM10" s="1086"/>
      <c r="AN10" s="1086"/>
      <c r="AO10" s="183"/>
      <c r="AP10" s="1100">
        <f>AP9+$AQ$7</f>
        <v>130000</v>
      </c>
      <c r="AQ10" s="1100"/>
      <c r="AR10" s="1100"/>
      <c r="AS10" s="1100"/>
      <c r="AT10" s="1100"/>
      <c r="AU10" s="1150">
        <f t="shared" si="1"/>
        <v>0</v>
      </c>
      <c r="AV10" s="1151"/>
      <c r="AW10" s="1151"/>
      <c r="AX10" s="1151"/>
      <c r="AY10" s="1152"/>
      <c r="AZ10" s="1100">
        <v>0</v>
      </c>
      <c r="BA10" s="1101"/>
      <c r="BB10" s="1101"/>
      <c r="BC10" s="1101"/>
      <c r="BD10" s="1101"/>
      <c r="BE10" s="1082">
        <f t="shared" si="4"/>
        <v>130000</v>
      </c>
      <c r="BF10" s="1083"/>
      <c r="BG10" s="1083"/>
      <c r="BH10" s="1083"/>
      <c r="BI10" s="1083"/>
      <c r="BJ10" s="1082">
        <f t="shared" si="5"/>
        <v>0</v>
      </c>
      <c r="BK10" s="1082"/>
      <c r="BL10" s="1082"/>
      <c r="BM10" s="1082"/>
      <c r="BN10" s="1086">
        <v>0</v>
      </c>
      <c r="BO10" s="1086"/>
      <c r="BP10" s="1086"/>
      <c r="BQ10" s="183"/>
      <c r="BR10" s="197"/>
      <c r="BS10" s="198"/>
      <c r="BT10" s="198"/>
      <c r="BU10" s="198"/>
      <c r="BV10" s="198"/>
      <c r="BW10" s="198"/>
      <c r="BX10" s="198"/>
      <c r="BY10" s="190"/>
      <c r="BZ10" s="190"/>
      <c r="CA10" s="190"/>
      <c r="CB10" s="190"/>
      <c r="CC10" s="191"/>
    </row>
    <row r="11" spans="1:81" ht="17" x14ac:dyDescent="0.15">
      <c r="A11" s="1135" t="s">
        <v>39</v>
      </c>
      <c r="B11" s="1088"/>
      <c r="C11" s="1088"/>
      <c r="D11" s="1088"/>
      <c r="E11" s="1088"/>
      <c r="F11" s="1088"/>
      <c r="G11" s="1088"/>
      <c r="H11" s="1147">
        <v>130000</v>
      </c>
      <c r="I11" s="1148"/>
      <c r="J11" s="1148"/>
      <c r="K11" s="1148"/>
      <c r="L11" s="1149"/>
      <c r="M11" s="183"/>
      <c r="N11" s="1082">
        <f>N10+$O$7</f>
        <v>0</v>
      </c>
      <c r="O11" s="1082"/>
      <c r="P11" s="1082"/>
      <c r="Q11" s="1082"/>
      <c r="R11" s="1082"/>
      <c r="S11" s="1082">
        <f t="shared" si="0"/>
        <v>0</v>
      </c>
      <c r="T11" s="1082"/>
      <c r="U11" s="1082"/>
      <c r="V11" s="1082"/>
      <c r="W11" s="1082"/>
      <c r="X11" s="1082">
        <v>0</v>
      </c>
      <c r="Y11" s="1083"/>
      <c r="Z11" s="1083"/>
      <c r="AA11" s="1083"/>
      <c r="AB11" s="1083"/>
      <c r="AC11" s="1082">
        <f t="shared" si="2"/>
        <v>0</v>
      </c>
      <c r="AD11" s="1083"/>
      <c r="AE11" s="1083"/>
      <c r="AF11" s="1083"/>
      <c r="AG11" s="1083"/>
      <c r="AH11" s="1082">
        <f t="shared" si="3"/>
        <v>0</v>
      </c>
      <c r="AI11" s="1082"/>
      <c r="AJ11" s="1082"/>
      <c r="AK11" s="1082"/>
      <c r="AL11" s="1084">
        <v>0</v>
      </c>
      <c r="AM11" s="1084"/>
      <c r="AN11" s="1084"/>
      <c r="AO11" s="183"/>
      <c r="AP11" s="1082">
        <f>AP10+$AQ$7</f>
        <v>130000</v>
      </c>
      <c r="AQ11" s="1082"/>
      <c r="AR11" s="1082"/>
      <c r="AS11" s="1082"/>
      <c r="AT11" s="1082"/>
      <c r="AU11" s="1144">
        <f t="shared" si="1"/>
        <v>0</v>
      </c>
      <c r="AV11" s="1145"/>
      <c r="AW11" s="1145"/>
      <c r="AX11" s="1145"/>
      <c r="AY11" s="1146"/>
      <c r="AZ11" s="1082">
        <v>0</v>
      </c>
      <c r="BA11" s="1083"/>
      <c r="BB11" s="1083"/>
      <c r="BC11" s="1083"/>
      <c r="BD11" s="1083"/>
      <c r="BE11" s="1082">
        <f t="shared" si="4"/>
        <v>130000</v>
      </c>
      <c r="BF11" s="1083"/>
      <c r="BG11" s="1083"/>
      <c r="BH11" s="1083"/>
      <c r="BI11" s="1083"/>
      <c r="BJ11" s="1082">
        <f t="shared" si="5"/>
        <v>0</v>
      </c>
      <c r="BK11" s="1082"/>
      <c r="BL11" s="1082"/>
      <c r="BM11" s="1082"/>
      <c r="BN11" s="1084">
        <v>0</v>
      </c>
      <c r="BO11" s="1084"/>
      <c r="BP11" s="1084"/>
      <c r="BQ11" s="183"/>
      <c r="BR11" s="1087" t="s">
        <v>642</v>
      </c>
      <c r="BS11" s="1088"/>
      <c r="BT11" s="1088"/>
      <c r="BU11" s="1088"/>
      <c r="BV11" s="1088"/>
      <c r="BW11" s="1088"/>
      <c r="BX11" s="1088"/>
      <c r="BY11" s="1122">
        <v>0</v>
      </c>
      <c r="BZ11" s="1123"/>
      <c r="CA11" s="1123"/>
      <c r="CB11" s="1123"/>
      <c r="CC11" s="1124"/>
    </row>
    <row r="12" spans="1:81" ht="16" x14ac:dyDescent="0.15">
      <c r="A12" s="195"/>
      <c r="B12" s="190"/>
      <c r="C12" s="190"/>
      <c r="D12" s="190"/>
      <c r="E12" s="190"/>
      <c r="F12" s="190"/>
      <c r="G12" s="190"/>
      <c r="H12" s="190"/>
      <c r="I12" s="190"/>
      <c r="J12" s="190"/>
      <c r="K12" s="190"/>
      <c r="L12" s="196"/>
      <c r="M12" s="183"/>
      <c r="N12" s="1082">
        <f>N11+$O$7</f>
        <v>0</v>
      </c>
      <c r="O12" s="1082"/>
      <c r="P12" s="1082"/>
      <c r="Q12" s="1082"/>
      <c r="R12" s="1082"/>
      <c r="S12" s="1082">
        <f t="shared" si="0"/>
        <v>0</v>
      </c>
      <c r="T12" s="1082"/>
      <c r="U12" s="1082"/>
      <c r="V12" s="1082"/>
      <c r="W12" s="1082"/>
      <c r="X12" s="1082">
        <v>0</v>
      </c>
      <c r="Y12" s="1083"/>
      <c r="Z12" s="1083"/>
      <c r="AA12" s="1083"/>
      <c r="AB12" s="1083"/>
      <c r="AC12" s="1082">
        <f t="shared" si="2"/>
        <v>0</v>
      </c>
      <c r="AD12" s="1083"/>
      <c r="AE12" s="1083"/>
      <c r="AF12" s="1083"/>
      <c r="AG12" s="1083"/>
      <c r="AH12" s="1082">
        <f t="shared" si="3"/>
        <v>0</v>
      </c>
      <c r="AI12" s="1082"/>
      <c r="AJ12" s="1082"/>
      <c r="AK12" s="1082"/>
      <c r="AL12" s="1084">
        <v>0</v>
      </c>
      <c r="AM12" s="1084"/>
      <c r="AN12" s="1084"/>
      <c r="AO12" s="183"/>
      <c r="AP12" s="1082">
        <f>AP11+$AQ$7</f>
        <v>130000</v>
      </c>
      <c r="AQ12" s="1082"/>
      <c r="AR12" s="1082"/>
      <c r="AS12" s="1082"/>
      <c r="AT12" s="1082"/>
      <c r="AU12" s="1144">
        <f t="shared" si="1"/>
        <v>0</v>
      </c>
      <c r="AV12" s="1145"/>
      <c r="AW12" s="1145"/>
      <c r="AX12" s="1145"/>
      <c r="AY12" s="1146"/>
      <c r="AZ12" s="1082">
        <v>0</v>
      </c>
      <c r="BA12" s="1083"/>
      <c r="BB12" s="1083"/>
      <c r="BC12" s="1083"/>
      <c r="BD12" s="1083"/>
      <c r="BE12" s="1082">
        <f t="shared" si="4"/>
        <v>130000</v>
      </c>
      <c r="BF12" s="1083"/>
      <c r="BG12" s="1083"/>
      <c r="BH12" s="1083"/>
      <c r="BI12" s="1083"/>
      <c r="BJ12" s="1082">
        <f t="shared" si="5"/>
        <v>0</v>
      </c>
      <c r="BK12" s="1082"/>
      <c r="BL12" s="1082"/>
      <c r="BM12" s="1082"/>
      <c r="BN12" s="1084">
        <v>0</v>
      </c>
      <c r="BO12" s="1084"/>
      <c r="BP12" s="1084"/>
      <c r="BQ12" s="183"/>
      <c r="BR12" s="1087" t="s">
        <v>643</v>
      </c>
      <c r="BS12" s="1088"/>
      <c r="BT12" s="1088"/>
      <c r="BU12" s="1088"/>
      <c r="BV12" s="1088"/>
      <c r="BW12" s="1088"/>
      <c r="BX12" s="1088"/>
      <c r="BY12" s="1122">
        <v>0</v>
      </c>
      <c r="BZ12" s="1123"/>
      <c r="CA12" s="1123"/>
      <c r="CB12" s="1123"/>
      <c r="CC12" s="1124"/>
    </row>
    <row r="13" spans="1:81" ht="18" thickBot="1" x14ac:dyDescent="0.2">
      <c r="A13" s="1135" t="s">
        <v>644</v>
      </c>
      <c r="B13" s="1088"/>
      <c r="C13" s="1088"/>
      <c r="D13" s="1088"/>
      <c r="E13" s="1088"/>
      <c r="F13" s="1088"/>
      <c r="G13" s="1088"/>
      <c r="H13" s="1147">
        <v>33000</v>
      </c>
      <c r="I13" s="1148"/>
      <c r="J13" s="1148"/>
      <c r="K13" s="1148"/>
      <c r="L13" s="1149"/>
      <c r="M13" s="183"/>
      <c r="N13" s="1082">
        <f>N12+$O$7</f>
        <v>0</v>
      </c>
      <c r="O13" s="1082"/>
      <c r="P13" s="1082"/>
      <c r="Q13" s="1082"/>
      <c r="R13" s="1082"/>
      <c r="S13" s="1082">
        <f t="shared" si="0"/>
        <v>0</v>
      </c>
      <c r="T13" s="1082"/>
      <c r="U13" s="1082"/>
      <c r="V13" s="1082"/>
      <c r="W13" s="1082"/>
      <c r="X13" s="1082">
        <v>0</v>
      </c>
      <c r="Y13" s="1083"/>
      <c r="Z13" s="1083"/>
      <c r="AA13" s="1083"/>
      <c r="AB13" s="1083"/>
      <c r="AC13" s="1082">
        <f t="shared" si="2"/>
        <v>0</v>
      </c>
      <c r="AD13" s="1083"/>
      <c r="AE13" s="1083"/>
      <c r="AF13" s="1083"/>
      <c r="AG13" s="1083"/>
      <c r="AH13" s="1082">
        <f t="shared" si="3"/>
        <v>0</v>
      </c>
      <c r="AI13" s="1082"/>
      <c r="AJ13" s="1082"/>
      <c r="AK13" s="1082"/>
      <c r="AL13" s="1084">
        <v>0</v>
      </c>
      <c r="AM13" s="1084"/>
      <c r="AN13" s="1084"/>
      <c r="AO13" s="183"/>
      <c r="AP13" s="1082">
        <f>AP12+$AQ$7</f>
        <v>130000</v>
      </c>
      <c r="AQ13" s="1082"/>
      <c r="AR13" s="1082"/>
      <c r="AS13" s="1082"/>
      <c r="AT13" s="1082"/>
      <c r="AU13" s="1144">
        <f t="shared" si="1"/>
        <v>0</v>
      </c>
      <c r="AV13" s="1145"/>
      <c r="AW13" s="1145"/>
      <c r="AX13" s="1145"/>
      <c r="AY13" s="1146"/>
      <c r="AZ13" s="1082">
        <v>0</v>
      </c>
      <c r="BA13" s="1083"/>
      <c r="BB13" s="1083"/>
      <c r="BC13" s="1083"/>
      <c r="BD13" s="1083"/>
      <c r="BE13" s="1082">
        <f t="shared" si="4"/>
        <v>130000</v>
      </c>
      <c r="BF13" s="1083"/>
      <c r="BG13" s="1083"/>
      <c r="BH13" s="1083"/>
      <c r="BI13" s="1083"/>
      <c r="BJ13" s="1082">
        <f t="shared" si="5"/>
        <v>0</v>
      </c>
      <c r="BK13" s="1082"/>
      <c r="BL13" s="1082"/>
      <c r="BM13" s="1082"/>
      <c r="BN13" s="1084">
        <v>0</v>
      </c>
      <c r="BO13" s="1084"/>
      <c r="BP13" s="1084"/>
      <c r="BQ13" s="183"/>
      <c r="BR13" s="1126" t="s">
        <v>645</v>
      </c>
      <c r="BS13" s="1127"/>
      <c r="BT13" s="1127"/>
      <c r="BU13" s="1127"/>
      <c r="BV13" s="1127"/>
      <c r="BW13" s="1127"/>
      <c r="BX13" s="1127"/>
      <c r="BY13" s="1128">
        <v>0</v>
      </c>
      <c r="BZ13" s="1129"/>
      <c r="CA13" s="1129"/>
      <c r="CB13" s="1129"/>
      <c r="CC13" s="1130"/>
    </row>
    <row r="14" spans="1:81" ht="17" thickTop="1" x14ac:dyDescent="0.15">
      <c r="A14" s="195"/>
      <c r="B14" s="190"/>
      <c r="C14" s="190"/>
      <c r="D14" s="190"/>
      <c r="E14" s="190"/>
      <c r="F14" s="190"/>
      <c r="G14" s="190"/>
      <c r="H14" s="190"/>
      <c r="I14" s="190"/>
      <c r="J14" s="190"/>
      <c r="K14" s="190"/>
      <c r="L14" s="196"/>
      <c r="M14" s="183"/>
      <c r="N14" s="183"/>
      <c r="O14" s="183"/>
      <c r="P14" s="183"/>
      <c r="Q14" s="183"/>
      <c r="R14" s="183"/>
      <c r="S14" s="1142" t="s">
        <v>646</v>
      </c>
      <c r="T14" s="1142"/>
      <c r="U14" s="1142"/>
      <c r="V14" s="1142"/>
      <c r="W14" s="1142"/>
      <c r="X14" s="1142"/>
      <c r="Y14" s="1142"/>
      <c r="Z14" s="1142"/>
      <c r="AA14" s="1142"/>
      <c r="AB14" s="1142"/>
      <c r="AC14" s="1142"/>
      <c r="AD14" s="1142"/>
      <c r="AE14" s="1142"/>
      <c r="AF14" s="1142"/>
      <c r="AG14" s="1142"/>
      <c r="AH14" s="1142"/>
      <c r="AI14" s="1142"/>
      <c r="AJ14" s="1142"/>
      <c r="AK14" s="1142"/>
      <c r="AL14" s="1142"/>
      <c r="AM14" s="1142"/>
      <c r="AN14" s="1142"/>
      <c r="AO14" s="183"/>
      <c r="AP14" s="183"/>
      <c r="AQ14" s="183"/>
      <c r="AR14" s="183"/>
      <c r="AS14" s="183"/>
      <c r="AT14" s="183"/>
      <c r="AU14" s="1142" t="s">
        <v>647</v>
      </c>
      <c r="AV14" s="1142"/>
      <c r="AW14" s="1142"/>
      <c r="AX14" s="1142"/>
      <c r="AY14" s="1142"/>
      <c r="AZ14" s="1142"/>
      <c r="BA14" s="1142"/>
      <c r="BB14" s="1142"/>
      <c r="BC14" s="1142"/>
      <c r="BD14" s="1142"/>
      <c r="BE14" s="1142"/>
      <c r="BF14" s="1142"/>
      <c r="BG14" s="1142"/>
      <c r="BH14" s="1142"/>
      <c r="BI14" s="1142"/>
      <c r="BJ14" s="1142"/>
      <c r="BK14" s="1142"/>
      <c r="BL14" s="1142"/>
      <c r="BM14" s="1142"/>
      <c r="BN14" s="1142"/>
      <c r="BO14" s="1142"/>
      <c r="BP14" s="1142"/>
      <c r="BQ14" s="183"/>
      <c r="BR14" s="1133" t="s">
        <v>648</v>
      </c>
      <c r="BS14" s="1134"/>
      <c r="BT14" s="1134"/>
      <c r="BU14" s="1134"/>
      <c r="BV14" s="1134"/>
      <c r="BW14" s="1134"/>
      <c r="BX14" s="1134"/>
      <c r="BY14" s="1106">
        <f>SUM(BY11:CC13)</f>
        <v>0</v>
      </c>
      <c r="BZ14" s="1107"/>
      <c r="CA14" s="1107"/>
      <c r="CB14" s="1107"/>
      <c r="CC14" s="1108"/>
    </row>
    <row r="15" spans="1:81" ht="17" x14ac:dyDescent="0.15">
      <c r="A15" s="1135" t="s">
        <v>649</v>
      </c>
      <c r="B15" s="1088"/>
      <c r="C15" s="1088"/>
      <c r="D15" s="1088"/>
      <c r="E15" s="1088"/>
      <c r="F15" s="1088"/>
      <c r="G15" s="1088"/>
      <c r="H15" s="1136">
        <v>0</v>
      </c>
      <c r="I15" s="1137"/>
      <c r="J15" s="1137"/>
      <c r="K15" s="1137"/>
      <c r="L15" s="1138"/>
      <c r="M15" s="183"/>
      <c r="N15" s="1139" t="s">
        <v>632</v>
      </c>
      <c r="O15" s="1139"/>
      <c r="P15" s="1139"/>
      <c r="Q15" s="1139"/>
      <c r="R15" s="1139"/>
      <c r="S15" s="1143"/>
      <c r="T15" s="1143"/>
      <c r="U15" s="1143"/>
      <c r="V15" s="1143"/>
      <c r="W15" s="1143"/>
      <c r="X15" s="1143"/>
      <c r="Y15" s="1143"/>
      <c r="Z15" s="1143"/>
      <c r="AA15" s="1143"/>
      <c r="AB15" s="1143"/>
      <c r="AC15" s="1143"/>
      <c r="AD15" s="1143"/>
      <c r="AE15" s="1143"/>
      <c r="AF15" s="1143"/>
      <c r="AG15" s="1143"/>
      <c r="AH15" s="1143"/>
      <c r="AI15" s="1143"/>
      <c r="AJ15" s="1143"/>
      <c r="AK15" s="1143"/>
      <c r="AL15" s="1143"/>
      <c r="AM15" s="1143"/>
      <c r="AN15" s="1143"/>
      <c r="AO15" s="183"/>
      <c r="AP15" s="1140" t="s">
        <v>632</v>
      </c>
      <c r="AQ15" s="1140"/>
      <c r="AR15" s="1140"/>
      <c r="AS15" s="1140"/>
      <c r="AT15" s="1140"/>
      <c r="AU15" s="1143"/>
      <c r="AV15" s="1143"/>
      <c r="AW15" s="1143"/>
      <c r="AX15" s="1143"/>
      <c r="AY15" s="1143"/>
      <c r="AZ15" s="1143"/>
      <c r="BA15" s="1143"/>
      <c r="BB15" s="1143"/>
      <c r="BC15" s="1143"/>
      <c r="BD15" s="1143"/>
      <c r="BE15" s="1143"/>
      <c r="BF15" s="1143"/>
      <c r="BG15" s="1143"/>
      <c r="BH15" s="1143"/>
      <c r="BI15" s="1143"/>
      <c r="BJ15" s="1143"/>
      <c r="BK15" s="1143"/>
      <c r="BL15" s="1143"/>
      <c r="BM15" s="1143"/>
      <c r="BN15" s="1143"/>
      <c r="BO15" s="1143"/>
      <c r="BP15" s="1143"/>
      <c r="BQ15" s="183"/>
      <c r="BR15" s="189"/>
      <c r="BS15" s="190"/>
      <c r="BT15" s="190"/>
      <c r="BU15" s="190"/>
      <c r="BV15" s="190"/>
      <c r="BW15" s="190"/>
      <c r="BX15" s="190"/>
      <c r="BY15" s="190"/>
      <c r="BZ15" s="190"/>
      <c r="CA15" s="190"/>
      <c r="CB15" s="190"/>
      <c r="CC15" s="191"/>
    </row>
    <row r="16" spans="1:81" ht="16" x14ac:dyDescent="0.15">
      <c r="A16" s="195"/>
      <c r="B16" s="190"/>
      <c r="C16" s="190"/>
      <c r="D16" s="190"/>
      <c r="E16" s="190"/>
      <c r="F16" s="190"/>
      <c r="G16" s="190"/>
      <c r="H16" s="190"/>
      <c r="I16" s="190"/>
      <c r="J16" s="190"/>
      <c r="K16" s="190"/>
      <c r="L16" s="196"/>
      <c r="M16" s="183"/>
      <c r="N16" s="1141">
        <v>1000</v>
      </c>
      <c r="O16" s="1141"/>
      <c r="P16" s="1141"/>
      <c r="Q16" s="1141"/>
      <c r="R16" s="1141"/>
      <c r="S16" s="1132" t="s">
        <v>634</v>
      </c>
      <c r="T16" s="1132"/>
      <c r="U16" s="1132"/>
      <c r="V16" s="1132"/>
      <c r="W16" s="1132"/>
      <c r="X16" s="1132" t="s">
        <v>635</v>
      </c>
      <c r="Y16" s="1132"/>
      <c r="Z16" s="1132"/>
      <c r="AA16" s="1132"/>
      <c r="AB16" s="1132"/>
      <c r="AC16" s="1132" t="s">
        <v>636</v>
      </c>
      <c r="AD16" s="1132"/>
      <c r="AE16" s="1132"/>
      <c r="AF16" s="1132"/>
      <c r="AG16" s="1132"/>
      <c r="AH16" s="1132" t="s">
        <v>637</v>
      </c>
      <c r="AI16" s="1132"/>
      <c r="AJ16" s="1132"/>
      <c r="AK16" s="1132"/>
      <c r="AL16" s="1132" t="s">
        <v>638</v>
      </c>
      <c r="AM16" s="1132"/>
      <c r="AN16" s="1132"/>
      <c r="AO16" s="183"/>
      <c r="AP16" s="1131">
        <v>1</v>
      </c>
      <c r="AQ16" s="1131"/>
      <c r="AR16" s="1131"/>
      <c r="AS16" s="1131"/>
      <c r="AT16" s="1131"/>
      <c r="AU16" s="1132" t="s">
        <v>650</v>
      </c>
      <c r="AV16" s="1132"/>
      <c r="AW16" s="1132"/>
      <c r="AX16" s="1132"/>
      <c r="AY16" s="1132"/>
      <c r="AZ16" s="1132" t="s">
        <v>133</v>
      </c>
      <c r="BA16" s="1132"/>
      <c r="BB16" s="1132"/>
      <c r="BC16" s="1132"/>
      <c r="BD16" s="1132"/>
      <c r="BE16" s="1132" t="s">
        <v>636</v>
      </c>
      <c r="BF16" s="1132"/>
      <c r="BG16" s="1132"/>
      <c r="BH16" s="1132"/>
      <c r="BI16" s="1132"/>
      <c r="BJ16" s="1132" t="s">
        <v>637</v>
      </c>
      <c r="BK16" s="1132"/>
      <c r="BL16" s="1132"/>
      <c r="BM16" s="1132"/>
      <c r="BN16" s="1132" t="s">
        <v>638</v>
      </c>
      <c r="BO16" s="1132"/>
      <c r="BP16" s="1132"/>
      <c r="BQ16" s="183"/>
      <c r="BR16" s="1087" t="s">
        <v>651</v>
      </c>
      <c r="BS16" s="1088"/>
      <c r="BT16" s="1088"/>
      <c r="BU16" s="1088"/>
      <c r="BV16" s="1088"/>
      <c r="BW16" s="1088"/>
      <c r="BX16" s="1088"/>
      <c r="BY16" s="1122" t="e">
        <f>'[2]2 REHAB ANALYZER'!AM32</f>
        <v>#REF!</v>
      </c>
      <c r="BZ16" s="1123"/>
      <c r="CA16" s="1123"/>
      <c r="CB16" s="1123"/>
      <c r="CC16" s="1124"/>
    </row>
    <row r="17" spans="1:81" ht="17" thickBot="1" x14ac:dyDescent="0.2">
      <c r="A17" s="195"/>
      <c r="B17" s="199"/>
      <c r="C17" s="199"/>
      <c r="D17" s="199"/>
      <c r="E17" s="199"/>
      <c r="F17" s="199"/>
      <c r="G17" s="199"/>
      <c r="H17" s="199"/>
      <c r="I17" s="199"/>
      <c r="J17" s="199"/>
      <c r="K17" s="199"/>
      <c r="L17" s="200"/>
      <c r="M17" s="183"/>
      <c r="N17" s="1125" t="s">
        <v>652</v>
      </c>
      <c r="O17" s="1125"/>
      <c r="P17" s="1125"/>
      <c r="Q17" s="1125"/>
      <c r="R17" s="1125"/>
      <c r="S17" s="1132"/>
      <c r="T17" s="1132"/>
      <c r="U17" s="1132"/>
      <c r="V17" s="1132"/>
      <c r="W17" s="1132"/>
      <c r="X17" s="1132"/>
      <c r="Y17" s="1132"/>
      <c r="Z17" s="1132"/>
      <c r="AA17" s="1132"/>
      <c r="AB17" s="1132"/>
      <c r="AC17" s="1132"/>
      <c r="AD17" s="1132"/>
      <c r="AE17" s="1132"/>
      <c r="AF17" s="1132"/>
      <c r="AG17" s="1132"/>
      <c r="AH17" s="1132"/>
      <c r="AI17" s="1132"/>
      <c r="AJ17" s="1132"/>
      <c r="AK17" s="1132"/>
      <c r="AL17" s="1132"/>
      <c r="AM17" s="1132"/>
      <c r="AN17" s="1132"/>
      <c r="AO17" s="183"/>
      <c r="AP17" s="1125" t="s">
        <v>653</v>
      </c>
      <c r="AQ17" s="1125"/>
      <c r="AR17" s="1125"/>
      <c r="AS17" s="1125"/>
      <c r="AT17" s="1125"/>
      <c r="AU17" s="1132"/>
      <c r="AV17" s="1132"/>
      <c r="AW17" s="1132"/>
      <c r="AX17" s="1132"/>
      <c r="AY17" s="1132"/>
      <c r="AZ17" s="1132"/>
      <c r="BA17" s="1132"/>
      <c r="BB17" s="1132"/>
      <c r="BC17" s="1132"/>
      <c r="BD17" s="1132"/>
      <c r="BE17" s="1132"/>
      <c r="BF17" s="1132"/>
      <c r="BG17" s="1132"/>
      <c r="BH17" s="1132"/>
      <c r="BI17" s="1132"/>
      <c r="BJ17" s="1132"/>
      <c r="BK17" s="1132"/>
      <c r="BL17" s="1132"/>
      <c r="BM17" s="1132"/>
      <c r="BN17" s="1132"/>
      <c r="BO17" s="1132"/>
      <c r="BP17" s="1132"/>
      <c r="BQ17" s="183"/>
      <c r="BR17" s="1126" t="s">
        <v>654</v>
      </c>
      <c r="BS17" s="1127"/>
      <c r="BT17" s="1127"/>
      <c r="BU17" s="1127"/>
      <c r="BV17" s="1127"/>
      <c r="BW17" s="1127"/>
      <c r="BX17" s="1127"/>
      <c r="BY17" s="1128" t="e">
        <f>BY18-BY16</f>
        <v>#REF!</v>
      </c>
      <c r="BZ17" s="1129"/>
      <c r="CA17" s="1129"/>
      <c r="CB17" s="1129"/>
      <c r="CC17" s="1130"/>
    </row>
    <row r="18" spans="1:81" ht="17" thickTop="1" x14ac:dyDescent="0.15">
      <c r="A18" s="1113" t="str">
        <f>CONCATENATE("Planning on Purchasing the Property for ",TEXT(Purchase_Price_Sensitivity,"$#,###"),","," reselling the property for ",TEXT(ARV_Sensitivity,"$#,###"),","," with a Total Rehab Estimate of ",TEXT(Estimate_Sensitivity,"$#,###"),", ","and a Project Schedule of ",Schedule_Sensitivity," months")</f>
        <v>Planning on Purchasing the Property for $, reselling the property for $, with a Total Rehab Estimate of $, and a Project Schedule of  months</v>
      </c>
      <c r="B18" s="1114"/>
      <c r="C18" s="1114"/>
      <c r="D18" s="1114"/>
      <c r="E18" s="1114"/>
      <c r="F18" s="1114"/>
      <c r="G18" s="1114"/>
      <c r="H18" s="1114"/>
      <c r="I18" s="1114"/>
      <c r="J18" s="1114"/>
      <c r="K18" s="1114"/>
      <c r="L18" s="1115"/>
      <c r="M18" s="183"/>
      <c r="N18" s="1109">
        <f>N19-$O$20</f>
        <v>33000</v>
      </c>
      <c r="O18" s="1109"/>
      <c r="P18" s="1109"/>
      <c r="Q18" s="1109"/>
      <c r="R18" s="1109"/>
      <c r="S18" s="1082">
        <f>$H$11</f>
        <v>130000</v>
      </c>
      <c r="T18" s="1082"/>
      <c r="U18" s="1082"/>
      <c r="V18" s="1082"/>
      <c r="W18" s="1082"/>
      <c r="X18" s="1082">
        <v>33000</v>
      </c>
      <c r="Y18" s="1083"/>
      <c r="Z18" s="1083"/>
      <c r="AA18" s="1083"/>
      <c r="AB18" s="1083"/>
      <c r="AC18" s="1082">
        <f>S18-X18</f>
        <v>97000</v>
      </c>
      <c r="AD18" s="1083"/>
      <c r="AE18" s="1083"/>
      <c r="AF18" s="1083"/>
      <c r="AG18" s="1083"/>
      <c r="AH18" s="1082">
        <f>IFERROR(AC18/$I$19,0)</f>
        <v>0</v>
      </c>
      <c r="AI18" s="1082"/>
      <c r="AJ18" s="1082"/>
      <c r="AK18" s="1082"/>
      <c r="AL18" s="1084">
        <v>0</v>
      </c>
      <c r="AM18" s="1084"/>
      <c r="AN18" s="1084"/>
      <c r="AO18" s="183"/>
      <c r="AP18" s="1085">
        <f>IF(AP19-$AQ$20&lt;0,0,AP19-$AQ$20)</f>
        <v>0</v>
      </c>
      <c r="AQ18" s="1085"/>
      <c r="AR18" s="1085"/>
      <c r="AS18" s="1085"/>
      <c r="AT18" s="1085"/>
      <c r="AU18" s="1082">
        <v>0</v>
      </c>
      <c r="AV18" s="1082"/>
      <c r="AW18" s="1082"/>
      <c r="AX18" s="1082"/>
      <c r="AY18" s="1082"/>
      <c r="AZ18" s="1082">
        <f>AP18*AU18</f>
        <v>0</v>
      </c>
      <c r="BA18" s="1083"/>
      <c r="BB18" s="1083"/>
      <c r="BC18" s="1083"/>
      <c r="BD18" s="1083"/>
      <c r="BE18" s="1082">
        <f>-($AQ$26-AP18)*AU18+$BF$26</f>
        <v>0</v>
      </c>
      <c r="BF18" s="1083"/>
      <c r="BG18" s="1083"/>
      <c r="BH18" s="1083"/>
      <c r="BI18" s="1083"/>
      <c r="BJ18" s="1082">
        <f t="shared" ref="BJ18:BJ26" si="6">IFERROR(BE18/AP18,0)</f>
        <v>0</v>
      </c>
      <c r="BK18" s="1082"/>
      <c r="BL18" s="1082"/>
      <c r="BM18" s="1082"/>
      <c r="BN18" s="1084">
        <v>0</v>
      </c>
      <c r="BO18" s="1084"/>
      <c r="BP18" s="1084"/>
      <c r="BQ18" s="183"/>
      <c r="BR18" s="1133" t="s">
        <v>644</v>
      </c>
      <c r="BS18" s="1134"/>
      <c r="BT18" s="1134"/>
      <c r="BU18" s="1134"/>
      <c r="BV18" s="1134"/>
      <c r="BW18" s="1134"/>
      <c r="BX18" s="1134"/>
      <c r="BY18" s="1106">
        <f>H13</f>
        <v>33000</v>
      </c>
      <c r="BZ18" s="1107"/>
      <c r="CA18" s="1107"/>
      <c r="CB18" s="1107"/>
      <c r="CC18" s="1108"/>
    </row>
    <row r="19" spans="1:81" ht="17" thickBot="1" x14ac:dyDescent="0.2">
      <c r="A19" s="1116"/>
      <c r="B19" s="1117"/>
      <c r="C19" s="1117"/>
      <c r="D19" s="1117"/>
      <c r="E19" s="1117"/>
      <c r="F19" s="1117"/>
      <c r="G19" s="1117"/>
      <c r="H19" s="1117"/>
      <c r="I19" s="1117"/>
      <c r="J19" s="1117"/>
      <c r="K19" s="1117"/>
      <c r="L19" s="1118"/>
      <c r="M19" s="183"/>
      <c r="N19" s="1109">
        <f>N20-$O$20</f>
        <v>33000</v>
      </c>
      <c r="O19" s="1109"/>
      <c r="P19" s="1109"/>
      <c r="Q19" s="1109"/>
      <c r="R19" s="1109"/>
      <c r="S19" s="1082">
        <f t="shared" ref="S19:S26" si="7">$I$15</f>
        <v>0</v>
      </c>
      <c r="T19" s="1082"/>
      <c r="U19" s="1082"/>
      <c r="V19" s="1082"/>
      <c r="W19" s="1082"/>
      <c r="X19" s="1082">
        <v>33000</v>
      </c>
      <c r="Y19" s="1083"/>
      <c r="Z19" s="1083"/>
      <c r="AA19" s="1083"/>
      <c r="AB19" s="1083"/>
      <c r="AC19" s="1082">
        <f t="shared" ref="AC19:AC26" si="8">S19-X19</f>
        <v>-33000</v>
      </c>
      <c r="AD19" s="1083"/>
      <c r="AE19" s="1083"/>
      <c r="AF19" s="1083"/>
      <c r="AG19" s="1083"/>
      <c r="AH19" s="1082">
        <f t="shared" ref="AH19:AH26" si="9">IFERROR(AC19/$I$19,0)</f>
        <v>0</v>
      </c>
      <c r="AI19" s="1082"/>
      <c r="AJ19" s="1082"/>
      <c r="AK19" s="1082"/>
      <c r="AL19" s="1084">
        <v>0</v>
      </c>
      <c r="AM19" s="1084"/>
      <c r="AN19" s="1084"/>
      <c r="AO19" s="183"/>
      <c r="AP19" s="1085">
        <f>IF(AP20-$AQ$20&lt;0,0,AP20-$AQ$20)</f>
        <v>0</v>
      </c>
      <c r="AQ19" s="1085"/>
      <c r="AR19" s="1085"/>
      <c r="AS19" s="1085"/>
      <c r="AT19" s="1085"/>
      <c r="AU19" s="1082">
        <v>0</v>
      </c>
      <c r="AV19" s="1082"/>
      <c r="AW19" s="1082"/>
      <c r="AX19" s="1082"/>
      <c r="AY19" s="1082"/>
      <c r="AZ19" s="1082">
        <f>AP19*AU19</f>
        <v>0</v>
      </c>
      <c r="BA19" s="1083"/>
      <c r="BB19" s="1083"/>
      <c r="BC19" s="1083"/>
      <c r="BD19" s="1083"/>
      <c r="BE19" s="1082">
        <f>-($AQ$26-AP19)*AU19+$BF$26</f>
        <v>0</v>
      </c>
      <c r="BF19" s="1083"/>
      <c r="BG19" s="1083"/>
      <c r="BH19" s="1083"/>
      <c r="BI19" s="1083"/>
      <c r="BJ19" s="1082">
        <f t="shared" si="6"/>
        <v>0</v>
      </c>
      <c r="BK19" s="1082"/>
      <c r="BL19" s="1082"/>
      <c r="BM19" s="1082"/>
      <c r="BN19" s="1084">
        <v>0</v>
      </c>
      <c r="BO19" s="1084"/>
      <c r="BP19" s="1084"/>
      <c r="BQ19" s="183"/>
      <c r="BR19" s="189"/>
      <c r="BS19" s="190"/>
      <c r="BT19" s="190"/>
      <c r="BU19" s="190"/>
      <c r="BV19" s="190"/>
      <c r="BW19" s="190"/>
      <c r="BX19" s="190"/>
      <c r="BY19" s="190"/>
      <c r="BZ19" s="190"/>
      <c r="CA19" s="190"/>
      <c r="CB19" s="190"/>
      <c r="CC19" s="191"/>
    </row>
    <row r="20" spans="1:81" ht="18" thickTop="1" thickBot="1" x14ac:dyDescent="0.2">
      <c r="A20" s="1116"/>
      <c r="B20" s="1117"/>
      <c r="C20" s="1117"/>
      <c r="D20" s="1117"/>
      <c r="E20" s="1117"/>
      <c r="F20" s="1117"/>
      <c r="G20" s="1117"/>
      <c r="H20" s="1117"/>
      <c r="I20" s="1117"/>
      <c r="J20" s="1117"/>
      <c r="K20" s="1117"/>
      <c r="L20" s="1118"/>
      <c r="M20" s="183"/>
      <c r="N20" s="1109">
        <f>N21-$O$20</f>
        <v>33000</v>
      </c>
      <c r="O20" s="1109"/>
      <c r="P20" s="1109"/>
      <c r="Q20" s="1109"/>
      <c r="R20" s="1109"/>
      <c r="S20" s="1082">
        <f t="shared" si="7"/>
        <v>0</v>
      </c>
      <c r="T20" s="1082"/>
      <c r="U20" s="1082"/>
      <c r="V20" s="1082"/>
      <c r="W20" s="1082"/>
      <c r="X20" s="1082">
        <v>33000</v>
      </c>
      <c r="Y20" s="1083"/>
      <c r="Z20" s="1083"/>
      <c r="AA20" s="1083"/>
      <c r="AB20" s="1083"/>
      <c r="AC20" s="1082">
        <f t="shared" si="8"/>
        <v>-33000</v>
      </c>
      <c r="AD20" s="1083"/>
      <c r="AE20" s="1083"/>
      <c r="AF20" s="1083"/>
      <c r="AG20" s="1083"/>
      <c r="AH20" s="1082">
        <f t="shared" si="9"/>
        <v>0</v>
      </c>
      <c r="AI20" s="1082"/>
      <c r="AJ20" s="1082"/>
      <c r="AK20" s="1082"/>
      <c r="AL20" s="1084">
        <v>0</v>
      </c>
      <c r="AM20" s="1084"/>
      <c r="AN20" s="1084"/>
      <c r="AO20" s="183"/>
      <c r="AP20" s="1085">
        <f>IF(AP21-$AQ$20&lt;0,0,AP21-$AQ$20)</f>
        <v>0</v>
      </c>
      <c r="AQ20" s="1085"/>
      <c r="AR20" s="1085"/>
      <c r="AS20" s="1085"/>
      <c r="AT20" s="1085"/>
      <c r="AU20" s="1082">
        <v>0</v>
      </c>
      <c r="AV20" s="1082"/>
      <c r="AW20" s="1082"/>
      <c r="AX20" s="1082"/>
      <c r="AY20" s="1082"/>
      <c r="AZ20" s="1082">
        <f>AP20*AU20</f>
        <v>0</v>
      </c>
      <c r="BA20" s="1083"/>
      <c r="BB20" s="1083"/>
      <c r="BC20" s="1083"/>
      <c r="BD20" s="1083"/>
      <c r="BE20" s="1082">
        <f>-($AQ$26-AP20)*AU20+$BF$26</f>
        <v>0</v>
      </c>
      <c r="BF20" s="1083"/>
      <c r="BG20" s="1083"/>
      <c r="BH20" s="1083"/>
      <c r="BI20" s="1083"/>
      <c r="BJ20" s="1082">
        <f t="shared" si="6"/>
        <v>0</v>
      </c>
      <c r="BK20" s="1082"/>
      <c r="BL20" s="1082"/>
      <c r="BM20" s="1082"/>
      <c r="BN20" s="1084">
        <v>0</v>
      </c>
      <c r="BO20" s="1084"/>
      <c r="BP20" s="1084"/>
      <c r="BQ20" s="183"/>
      <c r="BR20" s="1095" t="s">
        <v>636</v>
      </c>
      <c r="BS20" s="1096"/>
      <c r="BT20" s="1096"/>
      <c r="BU20" s="1096"/>
      <c r="BV20" s="1096"/>
      <c r="BW20" s="1096"/>
      <c r="BX20" s="1096"/>
      <c r="BY20" s="1097">
        <v>0</v>
      </c>
      <c r="BZ20" s="1098"/>
      <c r="CA20" s="1098"/>
      <c r="CB20" s="1098"/>
      <c r="CC20" s="1099"/>
    </row>
    <row r="21" spans="1:81" ht="18" thickTop="1" thickBot="1" x14ac:dyDescent="0.2">
      <c r="A21" s="1116"/>
      <c r="B21" s="1117"/>
      <c r="C21" s="1117"/>
      <c r="D21" s="1117"/>
      <c r="E21" s="1117"/>
      <c r="F21" s="1117"/>
      <c r="G21" s="1117"/>
      <c r="H21" s="1117"/>
      <c r="I21" s="1117"/>
      <c r="J21" s="1117"/>
      <c r="K21" s="1117"/>
      <c r="L21" s="1118"/>
      <c r="M21" s="183"/>
      <c r="N21" s="1109">
        <f>N22-$O$20</f>
        <v>33000</v>
      </c>
      <c r="O21" s="1109"/>
      <c r="P21" s="1109"/>
      <c r="Q21" s="1109"/>
      <c r="R21" s="1109"/>
      <c r="S21" s="1109">
        <f t="shared" si="7"/>
        <v>0</v>
      </c>
      <c r="T21" s="1109"/>
      <c r="U21" s="1109"/>
      <c r="V21" s="1109"/>
      <c r="W21" s="1109"/>
      <c r="X21" s="1109">
        <v>33000</v>
      </c>
      <c r="Y21" s="1110"/>
      <c r="Z21" s="1110"/>
      <c r="AA21" s="1110"/>
      <c r="AB21" s="1110"/>
      <c r="AC21" s="1109">
        <f t="shared" si="8"/>
        <v>-33000</v>
      </c>
      <c r="AD21" s="1110"/>
      <c r="AE21" s="1110"/>
      <c r="AF21" s="1110"/>
      <c r="AG21" s="1110"/>
      <c r="AH21" s="1109">
        <f t="shared" si="9"/>
        <v>0</v>
      </c>
      <c r="AI21" s="1109"/>
      <c r="AJ21" s="1109"/>
      <c r="AK21" s="1109"/>
      <c r="AL21" s="1111">
        <v>0</v>
      </c>
      <c r="AM21" s="1111"/>
      <c r="AN21" s="1111"/>
      <c r="AO21" s="183"/>
      <c r="AP21" s="1112">
        <f>IF(AP22-$AQ$20&lt;0,0,AP22-$AQ$20)</f>
        <v>0</v>
      </c>
      <c r="AQ21" s="1112"/>
      <c r="AR21" s="1112"/>
      <c r="AS21" s="1112"/>
      <c r="AT21" s="1112"/>
      <c r="AU21" s="1109">
        <v>0</v>
      </c>
      <c r="AV21" s="1109"/>
      <c r="AW21" s="1109"/>
      <c r="AX21" s="1109"/>
      <c r="AY21" s="1109"/>
      <c r="AZ21" s="1109">
        <f>AP21*AU21</f>
        <v>0</v>
      </c>
      <c r="BA21" s="1110"/>
      <c r="BB21" s="1110"/>
      <c r="BC21" s="1110"/>
      <c r="BD21" s="1110"/>
      <c r="BE21" s="1109">
        <f>-($AQ$26-AP21)*AU21+$BF$26</f>
        <v>0</v>
      </c>
      <c r="BF21" s="1110"/>
      <c r="BG21" s="1110"/>
      <c r="BH21" s="1110"/>
      <c r="BI21" s="1110"/>
      <c r="BJ21" s="1109">
        <f t="shared" si="6"/>
        <v>0</v>
      </c>
      <c r="BK21" s="1109"/>
      <c r="BL21" s="1109"/>
      <c r="BM21" s="1109"/>
      <c r="BN21" s="1111">
        <v>0</v>
      </c>
      <c r="BO21" s="1111"/>
      <c r="BP21" s="1111"/>
      <c r="BQ21" s="183"/>
      <c r="BR21" s="189"/>
      <c r="BS21" s="190"/>
      <c r="BT21" s="190"/>
      <c r="BU21" s="190"/>
      <c r="BV21" s="190"/>
      <c r="BW21" s="190"/>
      <c r="BX21" s="190"/>
      <c r="BY21" s="190"/>
      <c r="BZ21" s="190"/>
      <c r="CA21" s="190"/>
      <c r="CB21" s="190"/>
      <c r="CC21" s="191"/>
    </row>
    <row r="22" spans="1:81" ht="19" thickTop="1" thickBot="1" x14ac:dyDescent="0.2">
      <c r="A22" s="1116"/>
      <c r="B22" s="1117"/>
      <c r="C22" s="1117"/>
      <c r="D22" s="1117"/>
      <c r="E22" s="1117"/>
      <c r="F22" s="1117"/>
      <c r="G22" s="1117"/>
      <c r="H22" s="1117"/>
      <c r="I22" s="1117"/>
      <c r="J22" s="1117"/>
      <c r="K22" s="1117"/>
      <c r="L22" s="1118"/>
      <c r="M22" s="192"/>
      <c r="N22" s="1089">
        <f>H13</f>
        <v>33000</v>
      </c>
      <c r="O22" s="1089"/>
      <c r="P22" s="1089"/>
      <c r="Q22" s="1089"/>
      <c r="R22" s="1090"/>
      <c r="S22" s="1091">
        <f t="shared" si="7"/>
        <v>0</v>
      </c>
      <c r="T22" s="1091"/>
      <c r="U22" s="1091"/>
      <c r="V22" s="1091"/>
      <c r="W22" s="1091"/>
      <c r="X22" s="1091">
        <v>33000</v>
      </c>
      <c r="Y22" s="1092"/>
      <c r="Z22" s="1092"/>
      <c r="AA22" s="1092"/>
      <c r="AB22" s="1092"/>
      <c r="AC22" s="1091">
        <f t="shared" si="8"/>
        <v>-33000</v>
      </c>
      <c r="AD22" s="1091"/>
      <c r="AE22" s="1091"/>
      <c r="AF22" s="1091"/>
      <c r="AG22" s="1091"/>
      <c r="AH22" s="1091">
        <f t="shared" si="9"/>
        <v>0</v>
      </c>
      <c r="AI22" s="1092"/>
      <c r="AJ22" s="1092"/>
      <c r="AK22" s="1092"/>
      <c r="AL22" s="1093">
        <v>0</v>
      </c>
      <c r="AM22" s="1093"/>
      <c r="AN22" s="1103"/>
      <c r="AO22" s="183"/>
      <c r="AP22" s="1104">
        <f>H15</f>
        <v>0</v>
      </c>
      <c r="AQ22" s="1105"/>
      <c r="AR22" s="1105"/>
      <c r="AS22" s="1105"/>
      <c r="AT22" s="1105"/>
      <c r="AU22" s="1091">
        <v>0</v>
      </c>
      <c r="AV22" s="1091"/>
      <c r="AW22" s="1091"/>
      <c r="AX22" s="1091"/>
      <c r="AY22" s="1091"/>
      <c r="AZ22" s="1091">
        <f>AU22*AP22</f>
        <v>0</v>
      </c>
      <c r="BA22" s="1092"/>
      <c r="BB22" s="1092"/>
      <c r="BC22" s="1092"/>
      <c r="BD22" s="1092"/>
      <c r="BE22" s="1091">
        <v>0</v>
      </c>
      <c r="BF22" s="1091"/>
      <c r="BG22" s="1091"/>
      <c r="BH22" s="1091"/>
      <c r="BI22" s="1091"/>
      <c r="BJ22" s="1091">
        <f t="shared" si="6"/>
        <v>0</v>
      </c>
      <c r="BK22" s="1092"/>
      <c r="BL22" s="1092"/>
      <c r="BM22" s="1092"/>
      <c r="BN22" s="1093">
        <v>0</v>
      </c>
      <c r="BO22" s="1093"/>
      <c r="BP22" s="1094"/>
      <c r="BQ22" s="194"/>
      <c r="BR22" s="1095" t="s">
        <v>655</v>
      </c>
      <c r="BS22" s="1096"/>
      <c r="BT22" s="1096"/>
      <c r="BU22" s="1096"/>
      <c r="BV22" s="1096"/>
      <c r="BW22" s="1096"/>
      <c r="BX22" s="1096"/>
      <c r="BY22" s="1097">
        <v>0</v>
      </c>
      <c r="BZ22" s="1098"/>
      <c r="CA22" s="1098"/>
      <c r="CB22" s="1098"/>
      <c r="CC22" s="1099"/>
    </row>
    <row r="23" spans="1:81" ht="17" thickTop="1" x14ac:dyDescent="0.15">
      <c r="A23" s="1116"/>
      <c r="B23" s="1117"/>
      <c r="C23" s="1117"/>
      <c r="D23" s="1117"/>
      <c r="E23" s="1117"/>
      <c r="F23" s="1117"/>
      <c r="G23" s="1117"/>
      <c r="H23" s="1117"/>
      <c r="I23" s="1117"/>
      <c r="J23" s="1117"/>
      <c r="K23" s="1117"/>
      <c r="L23" s="1118"/>
      <c r="M23" s="183"/>
      <c r="N23" s="1100">
        <f>N22+$O$20</f>
        <v>33000</v>
      </c>
      <c r="O23" s="1100"/>
      <c r="P23" s="1100"/>
      <c r="Q23" s="1100"/>
      <c r="R23" s="1100"/>
      <c r="S23" s="1100">
        <f t="shared" si="7"/>
        <v>0</v>
      </c>
      <c r="T23" s="1100"/>
      <c r="U23" s="1100"/>
      <c r="V23" s="1100"/>
      <c r="W23" s="1100"/>
      <c r="X23" s="1100">
        <v>33000</v>
      </c>
      <c r="Y23" s="1101"/>
      <c r="Z23" s="1101"/>
      <c r="AA23" s="1101"/>
      <c r="AB23" s="1101"/>
      <c r="AC23" s="1082">
        <f t="shared" si="8"/>
        <v>-33000</v>
      </c>
      <c r="AD23" s="1083"/>
      <c r="AE23" s="1083"/>
      <c r="AF23" s="1083"/>
      <c r="AG23" s="1083"/>
      <c r="AH23" s="1082">
        <f t="shared" si="9"/>
        <v>0</v>
      </c>
      <c r="AI23" s="1082"/>
      <c r="AJ23" s="1082"/>
      <c r="AK23" s="1082"/>
      <c r="AL23" s="1086">
        <v>0</v>
      </c>
      <c r="AM23" s="1086"/>
      <c r="AN23" s="1086"/>
      <c r="AO23" s="183"/>
      <c r="AP23" s="1102">
        <f>AP22+$AQ$20</f>
        <v>0</v>
      </c>
      <c r="AQ23" s="1102"/>
      <c r="AR23" s="1102"/>
      <c r="AS23" s="1102"/>
      <c r="AT23" s="1102"/>
      <c r="AU23" s="1100">
        <v>0</v>
      </c>
      <c r="AV23" s="1100"/>
      <c r="AW23" s="1100"/>
      <c r="AX23" s="1100"/>
      <c r="AY23" s="1100"/>
      <c r="AZ23" s="1100">
        <f>AU23*AP23</f>
        <v>0</v>
      </c>
      <c r="BA23" s="1101"/>
      <c r="BB23" s="1101"/>
      <c r="BC23" s="1101"/>
      <c r="BD23" s="1101"/>
      <c r="BE23" s="1082">
        <f>-($AQ$26-AP23)*AU23+$BF$26</f>
        <v>0</v>
      </c>
      <c r="BF23" s="1083"/>
      <c r="BG23" s="1083"/>
      <c r="BH23" s="1083"/>
      <c r="BI23" s="1083"/>
      <c r="BJ23" s="1082">
        <f t="shared" si="6"/>
        <v>0</v>
      </c>
      <c r="BK23" s="1082"/>
      <c r="BL23" s="1082"/>
      <c r="BM23" s="1082"/>
      <c r="BN23" s="1086">
        <v>0</v>
      </c>
      <c r="BO23" s="1086"/>
      <c r="BP23" s="1086"/>
      <c r="BQ23" s="183"/>
      <c r="BR23" s="1087" t="s">
        <v>656</v>
      </c>
      <c r="BS23" s="1088"/>
      <c r="BT23" s="1088"/>
      <c r="BU23" s="1088"/>
      <c r="BV23" s="1088"/>
      <c r="BW23" s="1088"/>
      <c r="BX23" s="1088"/>
      <c r="BY23" s="1106">
        <v>0</v>
      </c>
      <c r="BZ23" s="1107"/>
      <c r="CA23" s="1107"/>
      <c r="CB23" s="1107"/>
      <c r="CC23" s="1108"/>
    </row>
    <row r="24" spans="1:81" ht="16" x14ac:dyDescent="0.15">
      <c r="A24" s="1119"/>
      <c r="B24" s="1120"/>
      <c r="C24" s="1120"/>
      <c r="D24" s="1120"/>
      <c r="E24" s="1120"/>
      <c r="F24" s="1120"/>
      <c r="G24" s="1120"/>
      <c r="H24" s="1120"/>
      <c r="I24" s="1120"/>
      <c r="J24" s="1120"/>
      <c r="K24" s="1120"/>
      <c r="L24" s="1121"/>
      <c r="M24" s="183"/>
      <c r="N24" s="1082">
        <f>N23+$O$20</f>
        <v>33000</v>
      </c>
      <c r="O24" s="1082"/>
      <c r="P24" s="1082"/>
      <c r="Q24" s="1082"/>
      <c r="R24" s="1082"/>
      <c r="S24" s="1082">
        <f t="shared" si="7"/>
        <v>0</v>
      </c>
      <c r="T24" s="1082"/>
      <c r="U24" s="1082"/>
      <c r="V24" s="1082"/>
      <c r="W24" s="1082"/>
      <c r="X24" s="1082">
        <v>33000</v>
      </c>
      <c r="Y24" s="1083"/>
      <c r="Z24" s="1083"/>
      <c r="AA24" s="1083"/>
      <c r="AB24" s="1083"/>
      <c r="AC24" s="1082">
        <f t="shared" si="8"/>
        <v>-33000</v>
      </c>
      <c r="AD24" s="1083"/>
      <c r="AE24" s="1083"/>
      <c r="AF24" s="1083"/>
      <c r="AG24" s="1083"/>
      <c r="AH24" s="1082">
        <f t="shared" si="9"/>
        <v>0</v>
      </c>
      <c r="AI24" s="1082"/>
      <c r="AJ24" s="1082"/>
      <c r="AK24" s="1082"/>
      <c r="AL24" s="1084">
        <v>0</v>
      </c>
      <c r="AM24" s="1084"/>
      <c r="AN24" s="1084"/>
      <c r="AO24" s="183"/>
      <c r="AP24" s="1085">
        <f>AP23+$AQ$20</f>
        <v>0</v>
      </c>
      <c r="AQ24" s="1085"/>
      <c r="AR24" s="1085"/>
      <c r="AS24" s="1085"/>
      <c r="AT24" s="1085"/>
      <c r="AU24" s="1082">
        <v>0</v>
      </c>
      <c r="AV24" s="1082"/>
      <c r="AW24" s="1082"/>
      <c r="AX24" s="1082"/>
      <c r="AY24" s="1082"/>
      <c r="AZ24" s="1082">
        <f>AU24*AP24</f>
        <v>0</v>
      </c>
      <c r="BA24" s="1083"/>
      <c r="BB24" s="1083"/>
      <c r="BC24" s="1083"/>
      <c r="BD24" s="1083"/>
      <c r="BE24" s="1082">
        <f>-($AQ$26-AP24)*AU24+$BF$26</f>
        <v>0</v>
      </c>
      <c r="BF24" s="1083"/>
      <c r="BG24" s="1083"/>
      <c r="BH24" s="1083"/>
      <c r="BI24" s="1083"/>
      <c r="BJ24" s="1082">
        <f t="shared" si="6"/>
        <v>0</v>
      </c>
      <c r="BK24" s="1082"/>
      <c r="BL24" s="1082"/>
      <c r="BM24" s="1082"/>
      <c r="BN24" s="1084">
        <v>0</v>
      </c>
      <c r="BO24" s="1084"/>
      <c r="BP24" s="1084"/>
      <c r="BQ24" s="183"/>
      <c r="BR24" s="1087" t="s">
        <v>638</v>
      </c>
      <c r="BS24" s="1088"/>
      <c r="BT24" s="1088"/>
      <c r="BU24" s="1088"/>
      <c r="BV24" s="1088"/>
      <c r="BW24" s="1088"/>
      <c r="BX24" s="1088"/>
      <c r="BY24" s="1080">
        <v>0</v>
      </c>
      <c r="BZ24" s="1080"/>
      <c r="CA24" s="1080"/>
      <c r="CB24" s="1080"/>
      <c r="CC24" s="1081"/>
    </row>
    <row r="25" spans="1:81" ht="16" x14ac:dyDescent="0.15">
      <c r="A25" s="201"/>
      <c r="B25" s="199"/>
      <c r="C25" s="199"/>
      <c r="D25" s="199"/>
      <c r="E25" s="199"/>
      <c r="F25" s="199"/>
      <c r="G25" s="199"/>
      <c r="H25" s="199"/>
      <c r="I25" s="199"/>
      <c r="J25" s="199"/>
      <c r="K25" s="199"/>
      <c r="L25" s="200"/>
      <c r="M25" s="183"/>
      <c r="N25" s="1082">
        <f>N24+$O$20</f>
        <v>33000</v>
      </c>
      <c r="O25" s="1082"/>
      <c r="P25" s="1082"/>
      <c r="Q25" s="1082"/>
      <c r="R25" s="1082"/>
      <c r="S25" s="1082">
        <f t="shared" si="7"/>
        <v>0</v>
      </c>
      <c r="T25" s="1082"/>
      <c r="U25" s="1082"/>
      <c r="V25" s="1082"/>
      <c r="W25" s="1082"/>
      <c r="X25" s="1082">
        <v>33000</v>
      </c>
      <c r="Y25" s="1083"/>
      <c r="Z25" s="1083"/>
      <c r="AA25" s="1083"/>
      <c r="AB25" s="1083"/>
      <c r="AC25" s="1082">
        <f t="shared" si="8"/>
        <v>-33000</v>
      </c>
      <c r="AD25" s="1083"/>
      <c r="AE25" s="1083"/>
      <c r="AF25" s="1083"/>
      <c r="AG25" s="1083"/>
      <c r="AH25" s="1082">
        <f t="shared" si="9"/>
        <v>0</v>
      </c>
      <c r="AI25" s="1082"/>
      <c r="AJ25" s="1082"/>
      <c r="AK25" s="1082"/>
      <c r="AL25" s="1084">
        <v>0</v>
      </c>
      <c r="AM25" s="1084"/>
      <c r="AN25" s="1084"/>
      <c r="AO25" s="183"/>
      <c r="AP25" s="1085">
        <f>AP24+$AQ$20</f>
        <v>0</v>
      </c>
      <c r="AQ25" s="1085"/>
      <c r="AR25" s="1085"/>
      <c r="AS25" s="1085"/>
      <c r="AT25" s="1085"/>
      <c r="AU25" s="1082">
        <v>0</v>
      </c>
      <c r="AV25" s="1082"/>
      <c r="AW25" s="1082"/>
      <c r="AX25" s="1082"/>
      <c r="AY25" s="1082"/>
      <c r="AZ25" s="1082">
        <f>AU25*AP25</f>
        <v>0</v>
      </c>
      <c r="BA25" s="1083"/>
      <c r="BB25" s="1083"/>
      <c r="BC25" s="1083"/>
      <c r="BD25" s="1083"/>
      <c r="BE25" s="1082">
        <f>-($AQ$26-AP25)*AU25+$BF$26</f>
        <v>0</v>
      </c>
      <c r="BF25" s="1083"/>
      <c r="BG25" s="1083"/>
      <c r="BH25" s="1083"/>
      <c r="BI25" s="1083"/>
      <c r="BJ25" s="1082">
        <f t="shared" si="6"/>
        <v>0</v>
      </c>
      <c r="BK25" s="1082"/>
      <c r="BL25" s="1082"/>
      <c r="BM25" s="1082"/>
      <c r="BN25" s="1084">
        <v>0</v>
      </c>
      <c r="BO25" s="1084"/>
      <c r="BP25" s="1084"/>
      <c r="BQ25" s="183"/>
      <c r="BR25" s="1087" t="s">
        <v>657</v>
      </c>
      <c r="BS25" s="1088"/>
      <c r="BT25" s="1088"/>
      <c r="BU25" s="1088"/>
      <c r="BV25" s="1088"/>
      <c r="BW25" s="1088"/>
      <c r="BX25" s="1088"/>
      <c r="BY25" s="1080">
        <f>IFERROR(BY24/(H15/12),0)</f>
        <v>0</v>
      </c>
      <c r="BZ25" s="1080"/>
      <c r="CA25" s="1080"/>
      <c r="CB25" s="1080"/>
      <c r="CC25" s="1081"/>
    </row>
    <row r="26" spans="1:81" ht="16" x14ac:dyDescent="0.15">
      <c r="A26" s="202"/>
      <c r="B26" s="203"/>
      <c r="C26" s="203"/>
      <c r="D26" s="203"/>
      <c r="E26" s="203"/>
      <c r="F26" s="203"/>
      <c r="G26" s="203"/>
      <c r="H26" s="203"/>
      <c r="I26" s="203"/>
      <c r="J26" s="203"/>
      <c r="K26" s="203"/>
      <c r="L26" s="204"/>
      <c r="M26" s="183"/>
      <c r="N26" s="1082">
        <f>N25+$O$20</f>
        <v>33000</v>
      </c>
      <c r="O26" s="1082"/>
      <c r="P26" s="1082"/>
      <c r="Q26" s="1082"/>
      <c r="R26" s="1082"/>
      <c r="S26" s="1082">
        <f t="shared" si="7"/>
        <v>0</v>
      </c>
      <c r="T26" s="1082"/>
      <c r="U26" s="1082"/>
      <c r="V26" s="1082"/>
      <c r="W26" s="1082"/>
      <c r="X26" s="1082">
        <v>33000</v>
      </c>
      <c r="Y26" s="1083"/>
      <c r="Z26" s="1083"/>
      <c r="AA26" s="1083"/>
      <c r="AB26" s="1083"/>
      <c r="AC26" s="1082">
        <f t="shared" si="8"/>
        <v>-33000</v>
      </c>
      <c r="AD26" s="1083"/>
      <c r="AE26" s="1083"/>
      <c r="AF26" s="1083"/>
      <c r="AG26" s="1083"/>
      <c r="AH26" s="1082">
        <f t="shared" si="9"/>
        <v>0</v>
      </c>
      <c r="AI26" s="1082"/>
      <c r="AJ26" s="1082"/>
      <c r="AK26" s="1082"/>
      <c r="AL26" s="1084">
        <v>0</v>
      </c>
      <c r="AM26" s="1084"/>
      <c r="AN26" s="1084"/>
      <c r="AO26" s="183"/>
      <c r="AP26" s="1085">
        <f>AP25+$AQ$20</f>
        <v>0</v>
      </c>
      <c r="AQ26" s="1085"/>
      <c r="AR26" s="1085"/>
      <c r="AS26" s="1085"/>
      <c r="AT26" s="1085"/>
      <c r="AU26" s="1082">
        <v>0</v>
      </c>
      <c r="AV26" s="1082"/>
      <c r="AW26" s="1082"/>
      <c r="AX26" s="1082"/>
      <c r="AY26" s="1082"/>
      <c r="AZ26" s="1082">
        <f>AU26*AP26</f>
        <v>0</v>
      </c>
      <c r="BA26" s="1083"/>
      <c r="BB26" s="1083"/>
      <c r="BC26" s="1083"/>
      <c r="BD26" s="1083"/>
      <c r="BE26" s="1082">
        <f>-($AQ$26-AP26)*AU26+$BF$26</f>
        <v>0</v>
      </c>
      <c r="BF26" s="1083"/>
      <c r="BG26" s="1083"/>
      <c r="BH26" s="1083"/>
      <c r="BI26" s="1083"/>
      <c r="BJ26" s="1082">
        <f t="shared" si="6"/>
        <v>0</v>
      </c>
      <c r="BK26" s="1082"/>
      <c r="BL26" s="1082"/>
      <c r="BM26" s="1082"/>
      <c r="BN26" s="1084">
        <v>0</v>
      </c>
      <c r="BO26" s="1084"/>
      <c r="BP26" s="1084"/>
      <c r="BQ26" s="183"/>
      <c r="BR26" s="205"/>
      <c r="BS26" s="206"/>
      <c r="BT26" s="206"/>
      <c r="BU26" s="206"/>
      <c r="BV26" s="206"/>
      <c r="BW26" s="206"/>
      <c r="BX26" s="206"/>
      <c r="BY26" s="206"/>
      <c r="BZ26" s="206"/>
      <c r="CA26" s="206"/>
      <c r="CB26" s="206"/>
      <c r="CC26" s="207"/>
    </row>
  </sheetData>
  <mergeCells count="291">
    <mergeCell ref="S1:AN2"/>
    <mergeCell ref="AU1:BP2"/>
    <mergeCell ref="N2:R2"/>
    <mergeCell ref="AP2:AT2"/>
    <mergeCell ref="A3:L5"/>
    <mergeCell ref="N3:R3"/>
    <mergeCell ref="S3:W4"/>
    <mergeCell ref="X3:AB4"/>
    <mergeCell ref="AC3:AG4"/>
    <mergeCell ref="AH3:AK4"/>
    <mergeCell ref="AP5:AT5"/>
    <mergeCell ref="AU5:AY5"/>
    <mergeCell ref="AZ5:BD5"/>
    <mergeCell ref="BE5:BI5"/>
    <mergeCell ref="BJ5:BM5"/>
    <mergeCell ref="BN5:BP5"/>
    <mergeCell ref="BN3:BP4"/>
    <mergeCell ref="BR3:CC5"/>
    <mergeCell ref="N4:R4"/>
    <mergeCell ref="AP4:AT4"/>
    <mergeCell ref="N5:R5"/>
    <mergeCell ref="S5:W5"/>
    <mergeCell ref="X5:AB5"/>
    <mergeCell ref="AC5:AG5"/>
    <mergeCell ref="AH5:AK5"/>
    <mergeCell ref="AL5:AN5"/>
    <mergeCell ref="AL3:AN4"/>
    <mergeCell ref="AP3:AT3"/>
    <mergeCell ref="AU3:AY4"/>
    <mergeCell ref="AZ3:BD4"/>
    <mergeCell ref="BE3:BI4"/>
    <mergeCell ref="BJ3:BM4"/>
    <mergeCell ref="BE6:BI6"/>
    <mergeCell ref="BJ6:BM6"/>
    <mergeCell ref="BN6:BP6"/>
    <mergeCell ref="N6:R6"/>
    <mergeCell ref="S6:W6"/>
    <mergeCell ref="X6:AB6"/>
    <mergeCell ref="AC6:AG6"/>
    <mergeCell ref="AH6:AK6"/>
    <mergeCell ref="AL6:AN6"/>
    <mergeCell ref="A7:L7"/>
    <mergeCell ref="N7:R7"/>
    <mergeCell ref="S7:W7"/>
    <mergeCell ref="X7:AB7"/>
    <mergeCell ref="AC7:AG7"/>
    <mergeCell ref="AH7:AK7"/>
    <mergeCell ref="AP6:AT6"/>
    <mergeCell ref="AU6:AY6"/>
    <mergeCell ref="AZ6:BD6"/>
    <mergeCell ref="BN7:BP7"/>
    <mergeCell ref="BR7:CC7"/>
    <mergeCell ref="N8:R8"/>
    <mergeCell ref="S8:W8"/>
    <mergeCell ref="X8:AB8"/>
    <mergeCell ref="AC8:AG8"/>
    <mergeCell ref="AH8:AK8"/>
    <mergeCell ref="AL8:AN8"/>
    <mergeCell ref="AP8:AT8"/>
    <mergeCell ref="AU8:AY8"/>
    <mergeCell ref="AL7:AN7"/>
    <mergeCell ref="AP7:AT7"/>
    <mergeCell ref="AU7:AY7"/>
    <mergeCell ref="AZ7:BD7"/>
    <mergeCell ref="BE7:BI7"/>
    <mergeCell ref="BJ7:BM7"/>
    <mergeCell ref="AZ8:BD8"/>
    <mergeCell ref="BE8:BI8"/>
    <mergeCell ref="BJ8:BM8"/>
    <mergeCell ref="BN8:BP8"/>
    <mergeCell ref="A9:G9"/>
    <mergeCell ref="H9:L9"/>
    <mergeCell ref="N9:R9"/>
    <mergeCell ref="S9:W9"/>
    <mergeCell ref="X9:AB9"/>
    <mergeCell ref="AC9:AG9"/>
    <mergeCell ref="BE10:BI10"/>
    <mergeCell ref="BJ10:BM10"/>
    <mergeCell ref="BN10:BP10"/>
    <mergeCell ref="BJ9:BM9"/>
    <mergeCell ref="BN9:BP9"/>
    <mergeCell ref="BR9:BX9"/>
    <mergeCell ref="BY9:CC9"/>
    <mergeCell ref="N10:R10"/>
    <mergeCell ref="S10:W10"/>
    <mergeCell ref="X10:AB10"/>
    <mergeCell ref="AC10:AG10"/>
    <mergeCell ref="AH10:AK10"/>
    <mergeCell ref="AL10:AN10"/>
    <mergeCell ref="AH9:AK9"/>
    <mergeCell ref="AL9:AN9"/>
    <mergeCell ref="AP9:AT9"/>
    <mergeCell ref="AU9:AY9"/>
    <mergeCell ref="AZ9:BD9"/>
    <mergeCell ref="BE9:BI9"/>
    <mergeCell ref="A11:G11"/>
    <mergeCell ref="H11:L11"/>
    <mergeCell ref="N11:R11"/>
    <mergeCell ref="S11:W11"/>
    <mergeCell ref="X11:AB11"/>
    <mergeCell ref="AC11:AG11"/>
    <mergeCell ref="AP10:AT10"/>
    <mergeCell ref="AU10:AY10"/>
    <mergeCell ref="AZ10:BD10"/>
    <mergeCell ref="BJ11:BM11"/>
    <mergeCell ref="BN11:BP11"/>
    <mergeCell ref="BR11:BX11"/>
    <mergeCell ref="BY11:CC11"/>
    <mergeCell ref="N12:R12"/>
    <mergeCell ref="S12:W12"/>
    <mergeCell ref="X12:AB12"/>
    <mergeCell ref="AC12:AG12"/>
    <mergeCell ref="AH12:AK12"/>
    <mergeCell ref="AL12:AN12"/>
    <mergeCell ref="AH11:AK11"/>
    <mergeCell ref="AL11:AN11"/>
    <mergeCell ref="AP11:AT11"/>
    <mergeCell ref="AU11:AY11"/>
    <mergeCell ref="AZ11:BD11"/>
    <mergeCell ref="BE11:BI11"/>
    <mergeCell ref="BR12:BX12"/>
    <mergeCell ref="BY12:CC12"/>
    <mergeCell ref="AU12:AY12"/>
    <mergeCell ref="AZ12:BD12"/>
    <mergeCell ref="BE12:BI12"/>
    <mergeCell ref="BJ12:BM12"/>
    <mergeCell ref="BN12:BP12"/>
    <mergeCell ref="A13:G13"/>
    <mergeCell ref="H13:L13"/>
    <mergeCell ref="N13:R13"/>
    <mergeCell ref="S13:W13"/>
    <mergeCell ref="X13:AB13"/>
    <mergeCell ref="AC13:AG13"/>
    <mergeCell ref="AH13:AK13"/>
    <mergeCell ref="AL13:AN13"/>
    <mergeCell ref="AP12:AT12"/>
    <mergeCell ref="BR13:BX13"/>
    <mergeCell ref="BY13:CC13"/>
    <mergeCell ref="S14:AN15"/>
    <mergeCell ref="AU14:BP15"/>
    <mergeCell ref="BR14:BX14"/>
    <mergeCell ref="BY14:CC14"/>
    <mergeCell ref="AP13:AT13"/>
    <mergeCell ref="AU13:AY13"/>
    <mergeCell ref="AZ13:BD13"/>
    <mergeCell ref="BE13:BI13"/>
    <mergeCell ref="BJ13:BM13"/>
    <mergeCell ref="BN13:BP13"/>
    <mergeCell ref="A15:G15"/>
    <mergeCell ref="H15:L15"/>
    <mergeCell ref="N15:R15"/>
    <mergeCell ref="AP15:AT15"/>
    <mergeCell ref="N16:R16"/>
    <mergeCell ref="S16:W17"/>
    <mergeCell ref="X16:AB17"/>
    <mergeCell ref="AC16:AG17"/>
    <mergeCell ref="AH16:AK17"/>
    <mergeCell ref="AL16:AN17"/>
    <mergeCell ref="A18:L24"/>
    <mergeCell ref="N18:R18"/>
    <mergeCell ref="S18:W18"/>
    <mergeCell ref="X18:AB18"/>
    <mergeCell ref="AC18:AG18"/>
    <mergeCell ref="AH18:AK18"/>
    <mergeCell ref="BR16:BX16"/>
    <mergeCell ref="BY16:CC16"/>
    <mergeCell ref="N17:R17"/>
    <mergeCell ref="AP17:AT17"/>
    <mergeCell ref="BR17:BX17"/>
    <mergeCell ref="BY17:CC17"/>
    <mergeCell ref="AP16:AT16"/>
    <mergeCell ref="AU16:AY17"/>
    <mergeCell ref="AZ16:BD17"/>
    <mergeCell ref="BE16:BI17"/>
    <mergeCell ref="BJ16:BM17"/>
    <mergeCell ref="BN16:BP17"/>
    <mergeCell ref="BN18:BP18"/>
    <mergeCell ref="BR18:BX18"/>
    <mergeCell ref="BY18:CC18"/>
    <mergeCell ref="N19:R19"/>
    <mergeCell ref="S19:W19"/>
    <mergeCell ref="X19:AB19"/>
    <mergeCell ref="BJ18:BM18"/>
    <mergeCell ref="AU19:AY19"/>
    <mergeCell ref="AZ19:BD19"/>
    <mergeCell ref="BE19:BI19"/>
    <mergeCell ref="BJ19:BM19"/>
    <mergeCell ref="BN19:BP19"/>
    <mergeCell ref="N20:R20"/>
    <mergeCell ref="S20:W20"/>
    <mergeCell ref="X20:AB20"/>
    <mergeCell ref="AC20:AG20"/>
    <mergeCell ref="AH20:AK20"/>
    <mergeCell ref="BN20:BP20"/>
    <mergeCell ref="AC19:AG19"/>
    <mergeCell ref="AH19:AK19"/>
    <mergeCell ref="AL19:AN19"/>
    <mergeCell ref="AP19:AT19"/>
    <mergeCell ref="AL18:AN18"/>
    <mergeCell ref="AP18:AT18"/>
    <mergeCell ref="AU18:AY18"/>
    <mergeCell ref="AZ18:BD18"/>
    <mergeCell ref="BE18:BI18"/>
    <mergeCell ref="BR20:BX20"/>
    <mergeCell ref="BY20:CC20"/>
    <mergeCell ref="N21:R21"/>
    <mergeCell ref="S21:W21"/>
    <mergeCell ref="X21:AB21"/>
    <mergeCell ref="AC21:AG21"/>
    <mergeCell ref="AH21:AK21"/>
    <mergeCell ref="AL21:AN21"/>
    <mergeCell ref="AP21:AT21"/>
    <mergeCell ref="AL20:AN20"/>
    <mergeCell ref="AP20:AT20"/>
    <mergeCell ref="AU20:AY20"/>
    <mergeCell ref="AZ20:BD20"/>
    <mergeCell ref="BE20:BI20"/>
    <mergeCell ref="BJ20:BM20"/>
    <mergeCell ref="AU21:AY21"/>
    <mergeCell ref="AZ21:BD21"/>
    <mergeCell ref="BE21:BI21"/>
    <mergeCell ref="BJ21:BM21"/>
    <mergeCell ref="BN21:BP21"/>
    <mergeCell ref="N22:R22"/>
    <mergeCell ref="S22:W22"/>
    <mergeCell ref="X22:AB22"/>
    <mergeCell ref="AC22:AG22"/>
    <mergeCell ref="AH22:AK22"/>
    <mergeCell ref="BN22:BP22"/>
    <mergeCell ref="BR22:BX22"/>
    <mergeCell ref="BY22:CC22"/>
    <mergeCell ref="N23:R23"/>
    <mergeCell ref="S23:W23"/>
    <mergeCell ref="X23:AB23"/>
    <mergeCell ref="AC23:AG23"/>
    <mergeCell ref="AH23:AK23"/>
    <mergeCell ref="AL23:AN23"/>
    <mergeCell ref="AP23:AT23"/>
    <mergeCell ref="AL22:AN22"/>
    <mergeCell ref="AP22:AT22"/>
    <mergeCell ref="AU22:AY22"/>
    <mergeCell ref="AZ22:BD22"/>
    <mergeCell ref="BE22:BI22"/>
    <mergeCell ref="BJ22:BM22"/>
    <mergeCell ref="BY23:CC23"/>
    <mergeCell ref="AU23:AY23"/>
    <mergeCell ref="AZ23:BD23"/>
    <mergeCell ref="BY24:CC24"/>
    <mergeCell ref="N24:R24"/>
    <mergeCell ref="S24:W24"/>
    <mergeCell ref="X24:AB24"/>
    <mergeCell ref="AC24:AG24"/>
    <mergeCell ref="AH24:AK24"/>
    <mergeCell ref="AL24:AN24"/>
    <mergeCell ref="AP24:AT24"/>
    <mergeCell ref="AU24:AY24"/>
    <mergeCell ref="AZ24:BD24"/>
    <mergeCell ref="BE23:BI23"/>
    <mergeCell ref="BJ23:BM23"/>
    <mergeCell ref="BN23:BP23"/>
    <mergeCell ref="BR23:BX23"/>
    <mergeCell ref="BE24:BI24"/>
    <mergeCell ref="BJ24:BM24"/>
    <mergeCell ref="BN24:BP24"/>
    <mergeCell ref="BR24:BX24"/>
    <mergeCell ref="BN26:BP26"/>
    <mergeCell ref="BN25:BP25"/>
    <mergeCell ref="BR25:BX25"/>
    <mergeCell ref="BY25:CC25"/>
    <mergeCell ref="N26:R26"/>
    <mergeCell ref="S26:W26"/>
    <mergeCell ref="X26:AB26"/>
    <mergeCell ref="AC26:AG26"/>
    <mergeCell ref="AH26:AK26"/>
    <mergeCell ref="AL26:AN26"/>
    <mergeCell ref="AP26:AT26"/>
    <mergeCell ref="AL25:AN25"/>
    <mergeCell ref="AP25:AT25"/>
    <mergeCell ref="AU25:AY25"/>
    <mergeCell ref="AZ25:BD25"/>
    <mergeCell ref="BE25:BI25"/>
    <mergeCell ref="BJ25:BM25"/>
    <mergeCell ref="N25:R25"/>
    <mergeCell ref="S25:W25"/>
    <mergeCell ref="X25:AB25"/>
    <mergeCell ref="AC25:AG25"/>
    <mergeCell ref="AH25:AK25"/>
    <mergeCell ref="AU26:AY26"/>
    <mergeCell ref="AZ26:BD26"/>
    <mergeCell ref="BE26:BI26"/>
    <mergeCell ref="BJ26:BM26"/>
  </mergeCells>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DEAL ANALYZER</vt:lpstr>
      <vt:lpstr>HARD MONEY LOAN</vt:lpstr>
      <vt:lpstr>REPAIR ESTIMATOR</vt:lpstr>
      <vt:lpstr>DEAL SCENARIOS</vt:lpstr>
      <vt:lpstr>OFFER LETTER</vt:lpstr>
      <vt:lpstr>INVESTMENT REPORT</vt:lpstr>
      <vt:lpstr>CHECKLISTS</vt:lpstr>
      <vt:lpstr>RULES OF THUMB</vt:lpstr>
      <vt:lpstr>SCENARIOS</vt:lpstr>
      <vt:lpstr>ARV_Sensitivity</vt:lpstr>
      <vt:lpstr>Estimate_Sensitivity</vt:lpstr>
      <vt:lpstr>'DEAL ANALYZER'!Print_Area</vt:lpstr>
      <vt:lpstr>'HARD MONEY LOAN'!Print_Area</vt:lpstr>
      <vt:lpstr>'INVESTMENT REPORT'!Print_Area</vt:lpstr>
      <vt:lpstr>'OFFER LETTER'!Print_Area</vt:lpstr>
      <vt:lpstr>'REPAIR ESTIMATOR'!Print_Area</vt:lpstr>
      <vt:lpstr>'RULES OF THUMB'!Print_Area</vt:lpstr>
      <vt:lpstr>Purchase_Price_Sensitivity</vt:lpstr>
      <vt:lpstr>Schedule_Sensitivity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Morales</dc:creator>
  <cp:keywords/>
  <dc:description/>
  <cp:lastModifiedBy>Microsoft Office User</cp:lastModifiedBy>
  <cp:revision/>
  <dcterms:created xsi:type="dcterms:W3CDTF">2018-08-25T17:24:52Z</dcterms:created>
  <dcterms:modified xsi:type="dcterms:W3CDTF">2022-11-03T23:27:28Z</dcterms:modified>
  <cp:category/>
  <cp:contentStatus/>
</cp:coreProperties>
</file>