
<file path=[Content_Types].xml><?xml version="1.0" encoding="utf-8"?>
<Types xmlns="http://schemas.openxmlformats.org/package/2006/content-types">
  <Default Extension="B65113F0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xr\OneDrive - HVS\Documents\HVS Software\HVS Software 6.0\Software 6.0\Long Names Rushmore Focus\"/>
    </mc:Choice>
  </mc:AlternateContent>
  <xr:revisionPtr revIDLastSave="0" documentId="13_ncr:1_{B6078EA4-0E0E-436E-AF03-434C37D41FF7}" xr6:coauthVersionLast="40" xr6:coauthVersionMax="40" xr10:uidLastSave="{00000000-0000-0000-0000-000000000000}"/>
  <bookViews>
    <workbookView xWindow="-110" yWindow="-110" windowWidth="19420" windowHeight="10420" tabRatio="778" xr2:uid="{00000000-000D-0000-FFFF-FFFF00000000}"/>
  </bookViews>
  <sheets>
    <sheet name="Intro" sheetId="6" r:id="rId1"/>
    <sheet name="Input" sheetId="1" r:id="rId2"/>
    <sheet name="10 Yr Output-LTV" sheetId="3" r:id="rId3"/>
    <sheet name="10 Yr Output-DCR" sheetId="7" r:id="rId4"/>
    <sheet name="10 Yr Output-DY" sheetId="8" r:id="rId5"/>
    <sheet name="5 Yr Output-LTV" sheetId="9" r:id="rId6"/>
    <sheet name="5 Yr Output-DCR" sheetId="10" r:id="rId7"/>
    <sheet name="5 Yr Output-DY" sheetId="11" r:id="rId8"/>
    <sheet name="Calcs" sheetId="2" r:id="rId9"/>
    <sheet name="License" sheetId="12" r:id="rId10"/>
  </sheets>
  <definedNames>
    <definedName name="_xlnm.Print_Area" localSheetId="2">'10 Yr Output-LTV'!$B$2:$N$76</definedName>
    <definedName name="_xlnm.Print_Area" localSheetId="1">Input!$C$1:$I$32</definedName>
    <definedName name="wrn.All._.Inputs." localSheetId="0" hidden="1">{#N/A,#N/A,FALSE,"Primary";#N/A,#N/A,FALSE,"Secondary";#N/A,#N/A,FALSE,"Latent";#N/A,#N/A,FALSE,"Comp Index";#N/A,#N/A,FALSE,"Demand Inputs";#N/A,#N/A,FALSE,"Supply Addn"}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BaseYearDemand." localSheetId="0" hidden="1">{"Base Year Demand",#N/A,FALSE,"Demand-Base Year"}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CI._.Calcs." localSheetId="0" hidden="1">{"CI Calcs A",#N/A,FALSE,"Comp Index Calcs";"CI Calcs B",#N/A,FALSE,"Comp Index Calcs"}</definedName>
    <definedName name="wrn.Competitive._.Indexes." localSheetId="0" hidden="1">{#N/A,#N/A,FALSE,"Comp Index"}</definedName>
    <definedName name="wrn.DCR._.Output." hidden="1">{"DCR Output",#N/A,FALSE,"Output"}</definedName>
    <definedName name="wrn.Demand._.Calcs." localSheetId="0" hidden="1">{"Demand Calcs",#N/A,FALSE,"Demand Calcs"}</definedName>
    <definedName name="wrn.Demand._.Calcs." hidden="1">{#N/A,#N/A,FALSE,"Demand Calcs"}</definedName>
    <definedName name="wrn.Demand._.Inputs." localSheetId="0" hidden="1">{#N/A,#N/A,FALSE,"Demand Inputs"}</definedName>
    <definedName name="wrn.Demand._.Inputs." hidden="1">{#N/A,#N/A,FALSE,"Demand Inputs"}</definedName>
    <definedName name="wrn.Fair._.Share._.Calcs." localSheetId="0" hidden="1">{#N/A,#N/A,FALSE,"Fair Share"}</definedName>
    <definedName name="wrn.Fair._.Share._.Calcs." hidden="1">{#N/A,#N/A,FALSE,"Fair Share"}</definedName>
    <definedName name="wrn.Final._.Output." localSheetId="0" hidden="1">{#N/A,#N/A,FALSE,"Final Output"}</definedName>
    <definedName name="wrn.Final._.Output." hidden="1">{#N/A,#N/A,FALSE,"Final Output"}</definedName>
    <definedName name="wrn.Inputs." hidden="1">{#N/A,#N/A,FALSE,"Input"}</definedName>
    <definedName name="wrn.Latent._.Demand._.Inputs." localSheetId="0" hidden="1">{#N/A,#N/A,FALSE,"Latent"}</definedName>
    <definedName name="wrn.Latent._.Demand._.Inputs." hidden="1">{#N/A,#N/A,FALSE,"Latent"}</definedName>
    <definedName name="wrn.LTV._.Output." hidden="1">{"LTV Output",#N/A,FALSE,"Output"}</definedName>
    <definedName name="wrn.Occupancy._.Calcs." localSheetId="0" hidden="1">{#N/A,#N/A,FALSE,"CI Calcs"}</definedName>
    <definedName name="wrn.Occupancy._.Calcs." hidden="1">{#N/A,#N/A,FALSE,"Occ. Calcs"}</definedName>
    <definedName name="wrn.Penetration." localSheetId="0" hidden="1">{#N/A,#N/A,FALSE,"Mkt Pen"}</definedName>
    <definedName name="wrn.Penetration." hidden="1">{#N/A,#N/A,FALSE,"Mkt Pen"}</definedName>
    <definedName name="wrn.Primary._.Competition." localSheetId="0" hidden="1">{#N/A,#N/A,FALSE,"Primary"}</definedName>
    <definedName name="wrn.Primary._.Competition." hidden="1">{#N/A,#N/A,FALSE,"Primary"}</definedName>
    <definedName name="wrn.Secondary._.Competition." localSheetId="0" hidden="1">{#N/A,#N/A,FALSE,"SC"}</definedName>
    <definedName name="wrn.Secondary._.Competition." hidden="1">{#N/A,#N/A,FALSE,"Secondary"}</definedName>
    <definedName name="wrn.Supply._.Additions." localSheetId="0" hidden="1">{#N/A,#N/A,FALSE,"S-add"}</definedName>
    <definedName name="wrn.Supply._.Additions." hidden="1">{#N/A,#N/A,FALSE,"Supply Addn"}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H12" i="1"/>
  <c r="I12" i="1"/>
  <c r="I13" i="1"/>
  <c r="H13" i="1"/>
  <c r="H14" i="1"/>
  <c r="H15" i="1"/>
  <c r="H16" i="1"/>
  <c r="F7" i="2"/>
  <c r="E35" i="1"/>
  <c r="D35" i="1"/>
  <c r="E30" i="1"/>
  <c r="D30" i="1"/>
  <c r="D20" i="1"/>
  <c r="I14" i="1"/>
  <c r="I15" i="1"/>
  <c r="N10" i="2"/>
  <c r="K21" i="2"/>
  <c r="M19" i="2"/>
  <c r="N5" i="2"/>
  <c r="N19" i="2"/>
  <c r="O19" i="2"/>
  <c r="M20" i="2"/>
  <c r="N6" i="2"/>
  <c r="N20" i="2"/>
  <c r="O20" i="2"/>
  <c r="M21" i="2"/>
  <c r="N7" i="2"/>
  <c r="N21" i="2"/>
  <c r="O21" i="2"/>
  <c r="M22" i="2"/>
  <c r="N8" i="2"/>
  <c r="N22" i="2"/>
  <c r="O22" i="2"/>
  <c r="M23" i="2"/>
  <c r="N9" i="2"/>
  <c r="N23" i="2"/>
  <c r="O23" i="2"/>
  <c r="K31" i="2"/>
  <c r="K19" i="2"/>
  <c r="P19" i="2"/>
  <c r="P20" i="2"/>
  <c r="P21" i="2"/>
  <c r="P22" i="2"/>
  <c r="P23" i="2"/>
  <c r="K20" i="2"/>
  <c r="K23" i="2"/>
  <c r="K32" i="2"/>
  <c r="K33" i="2"/>
  <c r="K34" i="2"/>
  <c r="C5" i="9"/>
  <c r="E20" i="1"/>
  <c r="K8" i="9"/>
  <c r="K60" i="2"/>
  <c r="K44" i="2"/>
  <c r="C44" i="2"/>
  <c r="C60" i="2"/>
  <c r="E11" i="1"/>
  <c r="F10" i="1"/>
  <c r="F11" i="1"/>
  <c r="F12" i="1"/>
  <c r="F13" i="1"/>
  <c r="F14" i="1"/>
  <c r="F15" i="1"/>
  <c r="F16" i="1"/>
  <c r="F17" i="1"/>
  <c r="F18" i="1"/>
  <c r="F19" i="1"/>
  <c r="F20" i="1"/>
  <c r="E10" i="1"/>
  <c r="M57" i="2"/>
  <c r="K63" i="2"/>
  <c r="K64" i="2"/>
  <c r="K55" i="2"/>
  <c r="K65" i="2"/>
  <c r="K57" i="2"/>
  <c r="K56" i="2"/>
  <c r="K59" i="2"/>
  <c r="K58" i="2"/>
  <c r="K66" i="2"/>
  <c r="K67" i="2"/>
  <c r="K62" i="2"/>
  <c r="C5" i="11"/>
  <c r="C6" i="11"/>
  <c r="C7" i="11"/>
  <c r="D7" i="11"/>
  <c r="D6" i="11"/>
  <c r="D5" i="11"/>
  <c r="M41" i="2"/>
  <c r="K39" i="2"/>
  <c r="K47" i="2"/>
  <c r="K48" i="2"/>
  <c r="K49" i="2"/>
  <c r="K41" i="2"/>
  <c r="K40" i="2"/>
  <c r="K43" i="2"/>
  <c r="K42" i="2"/>
  <c r="K50" i="2"/>
  <c r="K51" i="2"/>
  <c r="K46" i="2"/>
  <c r="C5" i="10"/>
  <c r="C6" i="10"/>
  <c r="C7" i="10"/>
  <c r="D7" i="10"/>
  <c r="D6" i="10"/>
  <c r="D5" i="10"/>
  <c r="K35" i="2"/>
  <c r="C6" i="9"/>
  <c r="C7" i="9"/>
  <c r="D7" i="9"/>
  <c r="D6" i="9"/>
  <c r="D5" i="9"/>
  <c r="E57" i="2"/>
  <c r="C63" i="2"/>
  <c r="E19" i="2"/>
  <c r="F5" i="2"/>
  <c r="F19" i="2"/>
  <c r="G19" i="2"/>
  <c r="E20" i="2"/>
  <c r="F6" i="2"/>
  <c r="F20" i="2"/>
  <c r="G20" i="2"/>
  <c r="E21" i="2"/>
  <c r="F21" i="2"/>
  <c r="G21" i="2"/>
  <c r="E22" i="2"/>
  <c r="F8" i="2"/>
  <c r="F22" i="2"/>
  <c r="G22" i="2"/>
  <c r="E23" i="2"/>
  <c r="F9" i="2"/>
  <c r="F23" i="2"/>
  <c r="G23" i="2"/>
  <c r="E24" i="2"/>
  <c r="F10" i="2"/>
  <c r="F24" i="2"/>
  <c r="G24" i="2"/>
  <c r="E25" i="2"/>
  <c r="F11" i="2"/>
  <c r="F25" i="2"/>
  <c r="G25" i="2"/>
  <c r="E26" i="2"/>
  <c r="H17" i="1"/>
  <c r="F12" i="2"/>
  <c r="F26" i="2"/>
  <c r="G26" i="2"/>
  <c r="E27" i="2"/>
  <c r="H18" i="1"/>
  <c r="F13" i="2"/>
  <c r="F27" i="2"/>
  <c r="G27" i="2"/>
  <c r="E28" i="2"/>
  <c r="H19" i="1"/>
  <c r="F14" i="2"/>
  <c r="F28" i="2"/>
  <c r="G28" i="2"/>
  <c r="C64" i="2"/>
  <c r="C19" i="2"/>
  <c r="C55" i="2"/>
  <c r="C65" i="2"/>
  <c r="H20" i="1"/>
  <c r="F15" i="2"/>
  <c r="C21" i="2"/>
  <c r="C57" i="2"/>
  <c r="C20" i="2"/>
  <c r="C56" i="2"/>
  <c r="C59" i="2"/>
  <c r="C58" i="2"/>
  <c r="C66" i="2"/>
  <c r="C67" i="2"/>
  <c r="C62" i="2"/>
  <c r="C5" i="8"/>
  <c r="C6" i="8"/>
  <c r="C7" i="8"/>
  <c r="D7" i="8"/>
  <c r="D6" i="8"/>
  <c r="D5" i="8"/>
  <c r="E41" i="2"/>
  <c r="C39" i="2"/>
  <c r="C47" i="2"/>
  <c r="C48" i="2"/>
  <c r="C49" i="2"/>
  <c r="C41" i="2"/>
  <c r="C40" i="2"/>
  <c r="C43" i="2"/>
  <c r="C42" i="2"/>
  <c r="C50" i="2"/>
  <c r="C51" i="2"/>
  <c r="C46" i="2"/>
  <c r="C5" i="7"/>
  <c r="C6" i="7"/>
  <c r="C7" i="7"/>
  <c r="D7" i="7"/>
  <c r="D6" i="7"/>
  <c r="D5" i="7"/>
  <c r="C31" i="2"/>
  <c r="H19" i="2"/>
  <c r="C23" i="2"/>
  <c r="H20" i="2"/>
  <c r="H21" i="2"/>
  <c r="H22" i="2"/>
  <c r="H23" i="2"/>
  <c r="H24" i="2"/>
  <c r="H25" i="2"/>
  <c r="H26" i="2"/>
  <c r="H27" i="2"/>
  <c r="H28" i="2"/>
  <c r="C32" i="2"/>
  <c r="C33" i="2"/>
  <c r="C34" i="2"/>
  <c r="C5" i="3"/>
  <c r="C35" i="2"/>
  <c r="C6" i="3"/>
  <c r="C7" i="3"/>
  <c r="D7" i="3"/>
  <c r="D6" i="3"/>
  <c r="D5" i="3"/>
  <c r="D12" i="3"/>
  <c r="N12" i="3"/>
  <c r="F12" i="3"/>
  <c r="G12" i="3"/>
  <c r="H12" i="3"/>
  <c r="I12" i="3"/>
  <c r="J12" i="3"/>
  <c r="K12" i="3"/>
  <c r="L12" i="3"/>
  <c r="M12" i="3"/>
  <c r="E12" i="3"/>
  <c r="E5" i="3"/>
  <c r="K9" i="3"/>
  <c r="D12" i="7"/>
  <c r="E12" i="7"/>
  <c r="F12" i="7"/>
  <c r="G12" i="7"/>
  <c r="H12" i="7"/>
  <c r="I12" i="7"/>
  <c r="J12" i="7"/>
  <c r="K12" i="7"/>
  <c r="L12" i="7"/>
  <c r="M12" i="7"/>
  <c r="N12" i="7"/>
  <c r="E5" i="7"/>
  <c r="K9" i="7"/>
  <c r="D12" i="8"/>
  <c r="E12" i="8"/>
  <c r="F12" i="8"/>
  <c r="G12" i="8"/>
  <c r="H12" i="8"/>
  <c r="I12" i="8"/>
  <c r="J12" i="8"/>
  <c r="K12" i="8"/>
  <c r="L12" i="8"/>
  <c r="M12" i="8"/>
  <c r="N12" i="8"/>
  <c r="E5" i="8"/>
  <c r="K9" i="8"/>
  <c r="D12" i="9"/>
  <c r="F12" i="9"/>
  <c r="G12" i="9"/>
  <c r="H12" i="9"/>
  <c r="I12" i="9"/>
  <c r="E12" i="9"/>
  <c r="E5" i="9"/>
  <c r="K9" i="9"/>
  <c r="D12" i="10"/>
  <c r="E12" i="10"/>
  <c r="F12" i="10"/>
  <c r="G12" i="10"/>
  <c r="H12" i="10"/>
  <c r="I12" i="10"/>
  <c r="E5" i="10"/>
  <c r="K9" i="10"/>
  <c r="D12" i="11"/>
  <c r="E12" i="11"/>
  <c r="F12" i="11"/>
  <c r="G12" i="11"/>
  <c r="H12" i="11"/>
  <c r="I12" i="11"/>
  <c r="E5" i="11"/>
  <c r="K9" i="11"/>
  <c r="E13" i="8"/>
  <c r="D13" i="8"/>
  <c r="E6" i="8"/>
  <c r="F35" i="7"/>
  <c r="F35" i="8"/>
  <c r="F30" i="10"/>
  <c r="F30" i="11"/>
  <c r="J30" i="11"/>
  <c r="H13" i="11"/>
  <c r="G13" i="11"/>
  <c r="F13" i="11"/>
  <c r="E13" i="11"/>
  <c r="D13" i="11"/>
  <c r="E6" i="11"/>
  <c r="I13" i="11"/>
  <c r="J35" i="8"/>
  <c r="N35" i="8"/>
  <c r="F34" i="8"/>
  <c r="J34" i="8"/>
  <c r="N34" i="8"/>
  <c r="N36" i="8"/>
  <c r="J36" i="8"/>
  <c r="E13" i="10"/>
  <c r="H22" i="10"/>
  <c r="I15" i="10"/>
  <c r="E13" i="9"/>
  <c r="H22" i="9"/>
  <c r="I15" i="9"/>
  <c r="K8" i="8"/>
  <c r="K8" i="3"/>
  <c r="K8" i="11"/>
  <c r="K8" i="10"/>
  <c r="F33" i="11"/>
  <c r="F34" i="11"/>
  <c r="F35" i="11"/>
  <c r="K7" i="11"/>
  <c r="F33" i="10"/>
  <c r="F34" i="10"/>
  <c r="F35" i="10"/>
  <c r="K7" i="10"/>
  <c r="F33" i="9"/>
  <c r="F34" i="9"/>
  <c r="F35" i="9"/>
  <c r="K7" i="9"/>
  <c r="K5" i="11"/>
  <c r="K5" i="10"/>
  <c r="K5" i="9"/>
  <c r="D32" i="11"/>
  <c r="D32" i="9"/>
  <c r="D32" i="10"/>
  <c r="D13" i="10"/>
  <c r="E6" i="10"/>
  <c r="D14" i="11"/>
  <c r="I14" i="11"/>
  <c r="E14" i="11"/>
  <c r="F14" i="11"/>
  <c r="G14" i="11"/>
  <c r="H14" i="11"/>
  <c r="E7" i="11"/>
  <c r="M21" i="11"/>
  <c r="M26" i="11"/>
  <c r="M25" i="11"/>
  <c r="M24" i="11"/>
  <c r="M23" i="11"/>
  <c r="M22" i="11"/>
  <c r="D14" i="10"/>
  <c r="E14" i="10"/>
  <c r="F13" i="10"/>
  <c r="F14" i="10"/>
  <c r="G13" i="10"/>
  <c r="G14" i="10"/>
  <c r="H13" i="10"/>
  <c r="H14" i="10"/>
  <c r="I13" i="10"/>
  <c r="I14" i="10"/>
  <c r="E7" i="10"/>
  <c r="M21" i="10"/>
  <c r="M26" i="10"/>
  <c r="M25" i="10"/>
  <c r="M24" i="10"/>
  <c r="M23" i="10"/>
  <c r="M22" i="10"/>
  <c r="I21" i="11"/>
  <c r="I26" i="11"/>
  <c r="I25" i="11"/>
  <c r="I24" i="11"/>
  <c r="I23" i="11"/>
  <c r="I22" i="11"/>
  <c r="I21" i="10"/>
  <c r="I26" i="10"/>
  <c r="I25" i="10"/>
  <c r="I24" i="10"/>
  <c r="I23" i="10"/>
  <c r="I22" i="10"/>
  <c r="E21" i="11"/>
  <c r="E26" i="11"/>
  <c r="E25" i="11"/>
  <c r="E24" i="11"/>
  <c r="E23" i="11"/>
  <c r="E22" i="11"/>
  <c r="E21" i="10"/>
  <c r="E26" i="10"/>
  <c r="E25" i="10"/>
  <c r="E24" i="10"/>
  <c r="E23" i="10"/>
  <c r="E22" i="10"/>
  <c r="D14" i="9"/>
  <c r="E14" i="9"/>
  <c r="F13" i="9"/>
  <c r="F14" i="9"/>
  <c r="G13" i="9"/>
  <c r="G14" i="9"/>
  <c r="H13" i="9"/>
  <c r="H14" i="9"/>
  <c r="K22" i="2"/>
  <c r="I13" i="9"/>
  <c r="I14" i="9"/>
  <c r="E7" i="9"/>
  <c r="M21" i="9"/>
  <c r="M26" i="9"/>
  <c r="M25" i="9"/>
  <c r="M24" i="9"/>
  <c r="M23" i="9"/>
  <c r="M22" i="9"/>
  <c r="D13" i="9"/>
  <c r="I21" i="9"/>
  <c r="I26" i="9"/>
  <c r="I25" i="9"/>
  <c r="I24" i="9"/>
  <c r="I23" i="9"/>
  <c r="I22" i="9"/>
  <c r="E21" i="9"/>
  <c r="E26" i="9"/>
  <c r="E25" i="9"/>
  <c r="E24" i="9"/>
  <c r="E23" i="9"/>
  <c r="E22" i="9"/>
  <c r="D11" i="11"/>
  <c r="E11" i="11"/>
  <c r="K22" i="11"/>
  <c r="K23" i="11"/>
  <c r="K24" i="11"/>
  <c r="K25" i="11"/>
  <c r="K26" i="11"/>
  <c r="G22" i="11"/>
  <c r="G23" i="11"/>
  <c r="G24" i="11"/>
  <c r="G25" i="11"/>
  <c r="G26" i="11"/>
  <c r="C22" i="11"/>
  <c r="C23" i="11"/>
  <c r="C24" i="11"/>
  <c r="C25" i="11"/>
  <c r="C26" i="11"/>
  <c r="D11" i="10"/>
  <c r="E11" i="10"/>
  <c r="K22" i="10"/>
  <c r="K23" i="10"/>
  <c r="K24" i="10"/>
  <c r="K25" i="10"/>
  <c r="K26" i="10"/>
  <c r="G22" i="10"/>
  <c r="G23" i="10"/>
  <c r="G24" i="10"/>
  <c r="G25" i="10"/>
  <c r="G26" i="10"/>
  <c r="C22" i="10"/>
  <c r="C23" i="10"/>
  <c r="C24" i="10"/>
  <c r="C25" i="10"/>
  <c r="C26" i="10"/>
  <c r="D11" i="9"/>
  <c r="E11" i="9"/>
  <c r="K22" i="9"/>
  <c r="K23" i="9"/>
  <c r="K24" i="9"/>
  <c r="K25" i="9"/>
  <c r="K26" i="9"/>
  <c r="G22" i="9"/>
  <c r="G23" i="9"/>
  <c r="G24" i="9"/>
  <c r="G25" i="9"/>
  <c r="G26" i="9"/>
  <c r="C22" i="9"/>
  <c r="C23" i="9"/>
  <c r="C24" i="9"/>
  <c r="C25" i="9"/>
  <c r="C26" i="9"/>
  <c r="N13" i="8"/>
  <c r="N14" i="8"/>
  <c r="D14" i="8"/>
  <c r="E14" i="8"/>
  <c r="F13" i="8"/>
  <c r="F14" i="8"/>
  <c r="G13" i="8"/>
  <c r="G14" i="8"/>
  <c r="H13" i="8"/>
  <c r="H14" i="8"/>
  <c r="I13" i="8"/>
  <c r="I14" i="8"/>
  <c r="J13" i="8"/>
  <c r="J14" i="8"/>
  <c r="K13" i="8"/>
  <c r="K14" i="8"/>
  <c r="L13" i="8"/>
  <c r="L14" i="8"/>
  <c r="M13" i="8"/>
  <c r="M14" i="8"/>
  <c r="E7" i="8"/>
  <c r="M21" i="8"/>
  <c r="M31" i="8"/>
  <c r="M30" i="8"/>
  <c r="M29" i="8"/>
  <c r="M28" i="8"/>
  <c r="M27" i="8"/>
  <c r="M26" i="8"/>
  <c r="M25" i="8"/>
  <c r="M24" i="8"/>
  <c r="M23" i="8"/>
  <c r="M22" i="8"/>
  <c r="D14" i="7"/>
  <c r="E13" i="7"/>
  <c r="E14" i="7"/>
  <c r="F13" i="7"/>
  <c r="F14" i="7"/>
  <c r="G13" i="7"/>
  <c r="G14" i="7"/>
  <c r="H13" i="7"/>
  <c r="H14" i="7"/>
  <c r="I13" i="7"/>
  <c r="I14" i="7"/>
  <c r="J13" i="7"/>
  <c r="J14" i="7"/>
  <c r="K13" i="7"/>
  <c r="K14" i="7"/>
  <c r="L13" i="7"/>
  <c r="L14" i="7"/>
  <c r="M13" i="7"/>
  <c r="M14" i="7"/>
  <c r="N13" i="7"/>
  <c r="N14" i="7"/>
  <c r="E7" i="7"/>
  <c r="M21" i="7"/>
  <c r="M31" i="7"/>
  <c r="M30" i="7"/>
  <c r="M29" i="7"/>
  <c r="M28" i="7"/>
  <c r="M27" i="7"/>
  <c r="M26" i="7"/>
  <c r="M25" i="7"/>
  <c r="M24" i="7"/>
  <c r="M23" i="7"/>
  <c r="M22" i="7"/>
  <c r="E21" i="8"/>
  <c r="E31" i="8"/>
  <c r="E30" i="8"/>
  <c r="E29" i="8"/>
  <c r="E28" i="8"/>
  <c r="E27" i="8"/>
  <c r="E26" i="8"/>
  <c r="E25" i="8"/>
  <c r="E24" i="8"/>
  <c r="E23" i="8"/>
  <c r="E22" i="8"/>
  <c r="I21" i="8"/>
  <c r="I31" i="8"/>
  <c r="I30" i="8"/>
  <c r="I29" i="8"/>
  <c r="I28" i="8"/>
  <c r="I27" i="8"/>
  <c r="I26" i="8"/>
  <c r="I25" i="8"/>
  <c r="I24" i="8"/>
  <c r="I23" i="8"/>
  <c r="I22" i="8"/>
  <c r="D13" i="7"/>
  <c r="I21" i="7"/>
  <c r="I31" i="7"/>
  <c r="I30" i="7"/>
  <c r="I29" i="7"/>
  <c r="I28" i="7"/>
  <c r="I27" i="7"/>
  <c r="I26" i="7"/>
  <c r="I25" i="7"/>
  <c r="I24" i="7"/>
  <c r="I23" i="7"/>
  <c r="I22" i="7"/>
  <c r="D11" i="8"/>
  <c r="E11" i="8"/>
  <c r="K22" i="8"/>
  <c r="K23" i="8"/>
  <c r="K24" i="8"/>
  <c r="K25" i="8"/>
  <c r="K26" i="8"/>
  <c r="K27" i="8"/>
  <c r="K28" i="8"/>
  <c r="K29" i="8"/>
  <c r="K30" i="8"/>
  <c r="K31" i="8"/>
  <c r="G22" i="8"/>
  <c r="G23" i="8"/>
  <c r="G24" i="8"/>
  <c r="G25" i="8"/>
  <c r="G26" i="8"/>
  <c r="G27" i="8"/>
  <c r="G28" i="8"/>
  <c r="G29" i="8"/>
  <c r="G30" i="8"/>
  <c r="G31" i="8"/>
  <c r="C22" i="8"/>
  <c r="C23" i="8"/>
  <c r="C24" i="8"/>
  <c r="C25" i="8"/>
  <c r="C26" i="8"/>
  <c r="C27" i="8"/>
  <c r="C28" i="8"/>
  <c r="C29" i="8"/>
  <c r="C30" i="8"/>
  <c r="C31" i="8"/>
  <c r="D11" i="7"/>
  <c r="E11" i="7"/>
  <c r="K22" i="7"/>
  <c r="K23" i="7"/>
  <c r="K24" i="7"/>
  <c r="K25" i="7"/>
  <c r="K26" i="7"/>
  <c r="K27" i="7"/>
  <c r="K28" i="7"/>
  <c r="K29" i="7"/>
  <c r="K30" i="7"/>
  <c r="K31" i="7"/>
  <c r="G22" i="7"/>
  <c r="G23" i="7"/>
  <c r="G24" i="7"/>
  <c r="G25" i="7"/>
  <c r="G26" i="7"/>
  <c r="G27" i="7"/>
  <c r="G28" i="7"/>
  <c r="G29" i="7"/>
  <c r="G30" i="7"/>
  <c r="G31" i="7"/>
  <c r="C22" i="7"/>
  <c r="C23" i="7"/>
  <c r="C24" i="7"/>
  <c r="C25" i="7"/>
  <c r="C26" i="7"/>
  <c r="C27" i="7"/>
  <c r="C28" i="7"/>
  <c r="C29" i="7"/>
  <c r="C30" i="7"/>
  <c r="C31" i="7"/>
  <c r="D14" i="3"/>
  <c r="E13" i="3"/>
  <c r="E14" i="3"/>
  <c r="F13" i="3"/>
  <c r="F14" i="3"/>
  <c r="G13" i="3"/>
  <c r="G14" i="3"/>
  <c r="H13" i="3"/>
  <c r="H14" i="3"/>
  <c r="I13" i="3"/>
  <c r="I14" i="3"/>
  <c r="J13" i="3"/>
  <c r="J14" i="3"/>
  <c r="K13" i="3"/>
  <c r="K14" i="3"/>
  <c r="L13" i="3"/>
  <c r="L14" i="3"/>
  <c r="M13" i="3"/>
  <c r="M14" i="3"/>
  <c r="C22" i="2"/>
  <c r="N13" i="3"/>
  <c r="N14" i="3"/>
  <c r="E7" i="3"/>
  <c r="M21" i="3"/>
  <c r="M31" i="3"/>
  <c r="M30" i="3"/>
  <c r="M29" i="3"/>
  <c r="M28" i="3"/>
  <c r="M27" i="3"/>
  <c r="M26" i="3"/>
  <c r="M25" i="3"/>
  <c r="M24" i="3"/>
  <c r="M23" i="3"/>
  <c r="M22" i="3"/>
  <c r="D13" i="3"/>
  <c r="I21" i="3"/>
  <c r="I31" i="3"/>
  <c r="I30" i="3"/>
  <c r="I29" i="3"/>
  <c r="I28" i="3"/>
  <c r="I27" i="3"/>
  <c r="I26" i="3"/>
  <c r="I25" i="3"/>
  <c r="I24" i="3"/>
  <c r="I23" i="3"/>
  <c r="I22" i="3"/>
  <c r="D11" i="3"/>
  <c r="E11" i="3"/>
  <c r="K22" i="3"/>
  <c r="K23" i="3"/>
  <c r="K24" i="3"/>
  <c r="K25" i="3"/>
  <c r="K26" i="3"/>
  <c r="K27" i="3"/>
  <c r="K28" i="3"/>
  <c r="K29" i="3"/>
  <c r="K30" i="3"/>
  <c r="K31" i="3"/>
  <c r="G22" i="3"/>
  <c r="G23" i="3"/>
  <c r="G24" i="3"/>
  <c r="G25" i="3"/>
  <c r="G26" i="3"/>
  <c r="G27" i="3"/>
  <c r="G28" i="3"/>
  <c r="G29" i="3"/>
  <c r="G30" i="3"/>
  <c r="G31" i="3"/>
  <c r="C22" i="3"/>
  <c r="C23" i="3"/>
  <c r="C24" i="3"/>
  <c r="C25" i="3"/>
  <c r="C26" i="3"/>
  <c r="C27" i="3"/>
  <c r="C28" i="3"/>
  <c r="C29" i="3"/>
  <c r="C30" i="3"/>
  <c r="C31" i="3"/>
  <c r="E21" i="3"/>
  <c r="E31" i="3"/>
  <c r="E30" i="3"/>
  <c r="E29" i="3"/>
  <c r="E28" i="3"/>
  <c r="E27" i="3"/>
  <c r="E26" i="3"/>
  <c r="E25" i="3"/>
  <c r="E24" i="3"/>
  <c r="E23" i="3"/>
  <c r="E22" i="3"/>
  <c r="E21" i="7"/>
  <c r="E31" i="7"/>
  <c r="E30" i="7"/>
  <c r="E29" i="7"/>
  <c r="E28" i="7"/>
  <c r="E27" i="7"/>
  <c r="E26" i="7"/>
  <c r="E25" i="7"/>
  <c r="E24" i="7"/>
  <c r="E23" i="7"/>
  <c r="E22" i="7"/>
  <c r="F7" i="8"/>
  <c r="F6" i="8"/>
  <c r="F5" i="8"/>
  <c r="N33" i="11"/>
  <c r="N34" i="11"/>
  <c r="N35" i="11"/>
  <c r="D33" i="11"/>
  <c r="F29" i="11"/>
  <c r="J29" i="11"/>
  <c r="N29" i="11"/>
  <c r="N30" i="11"/>
  <c r="N31" i="11"/>
  <c r="J31" i="11"/>
  <c r="F31" i="11"/>
  <c r="L22" i="11"/>
  <c r="N22" i="11"/>
  <c r="L23" i="11"/>
  <c r="N23" i="11"/>
  <c r="L24" i="11"/>
  <c r="N24" i="11"/>
  <c r="L25" i="11"/>
  <c r="N25" i="11"/>
  <c r="L26" i="11"/>
  <c r="N26" i="11"/>
  <c r="N27" i="11"/>
  <c r="H22" i="11"/>
  <c r="J22" i="11"/>
  <c r="H23" i="11"/>
  <c r="J23" i="11"/>
  <c r="H24" i="11"/>
  <c r="J24" i="11"/>
  <c r="H25" i="11"/>
  <c r="J25" i="11"/>
  <c r="H26" i="11"/>
  <c r="J26" i="11"/>
  <c r="J27" i="11"/>
  <c r="D22" i="11"/>
  <c r="F22" i="11"/>
  <c r="D23" i="11"/>
  <c r="F23" i="11"/>
  <c r="D24" i="11"/>
  <c r="F24" i="11"/>
  <c r="D25" i="11"/>
  <c r="F25" i="11"/>
  <c r="D26" i="11"/>
  <c r="F26" i="11"/>
  <c r="F27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F11" i="11"/>
  <c r="G11" i="11"/>
  <c r="H11" i="11"/>
  <c r="I11" i="11"/>
  <c r="F7" i="11"/>
  <c r="K6" i="11"/>
  <c r="F6" i="11"/>
  <c r="F5" i="11"/>
  <c r="K4" i="11"/>
  <c r="B4" i="11"/>
  <c r="F7" i="10"/>
  <c r="F6" i="10"/>
  <c r="F5" i="10"/>
  <c r="F7" i="9"/>
  <c r="F6" i="9"/>
  <c r="F5" i="9"/>
  <c r="E6" i="9"/>
  <c r="F29" i="10"/>
  <c r="J30" i="10"/>
  <c r="N30" i="10"/>
  <c r="J29" i="10"/>
  <c r="N29" i="10"/>
  <c r="N31" i="10"/>
  <c r="J31" i="10"/>
  <c r="F31" i="10"/>
  <c r="F29" i="9"/>
  <c r="J29" i="9"/>
  <c r="N29" i="9"/>
  <c r="N30" i="9"/>
  <c r="N31" i="9"/>
  <c r="J30" i="9"/>
  <c r="J31" i="9"/>
  <c r="F30" i="9"/>
  <c r="F31" i="9"/>
  <c r="F38" i="8"/>
  <c r="F39" i="8"/>
  <c r="D38" i="8"/>
  <c r="F36" i="8"/>
  <c r="F34" i="7"/>
  <c r="J34" i="7"/>
  <c r="N34" i="7"/>
  <c r="J35" i="7"/>
  <c r="N35" i="7"/>
  <c r="N36" i="7"/>
  <c r="J36" i="7"/>
  <c r="F36" i="7"/>
  <c r="F34" i="3"/>
  <c r="J34" i="3"/>
  <c r="N34" i="3"/>
  <c r="N35" i="3"/>
  <c r="N36" i="3"/>
  <c r="J35" i="3"/>
  <c r="J36" i="3"/>
  <c r="F35" i="3"/>
  <c r="F36" i="3"/>
  <c r="N33" i="10"/>
  <c r="N34" i="10"/>
  <c r="N35" i="10"/>
  <c r="I17" i="10"/>
  <c r="I16" i="10"/>
  <c r="M60" i="2"/>
  <c r="M59" i="2"/>
  <c r="M58" i="2"/>
  <c r="M56" i="2"/>
  <c r="M55" i="2"/>
  <c r="M44" i="2"/>
  <c r="M43" i="2"/>
  <c r="M42" i="2"/>
  <c r="M40" i="2"/>
  <c r="M39" i="2"/>
  <c r="D33" i="10"/>
  <c r="L22" i="10"/>
  <c r="N22" i="10"/>
  <c r="L23" i="10"/>
  <c r="N23" i="10"/>
  <c r="L24" i="10"/>
  <c r="N24" i="10"/>
  <c r="L25" i="10"/>
  <c r="N25" i="10"/>
  <c r="L26" i="10"/>
  <c r="N26" i="10"/>
  <c r="N27" i="10"/>
  <c r="J22" i="10"/>
  <c r="H23" i="10"/>
  <c r="J23" i="10"/>
  <c r="H24" i="10"/>
  <c r="J24" i="10"/>
  <c r="H25" i="10"/>
  <c r="J25" i="10"/>
  <c r="H26" i="10"/>
  <c r="J26" i="10"/>
  <c r="J27" i="10"/>
  <c r="D22" i="10"/>
  <c r="F22" i="10"/>
  <c r="D23" i="10"/>
  <c r="F23" i="10"/>
  <c r="D24" i="10"/>
  <c r="F24" i="10"/>
  <c r="D25" i="10"/>
  <c r="F25" i="10"/>
  <c r="D26" i="10"/>
  <c r="F26" i="10"/>
  <c r="F27" i="10"/>
  <c r="H17" i="10"/>
  <c r="G17" i="10"/>
  <c r="F17" i="10"/>
  <c r="E17" i="10"/>
  <c r="H16" i="10"/>
  <c r="G16" i="10"/>
  <c r="F16" i="10"/>
  <c r="E16" i="10"/>
  <c r="H15" i="10"/>
  <c r="G15" i="10"/>
  <c r="F15" i="10"/>
  <c r="E15" i="10"/>
  <c r="F11" i="10"/>
  <c r="G11" i="10"/>
  <c r="H11" i="10"/>
  <c r="I11" i="10"/>
  <c r="K6" i="10"/>
  <c r="K4" i="10"/>
  <c r="B4" i="10"/>
  <c r="K8" i="7"/>
  <c r="F7" i="7"/>
  <c r="F6" i="7"/>
  <c r="F5" i="7"/>
  <c r="H22" i="7"/>
  <c r="N15" i="7"/>
  <c r="F38" i="7"/>
  <c r="F39" i="7"/>
  <c r="D38" i="7"/>
  <c r="E6" i="7"/>
  <c r="I16" i="9"/>
  <c r="N33" i="9"/>
  <c r="N34" i="9"/>
  <c r="N35" i="9"/>
  <c r="I17" i="9"/>
  <c r="D38" i="3"/>
  <c r="D33" i="9"/>
  <c r="F38" i="3"/>
  <c r="F39" i="3"/>
  <c r="E6" i="3"/>
  <c r="F7" i="3"/>
  <c r="F6" i="3"/>
  <c r="F5" i="3"/>
  <c r="C24" i="2"/>
  <c r="K24" i="2"/>
  <c r="D22" i="9"/>
  <c r="F22" i="9"/>
  <c r="D23" i="9"/>
  <c r="F23" i="9"/>
  <c r="D24" i="9"/>
  <c r="F24" i="9"/>
  <c r="D25" i="9"/>
  <c r="F25" i="9"/>
  <c r="D26" i="9"/>
  <c r="F26" i="9"/>
  <c r="F27" i="9"/>
  <c r="L22" i="9"/>
  <c r="N22" i="9"/>
  <c r="L23" i="9"/>
  <c r="N23" i="9"/>
  <c r="L24" i="9"/>
  <c r="N24" i="9"/>
  <c r="L25" i="9"/>
  <c r="N25" i="9"/>
  <c r="L26" i="9"/>
  <c r="N26" i="9"/>
  <c r="N27" i="9"/>
  <c r="J22" i="9"/>
  <c r="H23" i="9"/>
  <c r="J23" i="9"/>
  <c r="H24" i="9"/>
  <c r="J24" i="9"/>
  <c r="H25" i="9"/>
  <c r="J25" i="9"/>
  <c r="H26" i="9"/>
  <c r="J26" i="9"/>
  <c r="J27" i="9"/>
  <c r="H17" i="9"/>
  <c r="G17" i="9"/>
  <c r="F17" i="9"/>
  <c r="E17" i="9"/>
  <c r="H16" i="9"/>
  <c r="G16" i="9"/>
  <c r="F16" i="9"/>
  <c r="E16" i="9"/>
  <c r="H15" i="9"/>
  <c r="G15" i="9"/>
  <c r="F15" i="9"/>
  <c r="E15" i="9"/>
  <c r="F11" i="9"/>
  <c r="G11" i="9"/>
  <c r="H11" i="9"/>
  <c r="I11" i="9"/>
  <c r="K6" i="9"/>
  <c r="K4" i="9"/>
  <c r="B4" i="9"/>
  <c r="E65" i="2"/>
  <c r="E64" i="2"/>
  <c r="E63" i="2"/>
  <c r="E62" i="2"/>
  <c r="E61" i="2"/>
  <c r="E60" i="2"/>
  <c r="E59" i="2"/>
  <c r="E58" i="2"/>
  <c r="E56" i="2"/>
  <c r="E55" i="2"/>
  <c r="E49" i="2"/>
  <c r="E48" i="2"/>
  <c r="E47" i="2"/>
  <c r="E46" i="2"/>
  <c r="E45" i="2"/>
  <c r="E44" i="2"/>
  <c r="E43" i="2"/>
  <c r="E42" i="2"/>
  <c r="E40" i="2"/>
  <c r="E39" i="2"/>
  <c r="N39" i="8"/>
  <c r="F40" i="8"/>
  <c r="N38" i="8"/>
  <c r="N40" i="8"/>
  <c r="N17" i="8"/>
  <c r="M17" i="8"/>
  <c r="L17" i="8"/>
  <c r="K17" i="8"/>
  <c r="J17" i="8"/>
  <c r="I17" i="8"/>
  <c r="H17" i="8"/>
  <c r="G17" i="8"/>
  <c r="F17" i="8"/>
  <c r="E17" i="8"/>
  <c r="N16" i="8"/>
  <c r="M16" i="8"/>
  <c r="L16" i="8"/>
  <c r="K16" i="8"/>
  <c r="J16" i="8"/>
  <c r="I16" i="8"/>
  <c r="H16" i="8"/>
  <c r="G16" i="8"/>
  <c r="F16" i="8"/>
  <c r="E16" i="8"/>
  <c r="N39" i="7"/>
  <c r="F40" i="7"/>
  <c r="N38" i="7"/>
  <c r="N40" i="7"/>
  <c r="N17" i="7"/>
  <c r="M17" i="7"/>
  <c r="L17" i="7"/>
  <c r="K17" i="7"/>
  <c r="J17" i="7"/>
  <c r="I17" i="7"/>
  <c r="H17" i="7"/>
  <c r="G17" i="7"/>
  <c r="F17" i="7"/>
  <c r="E17" i="7"/>
  <c r="N16" i="7"/>
  <c r="M16" i="7"/>
  <c r="L16" i="7"/>
  <c r="K16" i="7"/>
  <c r="J16" i="7"/>
  <c r="I16" i="7"/>
  <c r="H16" i="7"/>
  <c r="G16" i="7"/>
  <c r="F16" i="7"/>
  <c r="E16" i="7"/>
  <c r="N39" i="3"/>
  <c r="F40" i="3"/>
  <c r="N38" i="3"/>
  <c r="N40" i="3"/>
  <c r="N17" i="3"/>
  <c r="F17" i="3"/>
  <c r="G17" i="3"/>
  <c r="H17" i="3"/>
  <c r="I17" i="3"/>
  <c r="J17" i="3"/>
  <c r="K17" i="3"/>
  <c r="L17" i="3"/>
  <c r="M17" i="3"/>
  <c r="E17" i="3"/>
  <c r="N16" i="3"/>
  <c r="F16" i="3"/>
  <c r="G16" i="3"/>
  <c r="H16" i="3"/>
  <c r="I16" i="3"/>
  <c r="J16" i="3"/>
  <c r="K16" i="3"/>
  <c r="L16" i="3"/>
  <c r="M16" i="3"/>
  <c r="E16" i="3"/>
  <c r="D37" i="8"/>
  <c r="D37" i="3"/>
  <c r="D37" i="7"/>
  <c r="L22" i="8"/>
  <c r="N22" i="8"/>
  <c r="L23" i="8"/>
  <c r="N23" i="8"/>
  <c r="L24" i="8"/>
  <c r="N24" i="8"/>
  <c r="L25" i="8"/>
  <c r="N25" i="8"/>
  <c r="L26" i="8"/>
  <c r="N26" i="8"/>
  <c r="L27" i="8"/>
  <c r="N27" i="8"/>
  <c r="L28" i="8"/>
  <c r="N28" i="8"/>
  <c r="L29" i="8"/>
  <c r="N29" i="8"/>
  <c r="L30" i="8"/>
  <c r="N30" i="8"/>
  <c r="L31" i="8"/>
  <c r="N31" i="8"/>
  <c r="N32" i="8"/>
  <c r="H22" i="8"/>
  <c r="J22" i="8"/>
  <c r="H23" i="8"/>
  <c r="J23" i="8"/>
  <c r="H24" i="8"/>
  <c r="J24" i="8"/>
  <c r="H25" i="8"/>
  <c r="J25" i="8"/>
  <c r="H26" i="8"/>
  <c r="J26" i="8"/>
  <c r="H27" i="8"/>
  <c r="J27" i="8"/>
  <c r="H28" i="8"/>
  <c r="J28" i="8"/>
  <c r="H29" i="8"/>
  <c r="J29" i="8"/>
  <c r="H30" i="8"/>
  <c r="J30" i="8"/>
  <c r="H31" i="8"/>
  <c r="J31" i="8"/>
  <c r="J32" i="8"/>
  <c r="D22" i="8"/>
  <c r="F22" i="8"/>
  <c r="D23" i="8"/>
  <c r="F23" i="8"/>
  <c r="D24" i="8"/>
  <c r="F24" i="8"/>
  <c r="D25" i="8"/>
  <c r="F25" i="8"/>
  <c r="D26" i="8"/>
  <c r="F26" i="8"/>
  <c r="D27" i="8"/>
  <c r="F27" i="8"/>
  <c r="D28" i="8"/>
  <c r="F28" i="8"/>
  <c r="D29" i="8"/>
  <c r="F29" i="8"/>
  <c r="D30" i="8"/>
  <c r="F30" i="8"/>
  <c r="D31" i="8"/>
  <c r="F31" i="8"/>
  <c r="F32" i="8"/>
  <c r="N15" i="8"/>
  <c r="M15" i="8"/>
  <c r="L15" i="8"/>
  <c r="K15" i="8"/>
  <c r="J15" i="8"/>
  <c r="I15" i="8"/>
  <c r="H15" i="8"/>
  <c r="G15" i="8"/>
  <c r="F15" i="8"/>
  <c r="E15" i="8"/>
  <c r="F11" i="8"/>
  <c r="G11" i="8"/>
  <c r="H11" i="8"/>
  <c r="I11" i="8"/>
  <c r="J11" i="8"/>
  <c r="K11" i="8"/>
  <c r="L11" i="8"/>
  <c r="M11" i="8"/>
  <c r="N11" i="8"/>
  <c r="K7" i="8"/>
  <c r="K6" i="8"/>
  <c r="K5" i="8"/>
  <c r="K4" i="8"/>
  <c r="B4" i="8"/>
  <c r="K7" i="3"/>
  <c r="K6" i="3"/>
  <c r="K5" i="3"/>
  <c r="K4" i="3"/>
  <c r="K7" i="7"/>
  <c r="K6" i="7"/>
  <c r="K5" i="7"/>
  <c r="K4" i="7"/>
  <c r="B4" i="7"/>
  <c r="L22" i="7"/>
  <c r="N22" i="7"/>
  <c r="L23" i="7"/>
  <c r="N23" i="7"/>
  <c r="L24" i="7"/>
  <c r="N24" i="7"/>
  <c r="L25" i="7"/>
  <c r="N25" i="7"/>
  <c r="L26" i="7"/>
  <c r="N26" i="7"/>
  <c r="L27" i="7"/>
  <c r="N27" i="7"/>
  <c r="L28" i="7"/>
  <c r="N28" i="7"/>
  <c r="L29" i="7"/>
  <c r="N29" i="7"/>
  <c r="L30" i="7"/>
  <c r="N30" i="7"/>
  <c r="L31" i="7"/>
  <c r="N31" i="7"/>
  <c r="N3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J32" i="7"/>
  <c r="D22" i="7"/>
  <c r="F22" i="7"/>
  <c r="D23" i="7"/>
  <c r="F23" i="7"/>
  <c r="D24" i="7"/>
  <c r="F24" i="7"/>
  <c r="D25" i="7"/>
  <c r="F25" i="7"/>
  <c r="D26" i="7"/>
  <c r="F26" i="7"/>
  <c r="D27" i="7"/>
  <c r="F27" i="7"/>
  <c r="D28" i="7"/>
  <c r="F28" i="7"/>
  <c r="D29" i="7"/>
  <c r="F29" i="7"/>
  <c r="D30" i="7"/>
  <c r="F30" i="7"/>
  <c r="D31" i="7"/>
  <c r="F31" i="7"/>
  <c r="F32" i="7"/>
  <c r="M15" i="7"/>
  <c r="L15" i="7"/>
  <c r="K15" i="7"/>
  <c r="J15" i="7"/>
  <c r="I15" i="7"/>
  <c r="H15" i="7"/>
  <c r="G15" i="7"/>
  <c r="F15" i="7"/>
  <c r="E15" i="7"/>
  <c r="F11" i="7"/>
  <c r="G11" i="7"/>
  <c r="H11" i="7"/>
  <c r="I11" i="7"/>
  <c r="J11" i="7"/>
  <c r="K11" i="7"/>
  <c r="L11" i="7"/>
  <c r="M11" i="7"/>
  <c r="N11" i="7"/>
  <c r="F11" i="3"/>
  <c r="G11" i="3"/>
  <c r="H11" i="3"/>
  <c r="I11" i="3"/>
  <c r="J11" i="3"/>
  <c r="K11" i="3"/>
  <c r="L11" i="3"/>
  <c r="M11" i="3"/>
  <c r="N11" i="3"/>
  <c r="B4" i="3"/>
  <c r="D22" i="3"/>
  <c r="D23" i="3"/>
  <c r="D24" i="3"/>
  <c r="D25" i="3"/>
  <c r="D26" i="3"/>
  <c r="D27" i="3"/>
  <c r="D28" i="3"/>
  <c r="D29" i="3"/>
  <c r="D30" i="3"/>
  <c r="D31" i="3"/>
  <c r="F24" i="3"/>
  <c r="F26" i="3"/>
  <c r="F28" i="3"/>
  <c r="F30" i="3"/>
  <c r="F22" i="3"/>
  <c r="F23" i="3"/>
  <c r="F25" i="3"/>
  <c r="F27" i="3"/>
  <c r="F29" i="3"/>
  <c r="F31" i="3"/>
  <c r="F32" i="3"/>
  <c r="H26" i="3"/>
  <c r="L26" i="3"/>
  <c r="I15" i="3"/>
  <c r="H28" i="3"/>
  <c r="K15" i="3"/>
  <c r="L28" i="3"/>
  <c r="H31" i="3"/>
  <c r="L31" i="3"/>
  <c r="N31" i="3"/>
  <c r="L22" i="3"/>
  <c r="E15" i="3"/>
  <c r="H22" i="3"/>
  <c r="H24" i="3"/>
  <c r="G15" i="3"/>
  <c r="L24" i="3"/>
  <c r="H27" i="3"/>
  <c r="J27" i="3"/>
  <c r="L27" i="3"/>
  <c r="N27" i="3"/>
  <c r="J15" i="3"/>
  <c r="H23" i="3"/>
  <c r="F15" i="3"/>
  <c r="L23" i="3"/>
  <c r="N23" i="3"/>
  <c r="H29" i="3"/>
  <c r="L29" i="3"/>
  <c r="N29" i="3"/>
  <c r="L15" i="3"/>
  <c r="H30" i="3"/>
  <c r="J30" i="3"/>
  <c r="M15" i="3"/>
  <c r="L30" i="3"/>
  <c r="N30" i="3"/>
  <c r="H25" i="3"/>
  <c r="J25" i="3"/>
  <c r="H15" i="3"/>
  <c r="L25" i="3"/>
  <c r="N25" i="3"/>
  <c r="N24" i="3"/>
  <c r="J28" i="3"/>
  <c r="J23" i="3"/>
  <c r="J24" i="3"/>
  <c r="N15" i="3"/>
  <c r="N28" i="3"/>
  <c r="N26" i="3"/>
  <c r="N22" i="3"/>
  <c r="N32" i="3"/>
  <c r="J31" i="3"/>
  <c r="J29" i="3"/>
  <c r="J22" i="3"/>
  <c r="J26" i="3"/>
  <c r="J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Rushmore</author>
    <author>deRoos, Jan</author>
  </authors>
  <commentList>
    <comment ref="D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as a year such as 2018
</t>
        </r>
      </text>
    </comment>
    <comment ref="D1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E1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D13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E13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D1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E16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D17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Enter as a percentage of the residual sales price.
</t>
        </r>
      </text>
    </comment>
    <comment ref="E17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Enter as a percentage of the residual sales price.
</t>
        </r>
      </text>
    </comment>
    <comment ref="D18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E18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D25" authorId="0" shapeId="0" xr:uid="{00000000-0006-0000-0100-00000C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E25" authorId="0" shapeId="0" xr:uid="{00000000-0006-0000-0100-00000D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D28" authorId="0" shapeId="0" xr:uid="{00000000-0006-0000-0100-00000E000000}">
      <text>
        <r>
          <rPr>
            <sz val="9"/>
            <color indexed="81"/>
            <rFont val="Tahoma"/>
            <family val="2"/>
          </rPr>
          <t xml:space="preserve">Enter as a ratio such as 1.50 or 1.75
</t>
        </r>
      </text>
    </comment>
    <comment ref="E28" authorId="0" shapeId="0" xr:uid="{00000000-0006-0000-0100-00000F000000}">
      <text>
        <r>
          <rPr>
            <sz val="9"/>
            <color indexed="81"/>
            <rFont val="Tahoma"/>
            <family val="2"/>
          </rPr>
          <t xml:space="preserve">Enter as a ratio such as 1.50 or 1.75
</t>
        </r>
      </text>
    </comment>
    <comment ref="D29" authorId="1" shapeId="0" xr:uid="{00000000-0006-0000-0100-000010000000}">
      <text>
        <r>
          <rPr>
            <sz val="9"/>
            <color indexed="81"/>
            <rFont val="Tahoma"/>
            <family val="2"/>
          </rPr>
          <t xml:space="preserve">1, 2, 3… not 2021
</t>
        </r>
      </text>
    </comment>
    <comment ref="E29" authorId="1" shapeId="0" xr:uid="{00000000-0006-0000-0100-000011000000}">
      <text>
        <r>
          <rPr>
            <sz val="9"/>
            <color indexed="81"/>
            <rFont val="Tahoma"/>
            <family val="2"/>
          </rPr>
          <t xml:space="preserve">1, 2, 3… not 2021
</t>
        </r>
      </text>
    </comment>
    <comment ref="D33" authorId="0" shapeId="0" xr:uid="{00000000-0006-0000-0100-000012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E33" authorId="0" shapeId="0" xr:uid="{00000000-0006-0000-0100-000013000000}">
      <text>
        <r>
          <rPr>
            <sz val="9"/>
            <color indexed="81"/>
            <rFont val="Tahoma"/>
            <family val="2"/>
          </rPr>
          <t xml:space="preserve">Enter as a percentage
</t>
        </r>
      </text>
    </comment>
    <comment ref="D34" authorId="1" shapeId="0" xr:uid="{00000000-0006-0000-0100-000014000000}">
      <text>
        <r>
          <rPr>
            <sz val="9"/>
            <color indexed="81"/>
            <rFont val="Tahoma"/>
            <family val="2"/>
          </rPr>
          <t xml:space="preserve">1, 2, 3… not 2021
</t>
        </r>
      </text>
    </comment>
    <comment ref="E34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1, 2, 3… not 2021
</t>
        </r>
      </text>
    </comment>
  </commentList>
</comments>
</file>

<file path=xl/sharedStrings.xml><?xml version="1.0" encoding="utf-8"?>
<sst xmlns="http://schemas.openxmlformats.org/spreadsheetml/2006/main" count="606" uniqueCount="181">
  <si>
    <t>Disc. Fact.</t>
  </si>
  <si>
    <t>Equity Yield</t>
  </si>
  <si>
    <t>Mortgage Interest Rate</t>
  </si>
  <si>
    <t>Loan to Value Ratio</t>
  </si>
  <si>
    <t>Terminal Cap Rate</t>
  </si>
  <si>
    <t>Mortgage payments per year</t>
  </si>
  <si>
    <t>Value of the Property</t>
  </si>
  <si>
    <t>1. Mortgage Component</t>
  </si>
  <si>
    <t>RMB</t>
  </si>
  <si>
    <t>2. NPV of the Cash Flow</t>
  </si>
  <si>
    <t>3. PV of the Mortgage PMT</t>
  </si>
  <si>
    <t>4. PV of the Reversion</t>
  </si>
  <si>
    <t>Sum of 1+2-3+4</t>
  </si>
  <si>
    <t>RMB as % of original loan</t>
  </si>
  <si>
    <t>Monthly mortgage constant</t>
  </si>
  <si>
    <t>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</si>
  <si>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</si>
  <si>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</si>
  <si>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</si>
  <si>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</si>
  <si>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</si>
  <si>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</si>
  <si>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</si>
  <si>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</si>
  <si>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</si>
  <si>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</si>
  <si>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</si>
  <si>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First Projection Year</t>
  </si>
  <si>
    <t>Debt Coverage Ratio</t>
  </si>
  <si>
    <t>DCR Calcs:</t>
  </si>
  <si>
    <t>RMB as % of original Loan</t>
  </si>
  <si>
    <t>LTV Calcs:</t>
  </si>
  <si>
    <t>Yearly Mortgage Const. (f)</t>
  </si>
  <si>
    <t>% of Mortgage Paid (P)</t>
  </si>
  <si>
    <t>Net Income</t>
  </si>
  <si>
    <t>Value of the Property (DCR)</t>
  </si>
  <si>
    <t>Mortgage Amortization (years)</t>
  </si>
  <si>
    <t>Selling Expenses at Reversion</t>
  </si>
  <si>
    <t>Income Calcs:</t>
  </si>
  <si>
    <t>Inflation Rate after Stabilization</t>
  </si>
  <si>
    <t>Value of the Mortgage Component</t>
  </si>
  <si>
    <t>Mortgage</t>
  </si>
  <si>
    <t>Equity</t>
  </si>
  <si>
    <t>Total Property</t>
  </si>
  <si>
    <t>$(000)</t>
  </si>
  <si>
    <t>IRR</t>
  </si>
  <si>
    <t>Value of the Equity Component</t>
  </si>
  <si>
    <t>PV Factor @</t>
  </si>
  <si>
    <t>Discounted</t>
  </si>
  <si>
    <t>Cash Flow</t>
  </si>
  <si>
    <t>Total Property Value</t>
  </si>
  <si>
    <t>Proof of Value</t>
  </si>
  <si>
    <t>Total Property Present Value</t>
  </si>
  <si>
    <t>Mortgage Component Present Value</t>
  </si>
  <si>
    <t>Equity Component Present Value</t>
  </si>
  <si>
    <t>Payment</t>
  </si>
  <si>
    <t>Mortgage Component Value</t>
  </si>
  <si>
    <t>to Equity</t>
  </si>
  <si>
    <t>Equity Component Value</t>
  </si>
  <si>
    <t>plus the equity residual of</t>
  </si>
  <si>
    <t xml:space="preserve">plus reversion of </t>
  </si>
  <si>
    <t>plus the RMB of</t>
  </si>
  <si>
    <t>Year 10 net inc. to equity of</t>
  </si>
  <si>
    <t>Year 10 mort. payment of</t>
  </si>
  <si>
    <t>Cash Flows for IRR Calcs</t>
  </si>
  <si>
    <t>Income</t>
  </si>
  <si>
    <t>PV of Net</t>
  </si>
  <si>
    <t>Job Title</t>
  </si>
  <si>
    <t>Prepared by</t>
  </si>
  <si>
    <t>Prepared for</t>
  </si>
  <si>
    <t>Job #</t>
  </si>
  <si>
    <t>Net Sale Price</t>
  </si>
  <si>
    <t>% of Mortgage Paid in Year 10 (P)</t>
  </si>
  <si>
    <t>The reversion is the remaining mortgage</t>
  </si>
  <si>
    <t xml:space="preserve">  Less: RMB</t>
  </si>
  <si>
    <t xml:space="preserve">  Equals: Equity Residual</t>
  </si>
  <si>
    <t>Reversion Calculations for Proof</t>
  </si>
  <si>
    <t>of year 10.</t>
  </si>
  <si>
    <t>Year 10 Cash Flow Calculations</t>
  </si>
  <si>
    <t xml:space="preserve">   Less: Selling Expenses</t>
  </si>
  <si>
    <t xml:space="preserve">   Equals: Net sales price</t>
  </si>
  <si>
    <t>All Rights Reserved</t>
  </si>
  <si>
    <t>NPV of the Cash Flows</t>
  </si>
  <si>
    <t>NPV of the Mortgage Payments</t>
  </si>
  <si>
    <t>V</t>
  </si>
  <si>
    <t>NPV of the Equity</t>
  </si>
  <si>
    <t xml:space="preserve">   Value of the Property</t>
  </si>
  <si>
    <r>
      <t>f*M*1/S</t>
    </r>
    <r>
      <rPr>
        <vertAlign val="subscript"/>
        <sz val="10"/>
        <rFont val="Arial"/>
        <family val="2"/>
      </rPr>
      <t>n</t>
    </r>
  </si>
  <si>
    <t xml:space="preserve">   Mortgage Component</t>
  </si>
  <si>
    <t>Inputs for Debt Coverage Ratio Based Model:</t>
  </si>
  <si>
    <t>Inputs for Debt Yield Based Model:</t>
  </si>
  <si>
    <t>Debt Yield</t>
  </si>
  <si>
    <t>LTV Solution:</t>
  </si>
  <si>
    <t>Debt Yield Calcs:</t>
  </si>
  <si>
    <t>Value of the Property (Debt Yield)</t>
  </si>
  <si>
    <t>Overall Valuation Inputs:</t>
  </si>
  <si>
    <t>Project Information:</t>
  </si>
  <si>
    <t>Cash Flow for DCR Calcs</t>
  </si>
  <si>
    <t>Total Appreciation</t>
  </si>
  <si>
    <t>Annual Appreciation</t>
  </si>
  <si>
    <t>Cash Flow Return</t>
  </si>
  <si>
    <t>Appreciation Return</t>
  </si>
  <si>
    <t>Stabilized Going In Cap Rate</t>
  </si>
  <si>
    <t>Project Metrics</t>
  </si>
  <si>
    <t>Year 10 Cash Flow of</t>
  </si>
  <si>
    <t>Hotel Room Count</t>
  </si>
  <si>
    <t>Value</t>
  </si>
  <si>
    <t>Room ($)</t>
  </si>
  <si>
    <t>Value per</t>
  </si>
  <si>
    <t>Underwriting Matrix</t>
  </si>
  <si>
    <t>Legend</t>
  </si>
  <si>
    <t>Mandatory Input</t>
  </si>
  <si>
    <t>Optional Input</t>
  </si>
  <si>
    <t>Output</t>
  </si>
  <si>
    <t>Year Number</t>
  </si>
  <si>
    <t>Equity Dividend Rate</t>
  </si>
  <si>
    <t xml:space="preserve"> </t>
  </si>
  <si>
    <t>HVS</t>
  </si>
  <si>
    <t>Founder</t>
  </si>
  <si>
    <t>Key Largo, FL  33037</t>
  </si>
  <si>
    <t>Inputs for Loan-to-Value Ratio Based Model:</t>
  </si>
  <si>
    <t>10-Year</t>
  </si>
  <si>
    <t>5-Year</t>
  </si>
  <si>
    <t>% of Mortgage Paid in Year 5 (P)</t>
  </si>
  <si>
    <t>Net Sales Price</t>
  </si>
  <si>
    <t>Year 5 Cash Flow Calculations</t>
  </si>
  <si>
    <t>Number of Years to Stabilization</t>
  </si>
  <si>
    <t>balance (RMB) of the loan at the end</t>
  </si>
  <si>
    <t>Year 5 Cash Flow of</t>
  </si>
  <si>
    <t>Year 5 mort. payment of</t>
  </si>
  <si>
    <t>Year 5 net inc. to equity of</t>
  </si>
  <si>
    <t>Total Property Yield</t>
  </si>
  <si>
    <t>10 Yr LTV Model:</t>
  </si>
  <si>
    <t>10 Yr DCR Model:</t>
  </si>
  <si>
    <t>10 Yr Debt Yield Model:</t>
  </si>
  <si>
    <t>5 Yr LTV Model:</t>
  </si>
  <si>
    <t>5 Yr DCR Model:</t>
  </si>
  <si>
    <t>5 Yr DY Model:</t>
  </si>
  <si>
    <t>% of Total</t>
  </si>
  <si>
    <t>Hotel Mortgage-Equity Valuation Model</t>
  </si>
  <si>
    <t>Hotel Valuation Software, 6th Edition Version 6.0</t>
  </si>
  <si>
    <t>Distributed by Hospitality Consulting Services, LLC for Hotel Valuation Software, Inc.</t>
  </si>
  <si>
    <t>www.hotelvaluationsoftware.com</t>
  </si>
  <si>
    <t>HVS Professor of Hotel Finance and Real Estate</t>
  </si>
  <si>
    <t>Cornell University</t>
  </si>
  <si>
    <t>SC Johnson College of Business</t>
  </si>
  <si>
    <t>38B Marlin Lane</t>
  </si>
  <si>
    <t>School of Hotel Administration</t>
  </si>
  <si>
    <t>465 Statler Hall</t>
  </si>
  <si>
    <t>Ithaca, NY  14853</t>
  </si>
  <si>
    <t>jad10@cornell.edu</t>
  </si>
  <si>
    <t xml:space="preserve">Neither the authors, nor any entity </t>
  </si>
  <si>
    <t>associated with Hospitality Consulting Services, LLC</t>
  </si>
  <si>
    <t>Hotel Valuation Software, Inc or HVS</t>
  </si>
  <si>
    <t>will provide any type of software support</t>
  </si>
  <si>
    <t>as part of the sale of this software.</t>
  </si>
  <si>
    <t>Use of this software is subject to the software</t>
  </si>
  <si>
    <t>license agreement located in the license tab</t>
  </si>
  <si>
    <t>Cash Flow for Debt Yield Calcs</t>
  </si>
  <si>
    <t>Underwritten Cash Flow to be Used</t>
  </si>
  <si>
    <r>
      <t xml:space="preserve">Hotel Mortgage-Equity Valuation Model - Input Sheet        </t>
    </r>
    <r>
      <rPr>
        <b/>
        <sz val="9"/>
        <rFont val="Arial"/>
        <family val="2"/>
      </rPr>
      <t>www.hotelvaluationsoftware.com</t>
    </r>
  </si>
  <si>
    <t>Enter the Year of the Cash Flow Used for Underwriting</t>
  </si>
  <si>
    <t>Hotel Mortgage-Equity Valuation Model - 10 Year Output - Loan to Value        www.hotelvaluationsoftware.com</t>
  </si>
  <si>
    <t>Hotel Mortgage-Equity Valuation Model - 10 Year Output - Debt Coverage Ratio        www.hotelvaluationsoftware.com</t>
  </si>
  <si>
    <t>Hotel Mortgage-Equity Valuation Model - 10 Year Output - Debt Yield        www.hotelvaluationsoftware.com</t>
  </si>
  <si>
    <t>Hotel Mortgage-Equity Valuation Model - 5 Year Output - Loan to Value        www.hotelvaluationsoftware.com</t>
  </si>
  <si>
    <t>Hotel Mortgage -Equity Valuation Model- 5 Year Output - Debt Coverage Ratio        www.hotelvaluationsoftware.com</t>
  </si>
  <si>
    <t>Hotel Mortgage-Equity Valuation Model - 5 Year Output - Debt Yield        www.hotelvaluationsoftware.com</t>
  </si>
  <si>
    <r>
      <t xml:space="preserve">Hotel Mortgage-Equity Valuation Model - Calculations Sheet        </t>
    </r>
    <r>
      <rPr>
        <b/>
        <sz val="9"/>
        <rFont val="Arial"/>
        <family val="2"/>
      </rPr>
      <t>www.hotelvaluationsoftware.com</t>
    </r>
  </si>
  <si>
    <r>
      <t xml:space="preserve">Hotel Mortgage-Equity Valuation Model - Software License        </t>
    </r>
    <r>
      <rPr>
        <b/>
        <sz val="9"/>
        <rFont val="Arial"/>
        <family val="2"/>
      </rPr>
      <t>www.hotelvaluationsoftware.com</t>
    </r>
  </si>
  <si>
    <t>Calculations for 10-Year Holding Period</t>
  </si>
  <si>
    <t>Calculations for 5-Year Holding Period</t>
  </si>
  <si>
    <t>EBITDA less Repl. Reserve</t>
  </si>
  <si>
    <t>Stabilized Year's EBITDA Less Repl. Reserve</t>
  </si>
  <si>
    <t>EBITDA less</t>
  </si>
  <si>
    <t>Repl. Reserve</t>
  </si>
  <si>
    <t>www.hotelinvestmentlibrary.com</t>
  </si>
  <si>
    <r>
      <t xml:space="preserve">Steve Rushmore, </t>
    </r>
    <r>
      <rPr>
        <b/>
        <sz val="10"/>
        <rFont val="Arial"/>
        <family val="2"/>
      </rPr>
      <t>MAI, CHA</t>
    </r>
  </si>
  <si>
    <t>Jan A. deRoos, Ph.D.</t>
  </si>
  <si>
    <t>steve@hotelvaluationsoftware.com</t>
  </si>
  <si>
    <r>
      <t xml:space="preserve">Copyright </t>
    </r>
    <r>
      <rPr>
        <sz val="11"/>
        <rFont val="Calibri"/>
        <family val="2"/>
      </rPr>
      <t>©</t>
    </r>
    <r>
      <rPr>
        <sz val="11"/>
        <rFont val="Arial"/>
        <family val="2"/>
      </rPr>
      <t xml:space="preserve"> 2018 by Stephen Rushmore and Jan A. deRoos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</si>
</sst>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00_);_(* \(#,##0.00000\);_(* &quot;-&quot;??_);_(@_)"/>
    <numFmt numFmtId="166" formatCode="_(* #,##0.000000_);_(* \(#,##0.000000\);_(* &quot;-&quot;??_);_(@_)"/>
    <numFmt numFmtId="167" formatCode="_(&quot;$&quot;* #,##0_);_(&quot;$&quot;* \(#,##0\);_(&quot;$&quot;* &quot;-&quot;??_);_(@_)"/>
    <numFmt numFmtId="168" formatCode="0.0000"/>
    <numFmt numFmtId="169" formatCode="0.00000"/>
    <numFmt numFmtId="170" formatCode="&quot;$&quot;#,##0"/>
    <numFmt numFmtId="171" formatCode="0_);[Red]\(0\)"/>
    <numFmt numFmtId="172" formatCode="0_);\(0\)"/>
    <numFmt numFmtId="173" formatCode="#,##0.0000_);\(#,##0.0000\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u/>
      <sz val="11"/>
      <color indexed="12"/>
      <name val="Arial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8" fontId="7" fillId="2" borderId="0" applyNumberFormat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3" borderId="3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/>
    <xf numFmtId="42" fontId="2" fillId="0" borderId="0" xfId="0" applyNumberFormat="1" applyFont="1"/>
    <xf numFmtId="0" fontId="2" fillId="0" borderId="4" xfId="0" applyFont="1" applyBorder="1"/>
    <xf numFmtId="167" fontId="2" fillId="0" borderId="0" xfId="0" applyNumberFormat="1" applyFont="1"/>
    <xf numFmtId="0" fontId="4" fillId="0" borderId="0" xfId="0" applyFont="1"/>
    <xf numFmtId="0" fontId="0" fillId="4" borderId="0" xfId="0" applyFill="1" applyAlignment="1">
      <alignment horizontal="center"/>
    </xf>
    <xf numFmtId="0" fontId="2" fillId="5" borderId="0" xfId="0" applyFont="1" applyFill="1"/>
    <xf numFmtId="10" fontId="2" fillId="0" borderId="0" xfId="0" applyNumberFormat="1" applyFont="1"/>
    <xf numFmtId="0" fontId="2" fillId="5" borderId="4" xfId="0" applyFont="1" applyFill="1" applyBorder="1"/>
    <xf numFmtId="167" fontId="2" fillId="0" borderId="4" xfId="0" applyNumberFormat="1" applyFont="1" applyBorder="1"/>
    <xf numFmtId="10" fontId="2" fillId="0" borderId="4" xfId="0" applyNumberFormat="1" applyFont="1" applyBorder="1"/>
    <xf numFmtId="10" fontId="2" fillId="4" borderId="4" xfId="9" applyNumberFormat="1" applyFont="1" applyFill="1" applyBorder="1" applyAlignment="1">
      <alignment horizontal="center"/>
    </xf>
    <xf numFmtId="42" fontId="2" fillId="0" borderId="4" xfId="0" applyNumberFormat="1" applyFont="1" applyBorder="1"/>
    <xf numFmtId="0" fontId="3" fillId="6" borderId="5" xfId="0" applyFont="1" applyFill="1" applyBorder="1"/>
    <xf numFmtId="164" fontId="3" fillId="6" borderId="6" xfId="9" applyNumberFormat="1" applyFont="1" applyFill="1" applyBorder="1"/>
    <xf numFmtId="10" fontId="3" fillId="6" borderId="6" xfId="9" applyNumberFormat="1" applyFont="1" applyFill="1" applyBorder="1"/>
    <xf numFmtId="0" fontId="3" fillId="6" borderId="6" xfId="0" applyFont="1" applyFill="1" applyBorder="1"/>
    <xf numFmtId="167" fontId="3" fillId="6" borderId="6" xfId="2" applyNumberFormat="1" applyFont="1" applyFill="1" applyBorder="1"/>
    <xf numFmtId="167" fontId="3" fillId="6" borderId="5" xfId="2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6" fillId="0" borderId="0" xfId="0" applyFont="1"/>
    <xf numFmtId="164" fontId="2" fillId="4" borderId="4" xfId="9" applyNumberFormat="1" applyFont="1" applyFill="1" applyBorder="1" applyAlignment="1">
      <alignment horizontal="center"/>
    </xf>
    <xf numFmtId="0" fontId="2" fillId="0" borderId="11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quotePrefix="1" applyFont="1" applyFill="1" applyAlignment="1">
      <alignment horizontal="right"/>
    </xf>
    <xf numFmtId="0" fontId="2" fillId="0" borderId="2" xfId="0" applyFont="1" applyBorder="1"/>
    <xf numFmtId="0" fontId="10" fillId="0" borderId="0" xfId="0" applyFont="1"/>
    <xf numFmtId="0" fontId="11" fillId="0" borderId="0" xfId="0" applyFont="1"/>
    <xf numFmtId="0" fontId="1" fillId="0" borderId="0" xfId="0" applyFont="1"/>
    <xf numFmtId="0" fontId="2" fillId="0" borderId="12" xfId="0" applyFont="1" applyBorder="1"/>
    <xf numFmtId="9" fontId="3" fillId="6" borderId="3" xfId="9" applyFont="1" applyFill="1" applyBorder="1"/>
    <xf numFmtId="44" fontId="0" fillId="0" borderId="0" xfId="0" applyNumberFormat="1"/>
    <xf numFmtId="10" fontId="2" fillId="0" borderId="0" xfId="9" applyNumberFormat="1" applyFont="1"/>
    <xf numFmtId="10" fontId="2" fillId="0" borderId="4" xfId="9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6" fontId="12" fillId="4" borderId="4" xfId="0" quotePrefix="1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/>
    <xf numFmtId="9" fontId="3" fillId="7" borderId="3" xfId="9" applyFont="1" applyFill="1" applyBorder="1" applyProtection="1">
      <protection locked="0"/>
    </xf>
    <xf numFmtId="0" fontId="2" fillId="8" borderId="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right"/>
    </xf>
    <xf numFmtId="167" fontId="2" fillId="0" borderId="9" xfId="0" applyNumberFormat="1" applyFont="1" applyBorder="1"/>
    <xf numFmtId="39" fontId="2" fillId="0" borderId="9" xfId="0" applyNumberFormat="1" applyFont="1" applyBorder="1"/>
    <xf numFmtId="0" fontId="2" fillId="5" borderId="0" xfId="0" applyFont="1" applyFill="1" applyAlignment="1">
      <alignment horizontal="right"/>
    </xf>
    <xf numFmtId="0" fontId="2" fillId="5" borderId="4" xfId="0" applyFont="1" applyFill="1" applyBorder="1" applyAlignment="1">
      <alignment horizontal="right"/>
    </xf>
    <xf numFmtId="0" fontId="9" fillId="0" borderId="0" xfId="6" applyAlignment="1" applyProtection="1"/>
    <xf numFmtId="0" fontId="12" fillId="4" borderId="4" xfId="0" quotePrefix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center"/>
    </xf>
    <xf numFmtId="168" fontId="2" fillId="0" borderId="0" xfId="0" applyNumberFormat="1" applyFont="1"/>
    <xf numFmtId="167" fontId="3" fillId="0" borderId="0" xfId="2" applyNumberFormat="1" applyFont="1"/>
    <xf numFmtId="168" fontId="2" fillId="0" borderId="0" xfId="0" applyNumberFormat="1" applyFont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9" fontId="2" fillId="0" borderId="0" xfId="0" applyNumberFormat="1" applyFont="1"/>
    <xf numFmtId="170" fontId="2" fillId="0" borderId="0" xfId="0" applyNumberFormat="1" applyFont="1"/>
    <xf numFmtId="0" fontId="2" fillId="0" borderId="4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173" fontId="2" fillId="0" borderId="0" xfId="0" applyNumberFormat="1" applyFont="1"/>
    <xf numFmtId="42" fontId="2" fillId="0" borderId="0" xfId="0" applyNumberFormat="1" applyFont="1" applyAlignment="1">
      <alignment horizontal="center"/>
    </xf>
    <xf numFmtId="165" fontId="2" fillId="0" borderId="0" xfId="1" applyNumberFormat="1" applyFont="1"/>
    <xf numFmtId="169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44" fontId="2" fillId="0" borderId="0" xfId="0" applyNumberFormat="1" applyFont="1"/>
    <xf numFmtId="43" fontId="2" fillId="0" borderId="0" xfId="0" applyNumberFormat="1" applyFont="1"/>
    <xf numFmtId="9" fontId="2" fillId="0" borderId="4" xfId="0" applyNumberFormat="1" applyFont="1" applyBorder="1"/>
    <xf numFmtId="2" fontId="2" fillId="0" borderId="4" xfId="0" applyNumberFormat="1" applyFont="1" applyBorder="1"/>
    <xf numFmtId="5" fontId="2" fillId="0" borderId="0" xfId="0" applyNumberFormat="1" applyFont="1"/>
    <xf numFmtId="5" fontId="2" fillId="0" borderId="0" xfId="2" applyNumberFormat="1" applyFont="1"/>
    <xf numFmtId="170" fontId="2" fillId="0" borderId="0" xfId="2" applyNumberFormat="1" applyFont="1"/>
    <xf numFmtId="44" fontId="2" fillId="0" borderId="4" xfId="0" applyNumberFormat="1" applyFont="1" applyBorder="1"/>
    <xf numFmtId="44" fontId="2" fillId="0" borderId="0" xfId="2" applyFont="1"/>
    <xf numFmtId="164" fontId="2" fillId="0" borderId="0" xfId="0" applyNumberFormat="1" applyFont="1"/>
    <xf numFmtId="164" fontId="2" fillId="0" borderId="4" xfId="0" applyNumberFormat="1" applyFont="1" applyBorder="1"/>
    <xf numFmtId="0" fontId="14" fillId="0" borderId="0" xfId="0" applyFont="1"/>
    <xf numFmtId="0" fontId="15" fillId="0" borderId="0" xfId="6" applyFont="1" applyAlignment="1" applyProtection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6" borderId="7" xfId="0" quotePrefix="1" applyFont="1" applyFill="1" applyBorder="1"/>
    <xf numFmtId="0" fontId="2" fillId="0" borderId="3" xfId="0" applyFont="1" applyBorder="1"/>
    <xf numFmtId="170" fontId="2" fillId="0" borderId="7" xfId="0" applyNumberFormat="1" applyFont="1" applyBorder="1"/>
    <xf numFmtId="167" fontId="3" fillId="9" borderId="6" xfId="2" applyNumberFormat="1" applyFont="1" applyFill="1" applyBorder="1"/>
    <xf numFmtId="167" fontId="3" fillId="9" borderId="7" xfId="2" applyNumberFormat="1" applyFont="1" applyFill="1" applyBorder="1"/>
    <xf numFmtId="0" fontId="16" fillId="0" borderId="0" xfId="0" applyFont="1"/>
    <xf numFmtId="0" fontId="3" fillId="6" borderId="14" xfId="0" applyFont="1" applyFill="1" applyBorder="1"/>
    <xf numFmtId="0" fontId="2" fillId="4" borderId="2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0" fontId="3" fillId="6" borderId="13" xfId="0" applyFont="1" applyFill="1" applyBorder="1"/>
    <xf numFmtId="0" fontId="12" fillId="4" borderId="12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7" fillId="10" borderId="0" xfId="0" applyFont="1" applyFill="1" applyAlignment="1">
      <alignment horizontal="center"/>
    </xf>
  </cellXfs>
  <cellStyles count="11">
    <cellStyle name="Comma" xfId="1" builtinId="3"/>
    <cellStyle name="Currency" xfId="2" builtinId="4"/>
    <cellStyle name="Grey" xfId="3" xr:uid="{00000000-0005-0000-0000-000002000000}"/>
    <cellStyle name="Header1" xfId="4" xr:uid="{00000000-0005-0000-0000-000003000000}"/>
    <cellStyle name="Header2" xfId="5" xr:uid="{00000000-0005-0000-0000-000004000000}"/>
    <cellStyle name="Hyperlink" xfId="6" builtinId="8"/>
    <cellStyle name="Input [yellow]" xfId="7" xr:uid="{00000000-0005-0000-0000-000006000000}"/>
    <cellStyle name="Normal" xfId="0" builtinId="0"/>
    <cellStyle name="Normal - Style1" xfId="8" xr:uid="{00000000-0005-0000-0000-000008000000}"/>
    <cellStyle name="Percent" xfId="9" builtinId="5"/>
    <cellStyle name="Percent [2]" xfId="10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telinvestmentlibrary.com/" TargetMode="External"/><Relationship Id="rId2" Type="http://schemas.openxmlformats.org/officeDocument/2006/relationships/image" Target="../media/image1.B65113F0"/><Relationship Id="rId1" Type="http://schemas.openxmlformats.org/officeDocument/2006/relationships/hyperlink" Target="http://www.hotelvaluationsoftware.com/" TargetMode="External"/><Relationship Id="rId4" Type="http://schemas.openxmlformats.org/officeDocument/2006/relationships/image" Target="../media/image2.B65113F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368300</xdr:colOff>
      <xdr:row>3</xdr:row>
      <xdr:rowOff>12700</xdr:rowOff>
    </xdr:to>
    <xdr:pic>
      <xdr:nvPicPr>
        <xdr:cNvPr id="8" name="Picture 7" descr="cid:image005.jpg@01D4B8E7.B65113F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42FF70-80E5-41D1-90D4-38B07D703C6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158750"/>
          <a:ext cx="977900" cy="596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146051</xdr:colOff>
      <xdr:row>1</xdr:row>
      <xdr:rowOff>0</xdr:rowOff>
    </xdr:from>
    <xdr:to>
      <xdr:col>4</xdr:col>
      <xdr:colOff>469900</xdr:colOff>
      <xdr:row>3</xdr:row>
      <xdr:rowOff>63500</xdr:rowOff>
    </xdr:to>
    <xdr:pic>
      <xdr:nvPicPr>
        <xdr:cNvPr id="9" name="Picture 8" descr="cid:image004.jpg@01D4B8E7.B65113F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D5A05D-CB81-4EE4-BD02-F2FF2BF1C6A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1" y="158750"/>
          <a:ext cx="933449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45281</xdr:colOff>
      <xdr:row>1</xdr:row>
      <xdr:rowOff>142874</xdr:rowOff>
    </xdr:from>
    <xdr:to>
      <xdr:col>11</xdr:col>
      <xdr:colOff>190500</xdr:colOff>
      <xdr:row>71</xdr:row>
      <xdr:rowOff>59531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654881" y="342899"/>
          <a:ext cx="6241219" cy="11251407"/>
          <a:chOff x="973969" y="726281"/>
          <a:chExt cx="5144217" cy="1038106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3969" y="726281"/>
            <a:ext cx="5144217" cy="7144747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88219" y="7830284"/>
            <a:ext cx="5125165" cy="32770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telvaluationsoftware.com/" TargetMode="External"/><Relationship Id="rId2" Type="http://schemas.openxmlformats.org/officeDocument/2006/relationships/hyperlink" Target="mailto:steve@hotelvaluationsoftware.com" TargetMode="External"/><Relationship Id="rId1" Type="http://schemas.openxmlformats.org/officeDocument/2006/relationships/hyperlink" Target="mailto:jad10@cornell.ed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hotelinvestmentlibrary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J31"/>
  <sheetViews>
    <sheetView tabSelected="1" zoomScaleNormal="100" workbookViewId="0"/>
  </sheetViews>
  <sheetFormatPr defaultRowHeight="12.5" x14ac:dyDescent="0.25"/>
  <cols>
    <col min="1" max="1" width="3.7265625" customWidth="1"/>
  </cols>
  <sheetData>
    <row r="2" spans="2:10" ht="23" x14ac:dyDescent="0.5">
      <c r="B2" s="108"/>
    </row>
    <row r="3" spans="2:10" ht="23" x14ac:dyDescent="0.5">
      <c r="B3" s="108"/>
    </row>
    <row r="4" spans="2:10" ht="12" customHeight="1" x14ac:dyDescent="0.5">
      <c r="B4" s="108"/>
    </row>
    <row r="5" spans="2:10" ht="23" x14ac:dyDescent="0.5">
      <c r="B5" s="108" t="s">
        <v>139</v>
      </c>
    </row>
    <row r="6" spans="2:10" ht="7.5" customHeight="1" x14ac:dyDescent="0.5">
      <c r="B6" s="108"/>
    </row>
    <row r="7" spans="2:10" ht="18" x14ac:dyDescent="0.4">
      <c r="B7" s="95" t="s">
        <v>140</v>
      </c>
    </row>
    <row r="8" spans="2:10" ht="14" x14ac:dyDescent="0.3">
      <c r="B8" s="35" t="s">
        <v>141</v>
      </c>
    </row>
    <row r="9" spans="2:10" x14ac:dyDescent="0.25">
      <c r="B9" s="63" t="s">
        <v>142</v>
      </c>
      <c r="F9" s="63"/>
    </row>
    <row r="10" spans="2:10" x14ac:dyDescent="0.25">
      <c r="B10" s="63" t="s">
        <v>176</v>
      </c>
      <c r="F10" s="63"/>
    </row>
    <row r="12" spans="2:10" ht="15.5" x14ac:dyDescent="0.35">
      <c r="B12" s="8" t="s">
        <v>177</v>
      </c>
      <c r="F12" s="8" t="s">
        <v>178</v>
      </c>
    </row>
    <row r="13" spans="2:10" ht="14" x14ac:dyDescent="0.3">
      <c r="B13" s="36" t="s">
        <v>118</v>
      </c>
      <c r="C13" s="37"/>
      <c r="D13" s="37"/>
      <c r="E13" s="37"/>
      <c r="F13" s="36" t="s">
        <v>143</v>
      </c>
      <c r="G13" s="37"/>
      <c r="I13" s="37"/>
      <c r="J13" s="37"/>
    </row>
    <row r="14" spans="2:10" ht="14" x14ac:dyDescent="0.3">
      <c r="B14" s="36" t="s">
        <v>117</v>
      </c>
      <c r="C14" s="37"/>
      <c r="D14" s="37"/>
      <c r="E14" s="37"/>
      <c r="F14" s="36" t="s">
        <v>144</v>
      </c>
      <c r="G14" s="37"/>
      <c r="I14" s="37"/>
      <c r="J14" s="37"/>
    </row>
    <row r="15" spans="2:10" ht="14" x14ac:dyDescent="0.3">
      <c r="B15" s="36" t="s">
        <v>146</v>
      </c>
      <c r="C15" s="37"/>
      <c r="D15" s="37"/>
      <c r="E15" s="37"/>
      <c r="F15" s="36" t="s">
        <v>145</v>
      </c>
      <c r="G15" s="37"/>
      <c r="I15" s="37"/>
      <c r="J15" s="37"/>
    </row>
    <row r="16" spans="2:10" ht="14" x14ac:dyDescent="0.3">
      <c r="B16" s="36" t="s">
        <v>119</v>
      </c>
      <c r="C16" s="37"/>
      <c r="D16" s="37"/>
      <c r="E16" s="37"/>
      <c r="F16" s="36" t="s">
        <v>147</v>
      </c>
      <c r="G16" s="37"/>
      <c r="I16" s="37"/>
      <c r="J16" s="37"/>
    </row>
    <row r="17" spans="2:10" ht="14" x14ac:dyDescent="0.3">
      <c r="B17" s="63" t="s">
        <v>179</v>
      </c>
      <c r="C17" s="37"/>
      <c r="D17" s="37"/>
      <c r="E17" s="37"/>
      <c r="F17" s="36" t="s">
        <v>148</v>
      </c>
      <c r="G17" s="37"/>
      <c r="I17" s="37"/>
      <c r="J17" s="37"/>
    </row>
    <row r="18" spans="2:10" ht="14" x14ac:dyDescent="0.3">
      <c r="C18" s="37"/>
      <c r="D18" s="37"/>
      <c r="E18" s="37"/>
      <c r="F18" s="36" t="s">
        <v>149</v>
      </c>
      <c r="G18" s="37"/>
      <c r="H18" s="37"/>
      <c r="I18" s="37"/>
      <c r="J18" s="37"/>
    </row>
    <row r="19" spans="2:10" ht="14" x14ac:dyDescent="0.3">
      <c r="F19" s="96" t="s">
        <v>150</v>
      </c>
    </row>
    <row r="20" spans="2:10" ht="14" x14ac:dyDescent="0.3">
      <c r="B20" s="36"/>
    </row>
    <row r="21" spans="2:10" ht="14.5" x14ac:dyDescent="0.35">
      <c r="B21" s="36" t="s">
        <v>180</v>
      </c>
    </row>
    <row r="22" spans="2:10" ht="14" x14ac:dyDescent="0.3">
      <c r="B22" s="36" t="s">
        <v>81</v>
      </c>
    </row>
    <row r="24" spans="2:10" ht="14" x14ac:dyDescent="0.3">
      <c r="B24" s="36" t="s">
        <v>151</v>
      </c>
    </row>
    <row r="25" spans="2:10" ht="14" x14ac:dyDescent="0.3">
      <c r="B25" s="36" t="s">
        <v>152</v>
      </c>
    </row>
    <row r="26" spans="2:10" ht="14" x14ac:dyDescent="0.3">
      <c r="B26" s="36" t="s">
        <v>153</v>
      </c>
    </row>
    <row r="27" spans="2:10" ht="14" x14ac:dyDescent="0.3">
      <c r="B27" s="36" t="s">
        <v>154</v>
      </c>
    </row>
    <row r="28" spans="2:10" ht="14" x14ac:dyDescent="0.3">
      <c r="B28" s="36" t="s">
        <v>155</v>
      </c>
    </row>
    <row r="30" spans="2:10" ht="14" x14ac:dyDescent="0.3">
      <c r="B30" s="36" t="s">
        <v>156</v>
      </c>
    </row>
    <row r="31" spans="2:10" ht="14" x14ac:dyDescent="0.3">
      <c r="B31" s="36" t="s">
        <v>157</v>
      </c>
    </row>
  </sheetData>
  <phoneticPr fontId="0" type="noConversion"/>
  <hyperlinks>
    <hyperlink ref="F19" r:id="rId1" xr:uid="{C1F789B7-4E29-4A07-ACFC-AF237D78F970}"/>
    <hyperlink ref="B17" r:id="rId2" xr:uid="{69743BF0-6B41-4DEB-88A9-740924E35E04}"/>
    <hyperlink ref="B9" r:id="rId3" xr:uid="{2DDD0C99-3765-4584-A602-FAF51230F195}"/>
    <hyperlink ref="B10" r:id="rId4" xr:uid="{FD88F4A1-B864-47B1-9DD4-EA9B8C63E1A5}"/>
  </hyperlinks>
  <pageMargins left="0.75" right="0.75" top="1" bottom="1" header="0.5" footer="0.5"/>
  <pageSetup orientation="portrait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B1"/>
  <sheetViews>
    <sheetView zoomScaleNormal="100" workbookViewId="0"/>
  </sheetViews>
  <sheetFormatPr defaultRowHeight="12.5" x14ac:dyDescent="0.25"/>
  <sheetData>
    <row r="1" spans="2:2" ht="15.5" x14ac:dyDescent="0.35">
      <c r="B1" s="8" t="s">
        <v>169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I42"/>
  <sheetViews>
    <sheetView zoomScaleNormal="100" workbookViewId="0"/>
  </sheetViews>
  <sheetFormatPr defaultColWidth="8.81640625" defaultRowHeight="11.5" x14ac:dyDescent="0.25"/>
  <cols>
    <col min="1" max="1" width="3.7265625" style="1" customWidth="1"/>
    <col min="2" max="2" width="11.54296875" style="1" customWidth="1"/>
    <col min="3" max="3" width="32.7265625" style="1" customWidth="1"/>
    <col min="4" max="4" width="9.7265625" style="1" customWidth="1"/>
    <col min="5" max="6" width="10.54296875" style="1" customWidth="1"/>
    <col min="7" max="7" width="12" style="1" customWidth="1"/>
    <col min="8" max="9" width="11.7265625" style="1" customWidth="1"/>
    <col min="10" max="10" width="8.81640625" style="1"/>
    <col min="11" max="11" width="12.7265625" style="1" customWidth="1"/>
    <col min="12" max="16384" width="8.81640625" style="1"/>
  </cols>
  <sheetData>
    <row r="1" spans="2:9" ht="15.5" x14ac:dyDescent="0.35">
      <c r="B1" s="8" t="s">
        <v>160</v>
      </c>
    </row>
    <row r="2" spans="2:9" ht="13.4" customHeight="1" x14ac:dyDescent="0.25"/>
    <row r="3" spans="2:9" ht="13.4" customHeight="1" x14ac:dyDescent="0.3">
      <c r="B3" s="52" t="s">
        <v>96</v>
      </c>
      <c r="C3" s="54"/>
      <c r="D3"/>
      <c r="G3" s="52" t="s">
        <v>110</v>
      </c>
      <c r="H3" s="53"/>
      <c r="I3" s="54"/>
    </row>
    <row r="4" spans="2:9" ht="13.4" customHeight="1" x14ac:dyDescent="0.25">
      <c r="B4" s="23" t="s">
        <v>67</v>
      </c>
      <c r="C4" s="17"/>
      <c r="D4"/>
      <c r="G4" s="38" t="s">
        <v>111</v>
      </c>
      <c r="H4" s="34"/>
      <c r="I4" s="50"/>
    </row>
    <row r="5" spans="2:9" ht="13.4" customHeight="1" x14ac:dyDescent="0.25">
      <c r="B5" s="28" t="s">
        <v>68</v>
      </c>
      <c r="C5" s="20"/>
      <c r="D5"/>
      <c r="G5" s="38" t="s">
        <v>112</v>
      </c>
      <c r="H5" s="34"/>
      <c r="I5" s="51"/>
    </row>
    <row r="6" spans="2:9" ht="13.4" customHeight="1" x14ac:dyDescent="0.25">
      <c r="B6" s="28" t="s">
        <v>69</v>
      </c>
      <c r="C6" s="20"/>
      <c r="D6"/>
      <c r="G6" s="25" t="s">
        <v>113</v>
      </c>
      <c r="H6" s="6"/>
      <c r="I6" s="104"/>
    </row>
    <row r="7" spans="2:9" ht="13.4" customHeight="1" x14ac:dyDescent="0.25">
      <c r="B7" s="25" t="s">
        <v>70</v>
      </c>
      <c r="C7" s="103"/>
      <c r="D7"/>
    </row>
    <row r="8" spans="2:9" ht="13.4" customHeight="1" x14ac:dyDescent="0.25">
      <c r="C8" s="26"/>
      <c r="D8"/>
      <c r="G8"/>
      <c r="H8" s="113" t="s">
        <v>172</v>
      </c>
      <c r="I8" s="114"/>
    </row>
    <row r="9" spans="2:9" ht="13.4" customHeight="1" x14ac:dyDescent="0.3">
      <c r="B9" s="52" t="s">
        <v>95</v>
      </c>
      <c r="C9" s="55"/>
      <c r="D9" s="66" t="s">
        <v>121</v>
      </c>
      <c r="E9" s="66" t="s">
        <v>122</v>
      </c>
      <c r="F9" s="56" t="s">
        <v>15</v>
      </c>
      <c r="G9" s="56" t="s">
        <v>114</v>
      </c>
      <c r="H9" s="56" t="s">
        <v>121</v>
      </c>
      <c r="I9" s="57" t="s">
        <v>122</v>
      </c>
    </row>
    <row r="10" spans="2:9" ht="13.4" customHeight="1" x14ac:dyDescent="0.25">
      <c r="B10" s="23" t="s">
        <v>27</v>
      </c>
      <c r="D10" s="17">
        <v>2020</v>
      </c>
      <c r="E10" s="101">
        <f>D10</f>
        <v>2020</v>
      </c>
      <c r="F10" s="97">
        <f>D10</f>
        <v>2020</v>
      </c>
      <c r="G10" s="97" t="s">
        <v>16</v>
      </c>
      <c r="H10" s="21"/>
      <c r="I10" s="22"/>
    </row>
    <row r="11" spans="2:9" ht="13.4" customHeight="1" x14ac:dyDescent="0.25">
      <c r="B11" s="28" t="s">
        <v>105</v>
      </c>
      <c r="D11" s="20"/>
      <c r="E11" s="102">
        <f>D11</f>
        <v>0</v>
      </c>
      <c r="F11" s="98">
        <f>F10+1</f>
        <v>2021</v>
      </c>
      <c r="G11" s="98" t="s">
        <v>17</v>
      </c>
      <c r="H11" s="106">
        <f t="shared" ref="H11:I12" si="0">+H10*(1+D$18)</f>
        <v>0</v>
      </c>
      <c r="I11" s="106">
        <f t="shared" si="0"/>
        <v>0</v>
      </c>
    </row>
    <row r="12" spans="2:9" ht="13.4" customHeight="1" x14ac:dyDescent="0.25">
      <c r="B12" s="28" t="s">
        <v>1</v>
      </c>
      <c r="D12" s="18"/>
      <c r="E12" s="18"/>
      <c r="F12" s="98">
        <f t="shared" ref="F12:F19" si="1">F11+1</f>
        <v>2022</v>
      </c>
      <c r="G12" s="98" t="s">
        <v>18</v>
      </c>
      <c r="H12" s="106">
        <f t="shared" si="0"/>
        <v>0</v>
      </c>
      <c r="I12" s="106">
        <f t="shared" ref="I12" si="2">+I11*(1+E$18)</f>
        <v>0</v>
      </c>
    </row>
    <row r="13" spans="2:9" ht="13.4" customHeight="1" x14ac:dyDescent="0.25">
      <c r="B13" s="28" t="s">
        <v>2</v>
      </c>
      <c r="D13" s="19"/>
      <c r="E13" s="19"/>
      <c r="F13" s="98">
        <f t="shared" si="1"/>
        <v>2023</v>
      </c>
      <c r="G13" s="98" t="s">
        <v>19</v>
      </c>
      <c r="H13" s="106">
        <f t="shared" ref="H13:H16" si="3">+H12*(1+D$18)</f>
        <v>0</v>
      </c>
      <c r="I13" s="106">
        <f>+I12*(1+E$18)</f>
        <v>0</v>
      </c>
    </row>
    <row r="14" spans="2:9" ht="13.4" customHeight="1" x14ac:dyDescent="0.25">
      <c r="B14" s="28" t="s">
        <v>36</v>
      </c>
      <c r="D14" s="20"/>
      <c r="E14" s="20"/>
      <c r="F14" s="98">
        <f t="shared" si="1"/>
        <v>2024</v>
      </c>
      <c r="G14" s="98" t="s">
        <v>20</v>
      </c>
      <c r="H14" s="106">
        <f t="shared" si="3"/>
        <v>0</v>
      </c>
      <c r="I14" s="106">
        <f>+I13*(1+E$18)</f>
        <v>0</v>
      </c>
    </row>
    <row r="15" spans="2:9" ht="13.4" customHeight="1" x14ac:dyDescent="0.25">
      <c r="B15" s="28" t="s">
        <v>5</v>
      </c>
      <c r="D15" s="20"/>
      <c r="E15" s="20"/>
      <c r="F15" s="98">
        <f t="shared" si="1"/>
        <v>2025</v>
      </c>
      <c r="G15" s="98" t="s">
        <v>21</v>
      </c>
      <c r="H15" s="106">
        <f t="shared" si="3"/>
        <v>0</v>
      </c>
      <c r="I15" s="107">
        <f>+I14*(1+E$18)</f>
        <v>0</v>
      </c>
    </row>
    <row r="16" spans="2:9" ht="13.4" customHeight="1" x14ac:dyDescent="0.25">
      <c r="B16" s="28" t="s">
        <v>4</v>
      </c>
      <c r="D16" s="19"/>
      <c r="E16" s="19"/>
      <c r="F16" s="98">
        <f t="shared" si="1"/>
        <v>2026</v>
      </c>
      <c r="G16" s="98" t="s">
        <v>22</v>
      </c>
      <c r="H16" s="106">
        <f t="shared" si="3"/>
        <v>0</v>
      </c>
      <c r="I16" s="68"/>
    </row>
    <row r="17" spans="2:9" ht="13.4" customHeight="1" x14ac:dyDescent="0.25">
      <c r="B17" s="28" t="s">
        <v>37</v>
      </c>
      <c r="D17" s="18"/>
      <c r="E17" s="18"/>
      <c r="F17" s="98">
        <f t="shared" si="1"/>
        <v>2027</v>
      </c>
      <c r="G17" s="98" t="s">
        <v>23</v>
      </c>
      <c r="H17" s="106">
        <f>+H16*(1+D$18)</f>
        <v>0</v>
      </c>
      <c r="I17" s="68"/>
    </row>
    <row r="18" spans="2:9" ht="13.4" customHeight="1" x14ac:dyDescent="0.25">
      <c r="B18" s="28" t="s">
        <v>39</v>
      </c>
      <c r="D18" s="18"/>
      <c r="E18" s="18"/>
      <c r="F18" s="98">
        <f t="shared" si="1"/>
        <v>2028</v>
      </c>
      <c r="G18" s="98" t="s">
        <v>24</v>
      </c>
      <c r="H18" s="106">
        <f>+H17*(1+D$18)</f>
        <v>0</v>
      </c>
      <c r="I18" s="68"/>
    </row>
    <row r="19" spans="2:9" ht="13.4" customHeight="1" x14ac:dyDescent="0.25">
      <c r="B19" s="28" t="s">
        <v>126</v>
      </c>
      <c r="D19" s="20"/>
      <c r="E19" s="20"/>
      <c r="F19" s="98">
        <f t="shared" si="1"/>
        <v>2029</v>
      </c>
      <c r="G19" s="99" t="s">
        <v>25</v>
      </c>
      <c r="H19" s="106">
        <f>+H18*(1+D$18)</f>
        <v>0</v>
      </c>
      <c r="I19" s="68"/>
    </row>
    <row r="20" spans="2:9" ht="13.4" customHeight="1" x14ac:dyDescent="0.25">
      <c r="B20" s="25" t="s">
        <v>173</v>
      </c>
      <c r="C20" s="6"/>
      <c r="D20" s="105" t="e">
        <f>VLOOKUP(D19,Calcs!$E$5:$F$15,2)</f>
        <v>#N/A</v>
      </c>
      <c r="E20" s="105" t="e">
        <f>VLOOKUP(E19,Calcs!E5:F15,2)</f>
        <v>#N/A</v>
      </c>
      <c r="F20" s="100">
        <f>F19+1</f>
        <v>2030</v>
      </c>
      <c r="G20" s="100" t="s">
        <v>26</v>
      </c>
      <c r="H20" s="107">
        <f>+H19*(1+D$18)</f>
        <v>0</v>
      </c>
      <c r="I20" s="68"/>
    </row>
    <row r="21" spans="2:9" ht="13.4" customHeight="1" x14ac:dyDescent="0.25"/>
    <row r="22" spans="2:9" ht="13.4" customHeight="1" x14ac:dyDescent="0.3">
      <c r="B22" s="52" t="s">
        <v>109</v>
      </c>
      <c r="C22" s="53"/>
      <c r="D22" s="53"/>
      <c r="E22" s="54"/>
    </row>
    <row r="23" spans="2:9" ht="13.4" customHeight="1" x14ac:dyDescent="0.25">
      <c r="B23" s="23"/>
      <c r="C23" s="24"/>
      <c r="D23" s="24"/>
      <c r="E23" s="43"/>
    </row>
    <row r="24" spans="2:9" ht="13.4" customHeight="1" x14ac:dyDescent="0.3">
      <c r="B24" s="52" t="s">
        <v>120</v>
      </c>
      <c r="C24" s="110"/>
      <c r="D24" s="66" t="s">
        <v>121</v>
      </c>
      <c r="E24" s="111" t="s">
        <v>122</v>
      </c>
    </row>
    <row r="25" spans="2:9" ht="13.4" customHeight="1" x14ac:dyDescent="0.25">
      <c r="B25" s="38" t="s">
        <v>3</v>
      </c>
      <c r="C25" s="34"/>
      <c r="D25" s="39"/>
      <c r="E25" s="39"/>
    </row>
    <row r="26" spans="2:9" ht="13.4" customHeight="1" x14ac:dyDescent="0.25">
      <c r="D26" s="44"/>
      <c r="E26" s="44"/>
    </row>
    <row r="27" spans="2:9" ht="13.4" customHeight="1" x14ac:dyDescent="0.3">
      <c r="B27" s="52" t="s">
        <v>89</v>
      </c>
      <c r="C27" s="110"/>
      <c r="D27" s="66" t="s">
        <v>121</v>
      </c>
      <c r="E27" s="111" t="s">
        <v>122</v>
      </c>
      <c r="F27"/>
      <c r="G27"/>
    </row>
    <row r="28" spans="2:9" ht="13.4" customHeight="1" x14ac:dyDescent="0.25">
      <c r="B28" s="23" t="s">
        <v>28</v>
      </c>
      <c r="C28" s="24"/>
      <c r="D28" s="17"/>
      <c r="E28" s="112"/>
    </row>
    <row r="29" spans="2:9" ht="13.4" customHeight="1" x14ac:dyDescent="0.25">
      <c r="B29" s="28" t="s">
        <v>161</v>
      </c>
      <c r="D29" s="20"/>
      <c r="E29" s="109"/>
    </row>
    <row r="30" spans="2:9" ht="13.4" customHeight="1" x14ac:dyDescent="0.25">
      <c r="B30" s="25" t="s">
        <v>159</v>
      </c>
      <c r="C30" s="6"/>
      <c r="D30" s="105" t="e">
        <f>VLOOKUP(D29,Calcs!$E$5:$F$15,2)</f>
        <v>#N/A</v>
      </c>
      <c r="E30" s="105" t="e">
        <f>VLOOKUP(E29,Calcs!$E$5:$F$15,2)</f>
        <v>#N/A</v>
      </c>
    </row>
    <row r="31" spans="2:9" ht="13.4" customHeight="1" x14ac:dyDescent="0.25">
      <c r="D31" s="44"/>
      <c r="E31" s="44"/>
    </row>
    <row r="32" spans="2:9" ht="13.4" customHeight="1" x14ac:dyDescent="0.3">
      <c r="B32" s="52" t="s">
        <v>90</v>
      </c>
      <c r="C32" s="110"/>
      <c r="D32" s="66" t="s">
        <v>121</v>
      </c>
      <c r="E32" s="111" t="s">
        <v>122</v>
      </c>
    </row>
    <row r="33" spans="2:5" x14ac:dyDescent="0.25">
      <c r="B33" s="23" t="s">
        <v>91</v>
      </c>
      <c r="C33" s="24"/>
      <c r="D33" s="19"/>
      <c r="E33" s="19"/>
    </row>
    <row r="34" spans="2:5" x14ac:dyDescent="0.25">
      <c r="B34" s="28" t="s">
        <v>161</v>
      </c>
      <c r="D34" s="20"/>
      <c r="E34" s="109"/>
    </row>
    <row r="35" spans="2:5" x14ac:dyDescent="0.25">
      <c r="B35" s="25" t="s">
        <v>159</v>
      </c>
      <c r="C35" s="6"/>
      <c r="D35" s="105" t="e">
        <f>VLOOKUP(D34,Calcs!$E$5:$F$15,2)</f>
        <v>#N/A</v>
      </c>
      <c r="E35" s="105" t="e">
        <f>VLOOKUP(E34,Calcs!$E$5:$F$15,2)</f>
        <v>#N/A</v>
      </c>
    </row>
    <row r="36" spans="2:5" x14ac:dyDescent="0.25">
      <c r="B36" s="24"/>
      <c r="C36" s="24"/>
      <c r="D36" s="24"/>
      <c r="E36" s="24"/>
    </row>
    <row r="37" spans="2:5" ht="12.5" x14ac:dyDescent="0.25">
      <c r="C37"/>
      <c r="D37"/>
    </row>
    <row r="38" spans="2:5" ht="12.5" x14ac:dyDescent="0.25">
      <c r="C38"/>
      <c r="D38"/>
    </row>
    <row r="39" spans="2:5" ht="12.5" x14ac:dyDescent="0.25">
      <c r="C39"/>
      <c r="D39"/>
    </row>
    <row r="40" spans="2:5" ht="12.5" x14ac:dyDescent="0.25">
      <c r="C40"/>
      <c r="D40"/>
    </row>
    <row r="41" spans="2:5" ht="12.5" x14ac:dyDescent="0.25">
      <c r="C41"/>
      <c r="D41"/>
    </row>
    <row r="42" spans="2:5" ht="12.5" x14ac:dyDescent="0.25">
      <c r="C42"/>
      <c r="D42"/>
    </row>
  </sheetData>
  <mergeCells count="1">
    <mergeCell ref="H8:I8"/>
  </mergeCells>
  <phoneticPr fontId="0" type="noConversion"/>
  <pageMargins left="0.75" right="0.75" top="1" bottom="1" header="0.5" footer="0.5"/>
  <pageSetup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N75"/>
  <sheetViews>
    <sheetView zoomScaleNormal="100" workbookViewId="0"/>
  </sheetViews>
  <sheetFormatPr defaultColWidth="8.81640625" defaultRowHeight="11.5" x14ac:dyDescent="0.25"/>
  <cols>
    <col min="1" max="1" width="3.7265625" style="1" customWidth="1"/>
    <col min="2" max="2" width="27.7265625" style="1" customWidth="1"/>
    <col min="3" max="3" width="10.54296875" style="1" customWidth="1"/>
    <col min="4" max="14" width="10.7265625" style="1" customWidth="1"/>
    <col min="15" max="16384" width="8.81640625" style="1"/>
  </cols>
  <sheetData>
    <row r="1" spans="2:14" customFormat="1" ht="15.5" x14ac:dyDescent="0.35">
      <c r="B1" s="8" t="s">
        <v>162</v>
      </c>
    </row>
    <row r="2" spans="2:14" customFormat="1" ht="12.75" customHeight="1" x14ac:dyDescent="0.25"/>
    <row r="3" spans="2:14" customFormat="1" ht="12.75" customHeight="1" x14ac:dyDescent="0.25">
      <c r="B3" s="45" t="s">
        <v>132</v>
      </c>
      <c r="C3" s="46" t="s">
        <v>106</v>
      </c>
      <c r="D3" s="46" t="s">
        <v>138</v>
      </c>
      <c r="E3" s="45"/>
      <c r="F3" s="46" t="s">
        <v>108</v>
      </c>
      <c r="G3" s="1"/>
      <c r="H3" s="115" t="s">
        <v>103</v>
      </c>
      <c r="I3" s="115"/>
      <c r="J3" s="115"/>
      <c r="K3" s="115"/>
      <c r="M3" s="1"/>
      <c r="N3" s="1"/>
    </row>
    <row r="4" spans="2:14" customFormat="1" ht="12.75" customHeight="1" x14ac:dyDescent="0.25">
      <c r="B4" s="49">
        <f>Input!C4</f>
        <v>0</v>
      </c>
      <c r="C4" s="47" t="s">
        <v>44</v>
      </c>
      <c r="D4" s="48" t="s">
        <v>106</v>
      </c>
      <c r="E4" s="48" t="s">
        <v>45</v>
      </c>
      <c r="F4" s="48" t="s">
        <v>107</v>
      </c>
      <c r="G4" s="1"/>
      <c r="H4" s="10" t="s">
        <v>98</v>
      </c>
      <c r="I4" s="10"/>
      <c r="J4" s="10"/>
      <c r="K4" s="41" t="e">
        <f>(F38/C5)-1</f>
        <v>#DIV/0!</v>
      </c>
      <c r="M4" s="1"/>
      <c r="N4" s="1"/>
    </row>
    <row r="5" spans="2:14" ht="12.75" customHeight="1" x14ac:dyDescent="0.25">
      <c r="B5" s="10" t="s">
        <v>6</v>
      </c>
      <c r="C5" s="7" t="e">
        <f>Calcs!C34</f>
        <v>#DIV/0!</v>
      </c>
      <c r="D5" s="93" t="e">
        <f>+C5/$C$5</f>
        <v>#DIV/0!</v>
      </c>
      <c r="E5" s="11" t="e">
        <f>IRR(D12:N12,0.1)</f>
        <v>#VALUE!</v>
      </c>
      <c r="F5" s="5" t="e">
        <f>C5/Input!D11*1000</f>
        <v>#DIV/0!</v>
      </c>
      <c r="H5" s="10" t="s">
        <v>99</v>
      </c>
      <c r="I5" s="10"/>
      <c r="J5" s="10"/>
      <c r="K5" s="11" t="e">
        <f>RATE(10,,C5,-F38)</f>
        <v>#DIV/0!</v>
      </c>
    </row>
    <row r="6" spans="2:14" ht="12.75" customHeight="1" x14ac:dyDescent="0.25">
      <c r="B6" s="10" t="s">
        <v>40</v>
      </c>
      <c r="C6" s="7" t="e">
        <f>Calcs!C35</f>
        <v>#DIV/0!</v>
      </c>
      <c r="D6" s="93" t="e">
        <f t="shared" ref="D6:D7" si="0">+C6/$C$5</f>
        <v>#DIV/0!</v>
      </c>
      <c r="E6" s="11" t="e">
        <f>Input!D15*RATE(10*Input!D15,E13/Input!D15,D13,Calcs!C22)</f>
        <v>#DIV/0!</v>
      </c>
      <c r="F6" s="5" t="e">
        <f>C6/Input!D11*1000</f>
        <v>#DIV/0!</v>
      </c>
      <c r="H6" s="10" t="s">
        <v>100</v>
      </c>
      <c r="I6" s="10"/>
      <c r="J6" s="10"/>
      <c r="K6" s="11" t="e">
        <f>1-K7</f>
        <v>#DIV/0!</v>
      </c>
    </row>
    <row r="7" spans="2:14" ht="12.75" customHeight="1" x14ac:dyDescent="0.25">
      <c r="B7" s="12" t="s">
        <v>46</v>
      </c>
      <c r="C7" s="13" t="e">
        <f>C5-C6</f>
        <v>#DIV/0!</v>
      </c>
      <c r="D7" s="94" t="e">
        <f t="shared" si="0"/>
        <v>#DIV/0!</v>
      </c>
      <c r="E7" s="14" t="e">
        <f>IRR(D14:N14,0.1)</f>
        <v>#VALUE!</v>
      </c>
      <c r="F7" s="16" t="e">
        <f>C7/Input!D11*1000</f>
        <v>#DIV/0!</v>
      </c>
      <c r="H7" s="10" t="s">
        <v>101</v>
      </c>
      <c r="I7" s="10"/>
      <c r="J7" s="10"/>
      <c r="K7" s="11" t="e">
        <f>((F40/(1+E5)^10)/C5)</f>
        <v>#DIV/0!</v>
      </c>
    </row>
    <row r="8" spans="2:14" ht="12.75" customHeight="1" x14ac:dyDescent="0.25">
      <c r="B8" s="10"/>
      <c r="D8" s="7"/>
      <c r="F8" s="11"/>
      <c r="H8" s="10" t="s">
        <v>102</v>
      </c>
      <c r="I8" s="10"/>
      <c r="J8" s="10"/>
      <c r="K8" s="41" t="e">
        <f>Input!D20*(1/(1+Input!D18)^(Input!D19-1))/C5</f>
        <v>#N/A</v>
      </c>
    </row>
    <row r="9" spans="2:14" ht="12.75" customHeight="1" x14ac:dyDescent="0.25">
      <c r="B9" s="10"/>
      <c r="D9" s="7"/>
      <c r="F9" s="11"/>
      <c r="H9" s="12" t="s">
        <v>131</v>
      </c>
      <c r="I9" s="12"/>
      <c r="J9" s="12"/>
      <c r="K9" s="42" t="e">
        <f>+E5</f>
        <v>#VALUE!</v>
      </c>
    </row>
    <row r="10" spans="2:14" ht="12.75" customHeight="1" x14ac:dyDescent="0.25"/>
    <row r="11" spans="2:14" ht="12.75" customHeight="1" x14ac:dyDescent="0.25">
      <c r="B11" s="49" t="s">
        <v>64</v>
      </c>
      <c r="C11" s="3" t="s">
        <v>15</v>
      </c>
      <c r="D11" s="2">
        <f>Input!D10-1</f>
        <v>2019</v>
      </c>
      <c r="E11" s="2">
        <f>D11+1</f>
        <v>2020</v>
      </c>
      <c r="F11" s="2">
        <f t="shared" ref="F11:N11" si="1">E11+1</f>
        <v>2021</v>
      </c>
      <c r="G11" s="2">
        <f t="shared" si="1"/>
        <v>2022</v>
      </c>
      <c r="H11" s="2">
        <f t="shared" si="1"/>
        <v>2023</v>
      </c>
      <c r="I11" s="2">
        <f t="shared" si="1"/>
        <v>2024</v>
      </c>
      <c r="J11" s="2">
        <f t="shared" si="1"/>
        <v>2025</v>
      </c>
      <c r="K11" s="2">
        <f t="shared" si="1"/>
        <v>2026</v>
      </c>
      <c r="L11" s="2">
        <f t="shared" si="1"/>
        <v>2027</v>
      </c>
      <c r="M11" s="2">
        <f t="shared" si="1"/>
        <v>2028</v>
      </c>
      <c r="N11" s="2">
        <f t="shared" si="1"/>
        <v>2029</v>
      </c>
    </row>
    <row r="12" spans="2:14" ht="12.75" customHeight="1" x14ac:dyDescent="0.25">
      <c r="B12" s="10" t="s">
        <v>43</v>
      </c>
      <c r="D12" s="7" t="e">
        <f>-C5</f>
        <v>#DIV/0!</v>
      </c>
      <c r="E12" s="5">
        <f>Calcs!F5</f>
        <v>0</v>
      </c>
      <c r="F12" s="5">
        <f>Calcs!F6</f>
        <v>0</v>
      </c>
      <c r="G12" s="5">
        <f>Calcs!F7</f>
        <v>0</v>
      </c>
      <c r="H12" s="5">
        <f>Calcs!F8</f>
        <v>0</v>
      </c>
      <c r="I12" s="5">
        <f>Calcs!F9</f>
        <v>0</v>
      </c>
      <c r="J12" s="5">
        <f>Calcs!F10</f>
        <v>0</v>
      </c>
      <c r="K12" s="5">
        <f>Calcs!F11</f>
        <v>0</v>
      </c>
      <c r="L12" s="5">
        <f>Calcs!F12</f>
        <v>0</v>
      </c>
      <c r="M12" s="5">
        <f>Calcs!F13</f>
        <v>0</v>
      </c>
      <c r="N12" s="5" t="e">
        <f>Calcs!F14+(Calcs!F15/Input!D16)*(1-Input!D17)</f>
        <v>#DIV/0!</v>
      </c>
    </row>
    <row r="13" spans="2:14" ht="12.75" customHeight="1" x14ac:dyDescent="0.25">
      <c r="B13" s="10" t="s">
        <v>41</v>
      </c>
      <c r="D13" s="7" t="e">
        <f>-C6</f>
        <v>#DIV/0!</v>
      </c>
      <c r="E13" s="5" t="e">
        <f>$C$6*Calcs!$C$19</f>
        <v>#DIV/0!</v>
      </c>
      <c r="F13" s="5" t="e">
        <f>$C$6*Calcs!$C$19</f>
        <v>#DIV/0!</v>
      </c>
      <c r="G13" s="5" t="e">
        <f>$C$6*Calcs!$C$19</f>
        <v>#DIV/0!</v>
      </c>
      <c r="H13" s="5" t="e">
        <f>$C$6*Calcs!$C$19</f>
        <v>#DIV/0!</v>
      </c>
      <c r="I13" s="5" t="e">
        <f>$C$6*Calcs!$C$19</f>
        <v>#DIV/0!</v>
      </c>
      <c r="J13" s="5" t="e">
        <f>$C$6*Calcs!$C$19</f>
        <v>#DIV/0!</v>
      </c>
      <c r="K13" s="5" t="e">
        <f>$C$6*Calcs!$C$19</f>
        <v>#DIV/0!</v>
      </c>
      <c r="L13" s="5" t="e">
        <f>$C$6*Calcs!$C$19</f>
        <v>#DIV/0!</v>
      </c>
      <c r="M13" s="5" t="e">
        <f>$C$6*Calcs!$C$19</f>
        <v>#DIV/0!</v>
      </c>
      <c r="N13" s="5" t="e">
        <f>$C$6*Calcs!$C$19+Calcs!C22</f>
        <v>#DIV/0!</v>
      </c>
    </row>
    <row r="14" spans="2:14" ht="12.75" customHeight="1" x14ac:dyDescent="0.25">
      <c r="B14" s="10" t="s">
        <v>42</v>
      </c>
      <c r="D14" s="7" t="e">
        <f>-C7</f>
        <v>#DIV/0!</v>
      </c>
      <c r="E14" s="5" t="e">
        <f>E12-E13</f>
        <v>#DIV/0!</v>
      </c>
      <c r="F14" s="5" t="e">
        <f t="shared" ref="F14:N14" si="2">F12-F13</f>
        <v>#DIV/0!</v>
      </c>
      <c r="G14" s="5" t="e">
        <f t="shared" si="2"/>
        <v>#DIV/0!</v>
      </c>
      <c r="H14" s="5" t="e">
        <f t="shared" si="2"/>
        <v>#DIV/0!</v>
      </c>
      <c r="I14" s="5" t="e">
        <f t="shared" si="2"/>
        <v>#DIV/0!</v>
      </c>
      <c r="J14" s="5" t="e">
        <f t="shared" si="2"/>
        <v>#DIV/0!</v>
      </c>
      <c r="K14" s="5" t="e">
        <f t="shared" si="2"/>
        <v>#DIV/0!</v>
      </c>
      <c r="L14" s="5" t="e">
        <f t="shared" si="2"/>
        <v>#DIV/0!</v>
      </c>
      <c r="M14" s="5" t="e">
        <f t="shared" si="2"/>
        <v>#DIV/0!</v>
      </c>
      <c r="N14" s="5" t="e">
        <f t="shared" si="2"/>
        <v>#DIV/0!</v>
      </c>
    </row>
    <row r="15" spans="2:14" ht="12.75" customHeight="1" x14ac:dyDescent="0.25">
      <c r="B15" s="58" t="s">
        <v>28</v>
      </c>
      <c r="C15" s="24"/>
      <c r="D15" s="59"/>
      <c r="E15" s="60" t="e">
        <f>E12/E13</f>
        <v>#DIV/0!</v>
      </c>
      <c r="F15" s="60" t="e">
        <f>F12/F13</f>
        <v>#DIV/0!</v>
      </c>
      <c r="G15" s="60" t="e">
        <f>G12/G13</f>
        <v>#DIV/0!</v>
      </c>
      <c r="H15" s="60" t="e">
        <f t="shared" ref="H15:M15" si="3">H12/H13</f>
        <v>#DIV/0!</v>
      </c>
      <c r="I15" s="60" t="e">
        <f t="shared" si="3"/>
        <v>#DIV/0!</v>
      </c>
      <c r="J15" s="60" t="e">
        <f t="shared" si="3"/>
        <v>#DIV/0!</v>
      </c>
      <c r="K15" s="60" t="e">
        <f t="shared" si="3"/>
        <v>#DIV/0!</v>
      </c>
      <c r="L15" s="60" t="e">
        <f t="shared" si="3"/>
        <v>#DIV/0!</v>
      </c>
      <c r="M15" s="60" t="e">
        <f t="shared" si="3"/>
        <v>#DIV/0!</v>
      </c>
      <c r="N15" s="60" t="e">
        <f>Calcs!F14/'10 Yr Output-LTV'!J34</f>
        <v>#DIV/0!</v>
      </c>
    </row>
    <row r="16" spans="2:14" ht="12.75" customHeight="1" x14ac:dyDescent="0.25">
      <c r="B16" s="61" t="s">
        <v>91</v>
      </c>
      <c r="D16" s="7"/>
      <c r="E16" s="41" t="e">
        <f t="shared" ref="E16:M16" si="4">E12/$C$6</f>
        <v>#DIV/0!</v>
      </c>
      <c r="F16" s="41" t="e">
        <f t="shared" si="4"/>
        <v>#DIV/0!</v>
      </c>
      <c r="G16" s="41" t="e">
        <f t="shared" si="4"/>
        <v>#DIV/0!</v>
      </c>
      <c r="H16" s="41" t="e">
        <f t="shared" si="4"/>
        <v>#DIV/0!</v>
      </c>
      <c r="I16" s="41" t="e">
        <f t="shared" si="4"/>
        <v>#DIV/0!</v>
      </c>
      <c r="J16" s="41" t="e">
        <f t="shared" si="4"/>
        <v>#DIV/0!</v>
      </c>
      <c r="K16" s="41" t="e">
        <f t="shared" si="4"/>
        <v>#DIV/0!</v>
      </c>
      <c r="L16" s="41" t="e">
        <f t="shared" si="4"/>
        <v>#DIV/0!</v>
      </c>
      <c r="M16" s="41" t="e">
        <f t="shared" si="4"/>
        <v>#DIV/0!</v>
      </c>
      <c r="N16" s="41" t="e">
        <f>(N12-F40)/$C$6</f>
        <v>#DIV/0!</v>
      </c>
    </row>
    <row r="17" spans="2:14" ht="12.75" customHeight="1" x14ac:dyDescent="0.25">
      <c r="B17" s="62" t="s">
        <v>115</v>
      </c>
      <c r="C17" s="6"/>
      <c r="D17" s="13"/>
      <c r="E17" s="42" t="e">
        <f t="shared" ref="E17:M17" si="5">E14/$C$7</f>
        <v>#DIV/0!</v>
      </c>
      <c r="F17" s="42" t="e">
        <f t="shared" si="5"/>
        <v>#DIV/0!</v>
      </c>
      <c r="G17" s="42" t="e">
        <f t="shared" si="5"/>
        <v>#DIV/0!</v>
      </c>
      <c r="H17" s="42" t="e">
        <f t="shared" si="5"/>
        <v>#DIV/0!</v>
      </c>
      <c r="I17" s="42" t="e">
        <f t="shared" si="5"/>
        <v>#DIV/0!</v>
      </c>
      <c r="J17" s="42" t="e">
        <f t="shared" si="5"/>
        <v>#DIV/0!</v>
      </c>
      <c r="K17" s="42" t="e">
        <f t="shared" si="5"/>
        <v>#DIV/0!</v>
      </c>
      <c r="L17" s="42" t="e">
        <f t="shared" si="5"/>
        <v>#DIV/0!</v>
      </c>
      <c r="M17" s="42" t="e">
        <f t="shared" si="5"/>
        <v>#DIV/0!</v>
      </c>
      <c r="N17" s="42" t="e">
        <f>(N14-N40)/$C$7</f>
        <v>#DIV/0!</v>
      </c>
    </row>
    <row r="18" spans="2:14" ht="12.75" customHeight="1" x14ac:dyDescent="0.25"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ht="12.75" customHeight="1" x14ac:dyDescent="0.25">
      <c r="B19" s="45" t="s">
        <v>51</v>
      </c>
      <c r="D19" s="116" t="s">
        <v>52</v>
      </c>
      <c r="E19" s="116"/>
      <c r="F19" s="116"/>
      <c r="H19" s="116" t="s">
        <v>53</v>
      </c>
      <c r="I19" s="116"/>
      <c r="J19" s="116"/>
      <c r="L19" s="116" t="s">
        <v>54</v>
      </c>
      <c r="M19" s="116"/>
      <c r="N19" s="116"/>
    </row>
    <row r="20" spans="2:14" ht="12.75" customHeight="1" x14ac:dyDescent="0.25">
      <c r="D20" s="4" t="s">
        <v>174</v>
      </c>
      <c r="E20" s="4" t="s">
        <v>47</v>
      </c>
      <c r="F20" s="4" t="s">
        <v>48</v>
      </c>
      <c r="H20" s="4" t="s">
        <v>41</v>
      </c>
      <c r="I20" s="4" t="s">
        <v>47</v>
      </c>
      <c r="J20" s="4" t="s">
        <v>48</v>
      </c>
      <c r="L20" s="4" t="s">
        <v>34</v>
      </c>
      <c r="M20" s="4" t="s">
        <v>47</v>
      </c>
      <c r="N20" s="4" t="s">
        <v>48</v>
      </c>
    </row>
    <row r="21" spans="2:14" ht="12.75" customHeight="1" x14ac:dyDescent="0.25">
      <c r="C21" s="74" t="s">
        <v>15</v>
      </c>
      <c r="D21" s="3" t="s">
        <v>175</v>
      </c>
      <c r="E21" s="27" t="e">
        <f>E5</f>
        <v>#VALUE!</v>
      </c>
      <c r="F21" s="3" t="s">
        <v>49</v>
      </c>
      <c r="G21" s="74" t="s">
        <v>15</v>
      </c>
      <c r="H21" s="3" t="s">
        <v>55</v>
      </c>
      <c r="I21" s="15" t="e">
        <f>IRR(D13:N13,0.1)</f>
        <v>#VALUE!</v>
      </c>
      <c r="J21" s="3" t="s">
        <v>49</v>
      </c>
      <c r="K21" s="74" t="s">
        <v>15</v>
      </c>
      <c r="L21" s="3" t="s">
        <v>57</v>
      </c>
      <c r="M21" s="27" t="e">
        <f>E7</f>
        <v>#VALUE!</v>
      </c>
      <c r="N21" s="3" t="s">
        <v>49</v>
      </c>
    </row>
    <row r="22" spans="2:14" ht="12.75" customHeight="1" x14ac:dyDescent="0.25">
      <c r="C22" s="76">
        <f>+$E11</f>
        <v>2020</v>
      </c>
      <c r="D22" s="5">
        <f>E12</f>
        <v>0</v>
      </c>
      <c r="E22" s="69" t="e">
        <f>1/(1+E$21)^1</f>
        <v>#VALUE!</v>
      </c>
      <c r="F22" s="7" t="e">
        <f>D22*E22</f>
        <v>#VALUE!</v>
      </c>
      <c r="G22" s="76">
        <f>+$E11</f>
        <v>2020</v>
      </c>
      <c r="H22" s="5" t="e">
        <f>E13</f>
        <v>#DIV/0!</v>
      </c>
      <c r="I22" s="69" t="e">
        <f>1/(1+I$21)^1</f>
        <v>#VALUE!</v>
      </c>
      <c r="J22" s="7" t="e">
        <f>H22*I22</f>
        <v>#DIV/0!</v>
      </c>
      <c r="K22" s="76">
        <f>+$E11</f>
        <v>2020</v>
      </c>
      <c r="L22" s="5" t="e">
        <f>E14</f>
        <v>#DIV/0!</v>
      </c>
      <c r="M22" s="69" t="e">
        <f>1/(1+M$21)^1</f>
        <v>#VALUE!</v>
      </c>
      <c r="N22" s="7" t="e">
        <f>L22*M22</f>
        <v>#DIV/0!</v>
      </c>
    </row>
    <row r="23" spans="2:14" ht="12.75" customHeight="1" x14ac:dyDescent="0.25">
      <c r="C23" s="75">
        <f>1+C22</f>
        <v>2021</v>
      </c>
      <c r="D23" s="5">
        <f>F12</f>
        <v>0</v>
      </c>
      <c r="E23" s="69" t="e">
        <f>1/(1+E$21)^2</f>
        <v>#VALUE!</v>
      </c>
      <c r="F23" s="7" t="e">
        <f t="shared" ref="F23:F31" si="6">D23*E23</f>
        <v>#VALUE!</v>
      </c>
      <c r="G23" s="75">
        <f>1+G22</f>
        <v>2021</v>
      </c>
      <c r="H23" s="5" t="e">
        <f>F13</f>
        <v>#DIV/0!</v>
      </c>
      <c r="I23" s="69" t="e">
        <f>1/(1+I$21)^2</f>
        <v>#VALUE!</v>
      </c>
      <c r="J23" s="7" t="e">
        <f t="shared" ref="J23:J31" si="7">H23*I23</f>
        <v>#DIV/0!</v>
      </c>
      <c r="K23" s="75">
        <f>1+K22</f>
        <v>2021</v>
      </c>
      <c r="L23" s="5" t="e">
        <f>F14</f>
        <v>#DIV/0!</v>
      </c>
      <c r="M23" s="69" t="e">
        <f>1/(1+M$21)^2</f>
        <v>#VALUE!</v>
      </c>
      <c r="N23" s="7" t="e">
        <f t="shared" ref="N23:N31" si="8">L23*M23</f>
        <v>#DIV/0!</v>
      </c>
    </row>
    <row r="24" spans="2:14" ht="12.75" customHeight="1" x14ac:dyDescent="0.25">
      <c r="C24" s="75">
        <f t="shared" ref="C24:C31" si="9">1+C23</f>
        <v>2022</v>
      </c>
      <c r="D24" s="5">
        <f>G12</f>
        <v>0</v>
      </c>
      <c r="E24" s="69" t="e">
        <f>1/(1+E$21)^3</f>
        <v>#VALUE!</v>
      </c>
      <c r="F24" s="7" t="e">
        <f t="shared" si="6"/>
        <v>#VALUE!</v>
      </c>
      <c r="G24" s="75">
        <f t="shared" ref="G24:G31" si="10">1+G23</f>
        <v>2022</v>
      </c>
      <c r="H24" s="5" t="e">
        <f>G13</f>
        <v>#DIV/0!</v>
      </c>
      <c r="I24" s="69" t="e">
        <f>1/(1+I$21)^3</f>
        <v>#VALUE!</v>
      </c>
      <c r="J24" s="7" t="e">
        <f t="shared" si="7"/>
        <v>#DIV/0!</v>
      </c>
      <c r="K24" s="75">
        <f t="shared" ref="K24:K31" si="11">1+K23</f>
        <v>2022</v>
      </c>
      <c r="L24" s="5" t="e">
        <f>G14</f>
        <v>#DIV/0!</v>
      </c>
      <c r="M24" s="69" t="e">
        <f>1/(1+M$21)^3</f>
        <v>#VALUE!</v>
      </c>
      <c r="N24" s="7" t="e">
        <f t="shared" si="8"/>
        <v>#DIV/0!</v>
      </c>
    </row>
    <row r="25" spans="2:14" ht="12.75" customHeight="1" x14ac:dyDescent="0.25">
      <c r="C25" s="75">
        <f t="shared" si="9"/>
        <v>2023</v>
      </c>
      <c r="D25" s="5">
        <f>H12</f>
        <v>0</v>
      </c>
      <c r="E25" s="69" t="e">
        <f>1/(1+E$21)^4</f>
        <v>#VALUE!</v>
      </c>
      <c r="F25" s="7" t="e">
        <f t="shared" si="6"/>
        <v>#VALUE!</v>
      </c>
      <c r="G25" s="75">
        <f t="shared" si="10"/>
        <v>2023</v>
      </c>
      <c r="H25" s="5" t="e">
        <f>H13</f>
        <v>#DIV/0!</v>
      </c>
      <c r="I25" s="69" t="e">
        <f>1/(1+I$21)^4</f>
        <v>#VALUE!</v>
      </c>
      <c r="J25" s="7" t="e">
        <f t="shared" si="7"/>
        <v>#DIV/0!</v>
      </c>
      <c r="K25" s="75">
        <f t="shared" si="11"/>
        <v>2023</v>
      </c>
      <c r="L25" s="5" t="e">
        <f>H14</f>
        <v>#DIV/0!</v>
      </c>
      <c r="M25" s="69" t="e">
        <f>1/(1+M$21)^4</f>
        <v>#VALUE!</v>
      </c>
      <c r="N25" s="7" t="e">
        <f t="shared" si="8"/>
        <v>#DIV/0!</v>
      </c>
    </row>
    <row r="26" spans="2:14" ht="12.75" customHeight="1" x14ac:dyDescent="0.25">
      <c r="C26" s="75">
        <f t="shared" si="9"/>
        <v>2024</v>
      </c>
      <c r="D26" s="5">
        <f>I12</f>
        <v>0</v>
      </c>
      <c r="E26" s="69" t="e">
        <f>1/(1+E$21)^5</f>
        <v>#VALUE!</v>
      </c>
      <c r="F26" s="7" t="e">
        <f t="shared" si="6"/>
        <v>#VALUE!</v>
      </c>
      <c r="G26" s="75">
        <f t="shared" si="10"/>
        <v>2024</v>
      </c>
      <c r="H26" s="5" t="e">
        <f>I13</f>
        <v>#DIV/0!</v>
      </c>
      <c r="I26" s="69" t="e">
        <f>1/(1+I$21)^5</f>
        <v>#VALUE!</v>
      </c>
      <c r="J26" s="7" t="e">
        <f t="shared" si="7"/>
        <v>#DIV/0!</v>
      </c>
      <c r="K26" s="75">
        <f t="shared" si="11"/>
        <v>2024</v>
      </c>
      <c r="L26" s="5" t="e">
        <f>I14</f>
        <v>#DIV/0!</v>
      </c>
      <c r="M26" s="69" t="e">
        <f>1/(1+M$21)^5</f>
        <v>#VALUE!</v>
      </c>
      <c r="N26" s="7" t="e">
        <f t="shared" si="8"/>
        <v>#DIV/0!</v>
      </c>
    </row>
    <row r="27" spans="2:14" ht="12.75" customHeight="1" x14ac:dyDescent="0.25">
      <c r="C27" s="75">
        <f t="shared" si="9"/>
        <v>2025</v>
      </c>
      <c r="D27" s="5">
        <f>J12</f>
        <v>0</v>
      </c>
      <c r="E27" s="69" t="e">
        <f>1/(1+E$21)^6</f>
        <v>#VALUE!</v>
      </c>
      <c r="F27" s="7" t="e">
        <f t="shared" si="6"/>
        <v>#VALUE!</v>
      </c>
      <c r="G27" s="75">
        <f t="shared" si="10"/>
        <v>2025</v>
      </c>
      <c r="H27" s="5" t="e">
        <f>J13</f>
        <v>#DIV/0!</v>
      </c>
      <c r="I27" s="69" t="e">
        <f>1/(1+I$21)^6</f>
        <v>#VALUE!</v>
      </c>
      <c r="J27" s="7" t="e">
        <f t="shared" si="7"/>
        <v>#DIV/0!</v>
      </c>
      <c r="K27" s="75">
        <f t="shared" si="11"/>
        <v>2025</v>
      </c>
      <c r="L27" s="5" t="e">
        <f>J14</f>
        <v>#DIV/0!</v>
      </c>
      <c r="M27" s="69" t="e">
        <f>1/(1+M$21)^6</f>
        <v>#VALUE!</v>
      </c>
      <c r="N27" s="7" t="e">
        <f t="shared" si="8"/>
        <v>#DIV/0!</v>
      </c>
    </row>
    <row r="28" spans="2:14" ht="12.75" customHeight="1" x14ac:dyDescent="0.25">
      <c r="C28" s="75">
        <f t="shared" si="9"/>
        <v>2026</v>
      </c>
      <c r="D28" s="5">
        <f>K12</f>
        <v>0</v>
      </c>
      <c r="E28" s="69" t="e">
        <f>1/(1+E$21)^7</f>
        <v>#VALUE!</v>
      </c>
      <c r="F28" s="7" t="e">
        <f t="shared" si="6"/>
        <v>#VALUE!</v>
      </c>
      <c r="G28" s="75">
        <f t="shared" si="10"/>
        <v>2026</v>
      </c>
      <c r="H28" s="5" t="e">
        <f>K13</f>
        <v>#DIV/0!</v>
      </c>
      <c r="I28" s="69" t="e">
        <f>1/(1+I$21)^7</f>
        <v>#VALUE!</v>
      </c>
      <c r="J28" s="7" t="e">
        <f t="shared" si="7"/>
        <v>#DIV/0!</v>
      </c>
      <c r="K28" s="75">
        <f t="shared" si="11"/>
        <v>2026</v>
      </c>
      <c r="L28" s="5" t="e">
        <f>K14</f>
        <v>#DIV/0!</v>
      </c>
      <c r="M28" s="69" t="e">
        <f>1/(1+M$21)^7</f>
        <v>#VALUE!</v>
      </c>
      <c r="N28" s="7" t="e">
        <f t="shared" si="8"/>
        <v>#DIV/0!</v>
      </c>
    </row>
    <row r="29" spans="2:14" ht="12.75" customHeight="1" x14ac:dyDescent="0.25">
      <c r="C29" s="75">
        <f t="shared" si="9"/>
        <v>2027</v>
      </c>
      <c r="D29" s="5">
        <f>L12</f>
        <v>0</v>
      </c>
      <c r="E29" s="69" t="e">
        <f>1/(1+E$21)^8</f>
        <v>#VALUE!</v>
      </c>
      <c r="F29" s="7" t="e">
        <f t="shared" si="6"/>
        <v>#VALUE!</v>
      </c>
      <c r="G29" s="75">
        <f t="shared" si="10"/>
        <v>2027</v>
      </c>
      <c r="H29" s="5" t="e">
        <f>L13</f>
        <v>#DIV/0!</v>
      </c>
      <c r="I29" s="69" t="e">
        <f>1/(1+I$21)^8</f>
        <v>#VALUE!</v>
      </c>
      <c r="J29" s="7" t="e">
        <f t="shared" si="7"/>
        <v>#DIV/0!</v>
      </c>
      <c r="K29" s="75">
        <f t="shared" si="11"/>
        <v>2027</v>
      </c>
      <c r="L29" s="5" t="e">
        <f>L14</f>
        <v>#DIV/0!</v>
      </c>
      <c r="M29" s="69" t="e">
        <f>1/(1+M$21)^8</f>
        <v>#VALUE!</v>
      </c>
      <c r="N29" s="7" t="e">
        <f t="shared" si="8"/>
        <v>#DIV/0!</v>
      </c>
    </row>
    <row r="30" spans="2:14" ht="12.75" customHeight="1" x14ac:dyDescent="0.25">
      <c r="C30" s="75">
        <f t="shared" si="9"/>
        <v>2028</v>
      </c>
      <c r="D30" s="5">
        <f>M12</f>
        <v>0</v>
      </c>
      <c r="E30" s="69" t="e">
        <f>1/(1+E$21)^9</f>
        <v>#VALUE!</v>
      </c>
      <c r="F30" s="7" t="e">
        <f t="shared" si="6"/>
        <v>#VALUE!</v>
      </c>
      <c r="G30" s="75">
        <f t="shared" si="10"/>
        <v>2028</v>
      </c>
      <c r="H30" s="5" t="e">
        <f>M13</f>
        <v>#DIV/0!</v>
      </c>
      <c r="I30" s="69" t="e">
        <f>1/(1+I$21)^9</f>
        <v>#VALUE!</v>
      </c>
      <c r="J30" s="7" t="e">
        <f t="shared" si="7"/>
        <v>#DIV/0!</v>
      </c>
      <c r="K30" s="75">
        <f t="shared" si="11"/>
        <v>2028</v>
      </c>
      <c r="L30" s="5" t="e">
        <f>M14</f>
        <v>#DIV/0!</v>
      </c>
      <c r="M30" s="69" t="e">
        <f>1/(1+M$21)^9</f>
        <v>#VALUE!</v>
      </c>
      <c r="N30" s="7" t="e">
        <f t="shared" si="8"/>
        <v>#DIV/0!</v>
      </c>
    </row>
    <row r="31" spans="2:14" ht="12.75" customHeight="1" x14ac:dyDescent="0.25">
      <c r="C31" s="75">
        <f t="shared" si="9"/>
        <v>2029</v>
      </c>
      <c r="D31" s="16" t="e">
        <f>N12</f>
        <v>#DIV/0!</v>
      </c>
      <c r="E31" s="70" t="e">
        <f>1/(1+E$21)^10</f>
        <v>#VALUE!</v>
      </c>
      <c r="F31" s="13" t="e">
        <f t="shared" si="6"/>
        <v>#DIV/0!</v>
      </c>
      <c r="G31" s="75">
        <f t="shared" si="10"/>
        <v>2029</v>
      </c>
      <c r="H31" s="16" t="e">
        <f>N13</f>
        <v>#DIV/0!</v>
      </c>
      <c r="I31" s="70" t="e">
        <f>1/(1+I$21)^10</f>
        <v>#VALUE!</v>
      </c>
      <c r="J31" s="13" t="e">
        <f t="shared" si="7"/>
        <v>#DIV/0!</v>
      </c>
      <c r="K31" s="75">
        <f t="shared" si="11"/>
        <v>2029</v>
      </c>
      <c r="L31" s="16" t="e">
        <f>N14</f>
        <v>#DIV/0!</v>
      </c>
      <c r="M31" s="70" t="e">
        <f>1/(1+M$21)^10</f>
        <v>#VALUE!</v>
      </c>
      <c r="N31" s="13" t="e">
        <f t="shared" si="8"/>
        <v>#DIV/0!</v>
      </c>
    </row>
    <row r="32" spans="2:14" ht="12.75" customHeight="1" x14ac:dyDescent="0.25">
      <c r="D32" s="1" t="s">
        <v>50</v>
      </c>
      <c r="F32" s="7" t="e">
        <f>SUM(F22:F31)</f>
        <v>#VALUE!</v>
      </c>
      <c r="H32" s="1" t="s">
        <v>56</v>
      </c>
      <c r="J32" s="7" t="e">
        <f>SUM(J22:J31)</f>
        <v>#DIV/0!</v>
      </c>
      <c r="L32" s="1" t="s">
        <v>58</v>
      </c>
      <c r="N32" s="7" t="e">
        <f>SUM(N22:N31)</f>
        <v>#DIV/0!</v>
      </c>
    </row>
    <row r="33" spans="2:14" ht="12.75" customHeight="1" x14ac:dyDescent="0.25"/>
    <row r="34" spans="2:14" ht="12.75" customHeight="1" x14ac:dyDescent="0.25">
      <c r="B34" s="33" t="s">
        <v>78</v>
      </c>
      <c r="D34" s="1" t="s">
        <v>104</v>
      </c>
      <c r="F34" s="5">
        <f>Calcs!F14</f>
        <v>0</v>
      </c>
      <c r="H34" s="1" t="s">
        <v>63</v>
      </c>
      <c r="J34" s="5" t="e">
        <f>E13</f>
        <v>#DIV/0!</v>
      </c>
      <c r="L34" s="1" t="s">
        <v>62</v>
      </c>
      <c r="N34" s="5" t="e">
        <f>F34-J34</f>
        <v>#DIV/0!</v>
      </c>
    </row>
    <row r="35" spans="2:14" ht="12.75" customHeight="1" x14ac:dyDescent="0.25">
      <c r="D35" s="6" t="s">
        <v>60</v>
      </c>
      <c r="E35" s="6"/>
      <c r="F35" s="16" t="e">
        <f>Calcs!C21</f>
        <v>#DIV/0!</v>
      </c>
      <c r="H35" s="6" t="s">
        <v>61</v>
      </c>
      <c r="I35" s="6"/>
      <c r="J35" s="16" t="e">
        <f>Calcs!C22</f>
        <v>#DIV/0!</v>
      </c>
      <c r="L35" s="6" t="s">
        <v>59</v>
      </c>
      <c r="M35" s="6"/>
      <c r="N35" s="16" t="e">
        <f>Calcs!C21-Calcs!C22</f>
        <v>#DIV/0!</v>
      </c>
    </row>
    <row r="36" spans="2:14" ht="12.75" customHeight="1" x14ac:dyDescent="0.25">
      <c r="F36" s="5" t="e">
        <f>SUM(F34:F35)</f>
        <v>#DIV/0!</v>
      </c>
      <c r="J36" s="5" t="e">
        <f>SUM(J34:J35)</f>
        <v>#DIV/0!</v>
      </c>
      <c r="N36" s="5" t="e">
        <f>SUM(N34:N35)</f>
        <v>#DIV/0!</v>
      </c>
    </row>
    <row r="37" spans="2:14" ht="12.75" customHeight="1" x14ac:dyDescent="0.25">
      <c r="B37" s="33" t="s">
        <v>76</v>
      </c>
      <c r="D37" s="31" t="str">
        <f>CONCATENATE("Year 11 Cash Flow of $", ROUND(Calcs!F15,0))</f>
        <v>Year 11 Cash Flow of $0</v>
      </c>
      <c r="F37" s="5"/>
      <c r="J37" s="5"/>
    </row>
    <row r="38" spans="2:14" ht="12.75" customHeight="1" x14ac:dyDescent="0.25">
      <c r="D38" s="1" t="str">
        <f>CONCATENATE("capitalized at ", Input!D16*100, "% equals")</f>
        <v>capitalized at 0% equals</v>
      </c>
      <c r="F38" s="7" t="e">
        <f>Calcs!F15/Input!D16</f>
        <v>#DIV/0!</v>
      </c>
      <c r="H38" s="1" t="s">
        <v>73</v>
      </c>
      <c r="J38" s="5"/>
      <c r="L38" s="31" t="s">
        <v>124</v>
      </c>
      <c r="N38" s="5" t="e">
        <f>F40</f>
        <v>#DIV/0!</v>
      </c>
    </row>
    <row r="39" spans="2:14" ht="12.75" customHeight="1" x14ac:dyDescent="0.25">
      <c r="D39" s="31" t="s">
        <v>79</v>
      </c>
      <c r="F39" s="16" t="e">
        <f>F38*Input!D17</f>
        <v>#DIV/0!</v>
      </c>
      <c r="H39" s="31" t="s">
        <v>127</v>
      </c>
      <c r="J39" s="5"/>
      <c r="L39" s="32" t="s">
        <v>74</v>
      </c>
      <c r="N39" s="16" t="e">
        <f>J35</f>
        <v>#DIV/0!</v>
      </c>
    </row>
    <row r="40" spans="2:14" ht="12.75" customHeight="1" x14ac:dyDescent="0.25">
      <c r="D40" s="31" t="s">
        <v>80</v>
      </c>
      <c r="F40" s="5" t="e">
        <f>F38-F39</f>
        <v>#DIV/0!</v>
      </c>
      <c r="H40" s="1" t="s">
        <v>77</v>
      </c>
      <c r="J40" s="5"/>
      <c r="L40" s="1" t="s">
        <v>75</v>
      </c>
      <c r="N40" s="5" t="e">
        <f>N38-N39</f>
        <v>#DIV/0!</v>
      </c>
    </row>
    <row r="41" spans="2:14" ht="12.75" customHeigh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2:14" ht="12.75" customHeigh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2:14" ht="12.5" x14ac:dyDescent="0.25"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2:14" ht="12.5" x14ac:dyDescent="0.25"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2:14" ht="12.5" x14ac:dyDescent="0.25"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2:14" ht="12.5" x14ac:dyDescent="0.25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2:14" ht="12.5" x14ac:dyDescent="0.25"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2:14" ht="12.5" x14ac:dyDescent="0.25"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2:14" ht="12.5" x14ac:dyDescent="0.25"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2:14" ht="12.5" x14ac:dyDescent="0.25"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2:14" ht="12.5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ht="12.5" x14ac:dyDescent="0.25"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2:14" ht="12.5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ht="12.5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2:14" ht="12.5" x14ac:dyDescent="0.25"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2:14" ht="12.5" x14ac:dyDescent="0.25"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2:14" ht="12.5" x14ac:dyDescent="0.25"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2:14" ht="12.5" x14ac:dyDescent="0.25"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2:14" ht="12.5" x14ac:dyDescent="0.25"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2:14" ht="12.5" x14ac:dyDescent="0.25"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2:14" ht="12.5" x14ac:dyDescent="0.25"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2:14" ht="12.5" x14ac:dyDescent="0.25"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2:14" ht="12.5" x14ac:dyDescent="0.25"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2:14" ht="12.5" x14ac:dyDescent="0.25"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2:14" ht="12.5" x14ac:dyDescent="0.25"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2:14" ht="12.5" x14ac:dyDescent="0.25"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2:14" ht="12.5" x14ac:dyDescent="0.25"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2:14" ht="12.5" x14ac:dyDescent="0.25"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2:14" ht="12.5" x14ac:dyDescent="0.25"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2:14" ht="12.5" x14ac:dyDescent="0.25"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2:14" ht="12.5" x14ac:dyDescent="0.25"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2:14" ht="12.5" x14ac:dyDescent="0.25"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2:14" ht="12.5" x14ac:dyDescent="0.25"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2:14" ht="12.5" x14ac:dyDescent="0.25"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2:14" ht="12.5" x14ac:dyDescent="0.25">
      <c r="B75"/>
      <c r="C75"/>
      <c r="D75"/>
      <c r="E75"/>
      <c r="F75"/>
      <c r="G75"/>
      <c r="H75"/>
      <c r="I75"/>
      <c r="J75"/>
      <c r="K75"/>
      <c r="L75"/>
      <c r="M75"/>
      <c r="N75"/>
    </row>
  </sheetData>
  <mergeCells count="4">
    <mergeCell ref="H3:K3"/>
    <mergeCell ref="D19:F19"/>
    <mergeCell ref="H19:J19"/>
    <mergeCell ref="L19:N19"/>
  </mergeCells>
  <phoneticPr fontId="0" type="noConversion"/>
  <pageMargins left="0.25" right="0.25" top="1" bottom="1" header="0.5" footer="0.5"/>
  <pageSetup scale="89" fitToHeight="2" orientation="landscape" horizontalDpi="4294967292" r:id="rId1"/>
  <headerFooter alignWithMargins="0"/>
  <rowBreaks count="1" manualBreakCount="1">
    <brk id="41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N41"/>
  <sheetViews>
    <sheetView workbookViewId="0"/>
  </sheetViews>
  <sheetFormatPr defaultRowHeight="12.5" x14ac:dyDescent="0.25"/>
  <cols>
    <col min="1" max="1" width="3.7265625" customWidth="1"/>
    <col min="2" max="2" width="27.7265625" customWidth="1"/>
    <col min="3" max="3" width="10.54296875" customWidth="1"/>
    <col min="4" max="14" width="10.7265625" customWidth="1"/>
  </cols>
  <sheetData>
    <row r="1" spans="2:14" ht="15.5" x14ac:dyDescent="0.35">
      <c r="B1" s="8" t="s">
        <v>163</v>
      </c>
    </row>
    <row r="3" spans="2:14" x14ac:dyDescent="0.25">
      <c r="B3" s="45" t="s">
        <v>133</v>
      </c>
      <c r="C3" s="46" t="s">
        <v>106</v>
      </c>
      <c r="D3" s="46" t="s">
        <v>138</v>
      </c>
      <c r="E3" s="45"/>
      <c r="F3" s="46" t="s">
        <v>108</v>
      </c>
      <c r="G3" s="1"/>
      <c r="H3" s="115" t="s">
        <v>103</v>
      </c>
      <c r="I3" s="115"/>
      <c r="J3" s="115"/>
      <c r="K3" s="115"/>
      <c r="M3" s="1"/>
      <c r="N3" s="1"/>
    </row>
    <row r="4" spans="2:14" x14ac:dyDescent="0.25">
      <c r="B4" s="49">
        <f>Input!C4</f>
        <v>0</v>
      </c>
      <c r="C4" s="47" t="s">
        <v>44</v>
      </c>
      <c r="D4" s="48" t="s">
        <v>106</v>
      </c>
      <c r="E4" s="48" t="s">
        <v>45</v>
      </c>
      <c r="F4" s="48" t="s">
        <v>107</v>
      </c>
      <c r="G4" s="1"/>
      <c r="H4" s="10" t="s">
        <v>98</v>
      </c>
      <c r="I4" s="10"/>
      <c r="J4" s="10"/>
      <c r="K4" s="41" t="e">
        <f>(F38/C5)-1</f>
        <v>#DIV/0!</v>
      </c>
      <c r="M4" s="1"/>
      <c r="N4" s="1"/>
    </row>
    <row r="5" spans="2:14" x14ac:dyDescent="0.25">
      <c r="B5" s="10" t="s">
        <v>6</v>
      </c>
      <c r="C5" s="7" t="e">
        <f>Calcs!C46</f>
        <v>#N/A</v>
      </c>
      <c r="D5" s="93" t="e">
        <f>+C5/$C$5</f>
        <v>#N/A</v>
      </c>
      <c r="E5" s="11" t="e">
        <f>IRR(D12:N12,0.1)</f>
        <v>#VALUE!</v>
      </c>
      <c r="F5" s="5" t="e">
        <f>C5/Input!D11*1000</f>
        <v>#N/A</v>
      </c>
      <c r="G5" s="1"/>
      <c r="H5" s="10" t="s">
        <v>99</v>
      </c>
      <c r="I5" s="10"/>
      <c r="J5" s="10"/>
      <c r="K5" s="11" t="e">
        <f>RATE(10,,C5,-F38)</f>
        <v>#N/A</v>
      </c>
      <c r="M5" s="1"/>
      <c r="N5" s="1"/>
    </row>
    <row r="6" spans="2:14" x14ac:dyDescent="0.25">
      <c r="B6" s="10" t="s">
        <v>40</v>
      </c>
      <c r="C6" s="7" t="e">
        <f>Calcs!C47</f>
        <v>#N/A</v>
      </c>
      <c r="D6" s="93" t="e">
        <f t="shared" ref="D6:D7" si="0">+C6/$C$5</f>
        <v>#N/A</v>
      </c>
      <c r="E6" s="11" t="e">
        <f>Input!D15*RATE(10*Input!D15,E13/Input!D15,D13,Calcs!C42)</f>
        <v>#N/A</v>
      </c>
      <c r="F6" s="5" t="e">
        <f>C6/Input!D11*1000</f>
        <v>#N/A</v>
      </c>
      <c r="G6" s="1"/>
      <c r="H6" s="10" t="s">
        <v>100</v>
      </c>
      <c r="I6" s="10"/>
      <c r="J6" s="10"/>
      <c r="K6" s="11" t="e">
        <f>1-K7</f>
        <v>#DIV/0!</v>
      </c>
      <c r="M6" s="1"/>
      <c r="N6" s="1"/>
    </row>
    <row r="7" spans="2:14" x14ac:dyDescent="0.25">
      <c r="B7" s="12" t="s">
        <v>46</v>
      </c>
      <c r="C7" s="13" t="e">
        <f>C5-C6</f>
        <v>#N/A</v>
      </c>
      <c r="D7" s="94" t="e">
        <f t="shared" si="0"/>
        <v>#N/A</v>
      </c>
      <c r="E7" s="14" t="e">
        <f>IRR(D14:N14,0.1)</f>
        <v>#VALUE!</v>
      </c>
      <c r="F7" s="16" t="e">
        <f>C7/Input!D11*1000</f>
        <v>#N/A</v>
      </c>
      <c r="G7" s="1"/>
      <c r="H7" s="10" t="s">
        <v>101</v>
      </c>
      <c r="I7" s="10"/>
      <c r="J7" s="10"/>
      <c r="K7" s="11" t="e">
        <f>((F40/(1+E5)^10)/C5)</f>
        <v>#DIV/0!</v>
      </c>
      <c r="M7" s="1"/>
      <c r="N7" s="1"/>
    </row>
    <row r="8" spans="2:14" x14ac:dyDescent="0.25">
      <c r="B8" s="7"/>
      <c r="C8" s="1"/>
      <c r="D8" s="7"/>
      <c r="E8" s="1"/>
      <c r="F8" s="11"/>
      <c r="G8" s="1"/>
      <c r="H8" s="10" t="s">
        <v>102</v>
      </c>
      <c r="I8" s="10"/>
      <c r="J8" s="10"/>
      <c r="K8" s="41" t="e">
        <f>Input!D20*(1/(1+Input!D18)^(Input!D19-1))/C5</f>
        <v>#N/A</v>
      </c>
      <c r="M8" s="1"/>
      <c r="N8" s="1"/>
    </row>
    <row r="9" spans="2:14" x14ac:dyDescent="0.25">
      <c r="B9" s="7"/>
      <c r="C9" s="1"/>
      <c r="D9" s="7"/>
      <c r="E9" s="1"/>
      <c r="F9" s="11"/>
      <c r="G9" s="1"/>
      <c r="H9" s="12" t="s">
        <v>131</v>
      </c>
      <c r="I9" s="12"/>
      <c r="J9" s="12"/>
      <c r="K9" s="42" t="e">
        <f>+E5</f>
        <v>#VALUE!</v>
      </c>
      <c r="M9" s="1"/>
      <c r="N9" s="1"/>
    </row>
    <row r="10" spans="2:14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64" t="s">
        <v>64</v>
      </c>
      <c r="C11" s="3" t="s">
        <v>15</v>
      </c>
      <c r="D11" s="2">
        <f>Input!D10-1</f>
        <v>2019</v>
      </c>
      <c r="E11" s="2">
        <f>D11+1</f>
        <v>2020</v>
      </c>
      <c r="F11" s="2">
        <f t="shared" ref="F11:N11" si="1">E11+1</f>
        <v>2021</v>
      </c>
      <c r="G11" s="2">
        <f t="shared" si="1"/>
        <v>2022</v>
      </c>
      <c r="H11" s="2">
        <f t="shared" si="1"/>
        <v>2023</v>
      </c>
      <c r="I11" s="2">
        <f t="shared" si="1"/>
        <v>2024</v>
      </c>
      <c r="J11" s="2">
        <f t="shared" si="1"/>
        <v>2025</v>
      </c>
      <c r="K11" s="2">
        <f t="shared" si="1"/>
        <v>2026</v>
      </c>
      <c r="L11" s="2">
        <f t="shared" si="1"/>
        <v>2027</v>
      </c>
      <c r="M11" s="2">
        <f t="shared" si="1"/>
        <v>2028</v>
      </c>
      <c r="N11" s="2">
        <f t="shared" si="1"/>
        <v>2029</v>
      </c>
    </row>
    <row r="12" spans="2:14" x14ac:dyDescent="0.25">
      <c r="B12" s="10" t="s">
        <v>43</v>
      </c>
      <c r="C12" s="1"/>
      <c r="D12" s="7" t="e">
        <f>-C5</f>
        <v>#N/A</v>
      </c>
      <c r="E12" s="5">
        <f>Calcs!F5</f>
        <v>0</v>
      </c>
      <c r="F12" s="5">
        <f>Calcs!F6</f>
        <v>0</v>
      </c>
      <c r="G12" s="5">
        <f>Calcs!F7</f>
        <v>0</v>
      </c>
      <c r="H12" s="5">
        <f>Calcs!F8</f>
        <v>0</v>
      </c>
      <c r="I12" s="5">
        <f>Calcs!F9</f>
        <v>0</v>
      </c>
      <c r="J12" s="5">
        <f>Calcs!F10</f>
        <v>0</v>
      </c>
      <c r="K12" s="5">
        <f>Calcs!F11</f>
        <v>0</v>
      </c>
      <c r="L12" s="5">
        <f>Calcs!F12</f>
        <v>0</v>
      </c>
      <c r="M12" s="5">
        <f>Calcs!F13</f>
        <v>0</v>
      </c>
      <c r="N12" s="5" t="e">
        <f>Calcs!F14+(Calcs!F15/Input!D16)*(1-Input!D17)</f>
        <v>#DIV/0!</v>
      </c>
    </row>
    <row r="13" spans="2:14" x14ac:dyDescent="0.25">
      <c r="B13" s="10" t="s">
        <v>41</v>
      </c>
      <c r="C13" s="1"/>
      <c r="D13" s="7" t="e">
        <f>-C6</f>
        <v>#N/A</v>
      </c>
      <c r="E13" s="7" t="e">
        <f>Calcs!$C$44/Input!$D$28</f>
        <v>#N/A</v>
      </c>
      <c r="F13" s="7" t="e">
        <f>Calcs!$C$44/Input!$D$28</f>
        <v>#N/A</v>
      </c>
      <c r="G13" s="7" t="e">
        <f>Calcs!$C$44/Input!$D$28</f>
        <v>#N/A</v>
      </c>
      <c r="H13" s="7" t="e">
        <f>Calcs!$C$44/Input!$D$28</f>
        <v>#N/A</v>
      </c>
      <c r="I13" s="7" t="e">
        <f>Calcs!$C$44/Input!$D$28</f>
        <v>#N/A</v>
      </c>
      <c r="J13" s="7" t="e">
        <f>Calcs!$C$44/Input!$D$28</f>
        <v>#N/A</v>
      </c>
      <c r="K13" s="7" t="e">
        <f>Calcs!$C$44/Input!$D$28</f>
        <v>#N/A</v>
      </c>
      <c r="L13" s="7" t="e">
        <f>Calcs!$C$44/Input!$D$28</f>
        <v>#N/A</v>
      </c>
      <c r="M13" s="7" t="e">
        <f>Calcs!$C$44/Input!$D$28</f>
        <v>#N/A</v>
      </c>
      <c r="N13" s="7" t="e">
        <f>Calcs!$C$44/Input!D28+Calcs!C42</f>
        <v>#N/A</v>
      </c>
    </row>
    <row r="14" spans="2:14" x14ac:dyDescent="0.25">
      <c r="B14" s="12" t="s">
        <v>42</v>
      </c>
      <c r="C14" s="1"/>
      <c r="D14" s="7" t="e">
        <f>-C7</f>
        <v>#N/A</v>
      </c>
      <c r="E14" s="5" t="e">
        <f>E12-E13</f>
        <v>#N/A</v>
      </c>
      <c r="F14" s="5" t="e">
        <f t="shared" ref="F14:N14" si="2">F12-F13</f>
        <v>#N/A</v>
      </c>
      <c r="G14" s="5" t="e">
        <f t="shared" si="2"/>
        <v>#N/A</v>
      </c>
      <c r="H14" s="5" t="e">
        <f t="shared" si="2"/>
        <v>#N/A</v>
      </c>
      <c r="I14" s="5" t="e">
        <f t="shared" si="2"/>
        <v>#N/A</v>
      </c>
      <c r="J14" s="5" t="e">
        <f t="shared" si="2"/>
        <v>#N/A</v>
      </c>
      <c r="K14" s="5" t="e">
        <f t="shared" si="2"/>
        <v>#N/A</v>
      </c>
      <c r="L14" s="5" t="e">
        <f t="shared" si="2"/>
        <v>#N/A</v>
      </c>
      <c r="M14" s="5" t="e">
        <f t="shared" si="2"/>
        <v>#N/A</v>
      </c>
      <c r="N14" s="5" t="e">
        <f t="shared" si="2"/>
        <v>#DIV/0!</v>
      </c>
    </row>
    <row r="15" spans="2:14" x14ac:dyDescent="0.25">
      <c r="B15" s="58" t="s">
        <v>28</v>
      </c>
      <c r="C15" s="24"/>
      <c r="D15" s="59"/>
      <c r="E15" s="60" t="e">
        <f>E12/E13</f>
        <v>#N/A</v>
      </c>
      <c r="F15" s="60" t="e">
        <f>F12/F13</f>
        <v>#N/A</v>
      </c>
      <c r="G15" s="60" t="e">
        <f>G12/G13</f>
        <v>#N/A</v>
      </c>
      <c r="H15" s="60" t="e">
        <f t="shared" ref="H15:M15" si="3">H12/H13</f>
        <v>#N/A</v>
      </c>
      <c r="I15" s="60" t="e">
        <f t="shared" si="3"/>
        <v>#N/A</v>
      </c>
      <c r="J15" s="60" t="e">
        <f t="shared" si="3"/>
        <v>#N/A</v>
      </c>
      <c r="K15" s="60" t="e">
        <f t="shared" si="3"/>
        <v>#N/A</v>
      </c>
      <c r="L15" s="60" t="e">
        <f t="shared" si="3"/>
        <v>#N/A</v>
      </c>
      <c r="M15" s="60" t="e">
        <f t="shared" si="3"/>
        <v>#N/A</v>
      </c>
      <c r="N15" s="60" t="e">
        <f>Calcs!F28/H22</f>
        <v>#N/A</v>
      </c>
    </row>
    <row r="16" spans="2:14" x14ac:dyDescent="0.25">
      <c r="B16" s="61" t="s">
        <v>91</v>
      </c>
      <c r="C16" s="1"/>
      <c r="D16" s="7"/>
      <c r="E16" s="41" t="e">
        <f t="shared" ref="E16:M16" si="4">E12/$C$6</f>
        <v>#N/A</v>
      </c>
      <c r="F16" s="41" t="e">
        <f t="shared" si="4"/>
        <v>#N/A</v>
      </c>
      <c r="G16" s="41" t="e">
        <f t="shared" si="4"/>
        <v>#N/A</v>
      </c>
      <c r="H16" s="41" t="e">
        <f t="shared" si="4"/>
        <v>#N/A</v>
      </c>
      <c r="I16" s="41" t="e">
        <f t="shared" si="4"/>
        <v>#N/A</v>
      </c>
      <c r="J16" s="41" t="e">
        <f t="shared" si="4"/>
        <v>#N/A</v>
      </c>
      <c r="K16" s="41" t="e">
        <f t="shared" si="4"/>
        <v>#N/A</v>
      </c>
      <c r="L16" s="41" t="e">
        <f t="shared" si="4"/>
        <v>#N/A</v>
      </c>
      <c r="M16" s="41" t="e">
        <f t="shared" si="4"/>
        <v>#N/A</v>
      </c>
      <c r="N16" s="41" t="e">
        <f>(N12-F40)/$C$6</f>
        <v>#DIV/0!</v>
      </c>
    </row>
    <row r="17" spans="2:14" x14ac:dyDescent="0.25">
      <c r="B17" s="62" t="s">
        <v>115</v>
      </c>
      <c r="C17" s="6"/>
      <c r="D17" s="13"/>
      <c r="E17" s="42" t="e">
        <f t="shared" ref="E17:M17" si="5">E14/$C$7</f>
        <v>#N/A</v>
      </c>
      <c r="F17" s="42" t="e">
        <f t="shared" si="5"/>
        <v>#N/A</v>
      </c>
      <c r="G17" s="42" t="e">
        <f t="shared" si="5"/>
        <v>#N/A</v>
      </c>
      <c r="H17" s="42" t="e">
        <f t="shared" si="5"/>
        <v>#N/A</v>
      </c>
      <c r="I17" s="42" t="e">
        <f t="shared" si="5"/>
        <v>#N/A</v>
      </c>
      <c r="J17" s="42" t="e">
        <f t="shared" si="5"/>
        <v>#N/A</v>
      </c>
      <c r="K17" s="42" t="e">
        <f t="shared" si="5"/>
        <v>#N/A</v>
      </c>
      <c r="L17" s="42" t="e">
        <f t="shared" si="5"/>
        <v>#N/A</v>
      </c>
      <c r="M17" s="42" t="e">
        <f t="shared" si="5"/>
        <v>#N/A</v>
      </c>
      <c r="N17" s="42" t="e">
        <f>(N14-N40)/$C$7</f>
        <v>#DIV/0!</v>
      </c>
    </row>
    <row r="18" spans="2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25">
      <c r="B19" s="45" t="s">
        <v>51</v>
      </c>
      <c r="C19" s="1"/>
      <c r="D19" s="116" t="s">
        <v>52</v>
      </c>
      <c r="E19" s="116"/>
      <c r="F19" s="116"/>
      <c r="G19" s="1"/>
      <c r="H19" s="116" t="s">
        <v>53</v>
      </c>
      <c r="I19" s="116"/>
      <c r="J19" s="116"/>
      <c r="K19" s="1"/>
      <c r="L19" s="116" t="s">
        <v>54</v>
      </c>
      <c r="M19" s="116"/>
      <c r="N19" s="116"/>
    </row>
    <row r="20" spans="2:14" x14ac:dyDescent="0.25">
      <c r="B20" s="1"/>
      <c r="C20" s="1"/>
      <c r="D20" s="4" t="s">
        <v>174</v>
      </c>
      <c r="E20" s="4" t="s">
        <v>47</v>
      </c>
      <c r="F20" s="4" t="s">
        <v>48</v>
      </c>
      <c r="G20" s="1"/>
      <c r="H20" s="4" t="s">
        <v>41</v>
      </c>
      <c r="I20" s="4" t="s">
        <v>47</v>
      </c>
      <c r="J20" s="4" t="s">
        <v>48</v>
      </c>
      <c r="K20" s="1"/>
      <c r="L20" s="4" t="s">
        <v>34</v>
      </c>
      <c r="M20" s="4" t="s">
        <v>47</v>
      </c>
      <c r="N20" s="4" t="s">
        <v>48</v>
      </c>
    </row>
    <row r="21" spans="2:14" x14ac:dyDescent="0.25">
      <c r="B21" s="1"/>
      <c r="C21" s="74" t="s">
        <v>15</v>
      </c>
      <c r="D21" s="3" t="s">
        <v>175</v>
      </c>
      <c r="E21" s="15" t="e">
        <f>E5</f>
        <v>#VALUE!</v>
      </c>
      <c r="F21" s="3" t="s">
        <v>49</v>
      </c>
      <c r="G21" s="74" t="s">
        <v>15</v>
      </c>
      <c r="H21" s="3" t="s">
        <v>55</v>
      </c>
      <c r="I21" s="15" t="e">
        <f>IRR(D13:N13,0.1)</f>
        <v>#VALUE!</v>
      </c>
      <c r="J21" s="3" t="s">
        <v>49</v>
      </c>
      <c r="K21" s="74" t="s">
        <v>15</v>
      </c>
      <c r="L21" s="3" t="s">
        <v>57</v>
      </c>
      <c r="M21" s="15" t="e">
        <f>E7</f>
        <v>#VALUE!</v>
      </c>
      <c r="N21" s="3" t="s">
        <v>49</v>
      </c>
    </row>
    <row r="22" spans="2:14" x14ac:dyDescent="0.25">
      <c r="B22" s="1"/>
      <c r="C22" s="76">
        <f>+$E11</f>
        <v>2020</v>
      </c>
      <c r="D22" s="5">
        <f>E12</f>
        <v>0</v>
      </c>
      <c r="E22" s="69" t="e">
        <f>1/(1+E$21)^1</f>
        <v>#VALUE!</v>
      </c>
      <c r="F22" s="7" t="e">
        <f>D22*E22</f>
        <v>#VALUE!</v>
      </c>
      <c r="G22" s="76">
        <f>+$E11</f>
        <v>2020</v>
      </c>
      <c r="H22" s="5" t="e">
        <f>E13</f>
        <v>#N/A</v>
      </c>
      <c r="I22" s="69" t="e">
        <f>1/(1+I$21)^1</f>
        <v>#VALUE!</v>
      </c>
      <c r="J22" s="7" t="e">
        <f>H22*I22</f>
        <v>#N/A</v>
      </c>
      <c r="K22" s="76">
        <f>+$E11</f>
        <v>2020</v>
      </c>
      <c r="L22" s="5" t="e">
        <f>E14</f>
        <v>#N/A</v>
      </c>
      <c r="M22" s="69" t="e">
        <f>1/(1+M$21)^1</f>
        <v>#VALUE!</v>
      </c>
      <c r="N22" s="7" t="e">
        <f>L22*M22</f>
        <v>#N/A</v>
      </c>
    </row>
    <row r="23" spans="2:14" x14ac:dyDescent="0.25">
      <c r="B23" s="1"/>
      <c r="C23" s="75">
        <f>1+C22</f>
        <v>2021</v>
      </c>
      <c r="D23" s="5">
        <f>F12</f>
        <v>0</v>
      </c>
      <c r="E23" s="69" t="e">
        <f>1/(1+E$21)^2</f>
        <v>#VALUE!</v>
      </c>
      <c r="F23" s="7" t="e">
        <f t="shared" ref="F23:F31" si="6">D23*E23</f>
        <v>#VALUE!</v>
      </c>
      <c r="G23" s="75">
        <f>1+G22</f>
        <v>2021</v>
      </c>
      <c r="H23" s="5" t="e">
        <f>F13</f>
        <v>#N/A</v>
      </c>
      <c r="I23" s="69" t="e">
        <f>1/(1+I$21)^2</f>
        <v>#VALUE!</v>
      </c>
      <c r="J23" s="7" t="e">
        <f t="shared" ref="J23:J31" si="7">H23*I23</f>
        <v>#N/A</v>
      </c>
      <c r="K23" s="75">
        <f>1+K22</f>
        <v>2021</v>
      </c>
      <c r="L23" s="5" t="e">
        <f>F14</f>
        <v>#N/A</v>
      </c>
      <c r="M23" s="69" t="e">
        <f>1/(1+M$21)^2</f>
        <v>#VALUE!</v>
      </c>
      <c r="N23" s="7" t="e">
        <f t="shared" ref="N23:N31" si="8">L23*M23</f>
        <v>#N/A</v>
      </c>
    </row>
    <row r="24" spans="2:14" x14ac:dyDescent="0.25">
      <c r="B24" s="1"/>
      <c r="C24" s="75">
        <f t="shared" ref="C24:C31" si="9">1+C23</f>
        <v>2022</v>
      </c>
      <c r="D24" s="5">
        <f>G12</f>
        <v>0</v>
      </c>
      <c r="E24" s="69" t="e">
        <f>1/(1+E$21)^3</f>
        <v>#VALUE!</v>
      </c>
      <c r="F24" s="7" t="e">
        <f t="shared" si="6"/>
        <v>#VALUE!</v>
      </c>
      <c r="G24" s="75">
        <f t="shared" ref="G24:G31" si="10">1+G23</f>
        <v>2022</v>
      </c>
      <c r="H24" s="5" t="e">
        <f>G13</f>
        <v>#N/A</v>
      </c>
      <c r="I24" s="69" t="e">
        <f>1/(1+I$21)^3</f>
        <v>#VALUE!</v>
      </c>
      <c r="J24" s="7" t="e">
        <f t="shared" si="7"/>
        <v>#N/A</v>
      </c>
      <c r="K24" s="75">
        <f t="shared" ref="K24:K31" si="11">1+K23</f>
        <v>2022</v>
      </c>
      <c r="L24" s="5" t="e">
        <f>G14</f>
        <v>#N/A</v>
      </c>
      <c r="M24" s="69" t="e">
        <f>1/(1+M$21)^3</f>
        <v>#VALUE!</v>
      </c>
      <c r="N24" s="7" t="e">
        <f t="shared" si="8"/>
        <v>#N/A</v>
      </c>
    </row>
    <row r="25" spans="2:14" x14ac:dyDescent="0.25">
      <c r="B25" s="1"/>
      <c r="C25" s="75">
        <f t="shared" si="9"/>
        <v>2023</v>
      </c>
      <c r="D25" s="5">
        <f>H12</f>
        <v>0</v>
      </c>
      <c r="E25" s="69" t="e">
        <f>1/(1+E$21)^4</f>
        <v>#VALUE!</v>
      </c>
      <c r="F25" s="7" t="e">
        <f t="shared" si="6"/>
        <v>#VALUE!</v>
      </c>
      <c r="G25" s="75">
        <f t="shared" si="10"/>
        <v>2023</v>
      </c>
      <c r="H25" s="5" t="e">
        <f>H13</f>
        <v>#N/A</v>
      </c>
      <c r="I25" s="69" t="e">
        <f>1/(1+I$21)^4</f>
        <v>#VALUE!</v>
      </c>
      <c r="J25" s="7" t="e">
        <f t="shared" si="7"/>
        <v>#N/A</v>
      </c>
      <c r="K25" s="75">
        <f t="shared" si="11"/>
        <v>2023</v>
      </c>
      <c r="L25" s="5" t="e">
        <f>H14</f>
        <v>#N/A</v>
      </c>
      <c r="M25" s="69" t="e">
        <f>1/(1+M$21)^4</f>
        <v>#VALUE!</v>
      </c>
      <c r="N25" s="7" t="e">
        <f t="shared" si="8"/>
        <v>#N/A</v>
      </c>
    </row>
    <row r="26" spans="2:14" x14ac:dyDescent="0.25">
      <c r="B26" s="1"/>
      <c r="C26" s="75">
        <f t="shared" si="9"/>
        <v>2024</v>
      </c>
      <c r="D26" s="5">
        <f>I12</f>
        <v>0</v>
      </c>
      <c r="E26" s="69" t="e">
        <f>1/(1+E$21)^5</f>
        <v>#VALUE!</v>
      </c>
      <c r="F26" s="7" t="e">
        <f t="shared" si="6"/>
        <v>#VALUE!</v>
      </c>
      <c r="G26" s="75">
        <f t="shared" si="10"/>
        <v>2024</v>
      </c>
      <c r="H26" s="5" t="e">
        <f>I13</f>
        <v>#N/A</v>
      </c>
      <c r="I26" s="69" t="e">
        <f>1/(1+I$21)^5</f>
        <v>#VALUE!</v>
      </c>
      <c r="J26" s="7" t="e">
        <f t="shared" si="7"/>
        <v>#N/A</v>
      </c>
      <c r="K26" s="75">
        <f t="shared" si="11"/>
        <v>2024</v>
      </c>
      <c r="L26" s="5" t="e">
        <f>I14</f>
        <v>#N/A</v>
      </c>
      <c r="M26" s="69" t="e">
        <f>1/(1+M$21)^5</f>
        <v>#VALUE!</v>
      </c>
      <c r="N26" s="7" t="e">
        <f t="shared" si="8"/>
        <v>#N/A</v>
      </c>
    </row>
    <row r="27" spans="2:14" x14ac:dyDescent="0.25">
      <c r="B27" s="1"/>
      <c r="C27" s="75">
        <f t="shared" si="9"/>
        <v>2025</v>
      </c>
      <c r="D27" s="5">
        <f>J12</f>
        <v>0</v>
      </c>
      <c r="E27" s="69" t="e">
        <f>1/(1+E$21)^6</f>
        <v>#VALUE!</v>
      </c>
      <c r="F27" s="7" t="e">
        <f t="shared" si="6"/>
        <v>#VALUE!</v>
      </c>
      <c r="G27" s="75">
        <f t="shared" si="10"/>
        <v>2025</v>
      </c>
      <c r="H27" s="5" t="e">
        <f>J13</f>
        <v>#N/A</v>
      </c>
      <c r="I27" s="69" t="e">
        <f>1/(1+I$21)^6</f>
        <v>#VALUE!</v>
      </c>
      <c r="J27" s="7" t="e">
        <f t="shared" si="7"/>
        <v>#N/A</v>
      </c>
      <c r="K27" s="75">
        <f t="shared" si="11"/>
        <v>2025</v>
      </c>
      <c r="L27" s="5" t="e">
        <f>J14</f>
        <v>#N/A</v>
      </c>
      <c r="M27" s="69" t="e">
        <f>1/(1+M$21)^6</f>
        <v>#VALUE!</v>
      </c>
      <c r="N27" s="7" t="e">
        <f t="shared" si="8"/>
        <v>#N/A</v>
      </c>
    </row>
    <row r="28" spans="2:14" x14ac:dyDescent="0.25">
      <c r="B28" s="1"/>
      <c r="C28" s="75">
        <f t="shared" si="9"/>
        <v>2026</v>
      </c>
      <c r="D28" s="5">
        <f>K12</f>
        <v>0</v>
      </c>
      <c r="E28" s="69" t="e">
        <f>1/(1+E$21)^7</f>
        <v>#VALUE!</v>
      </c>
      <c r="F28" s="7" t="e">
        <f t="shared" si="6"/>
        <v>#VALUE!</v>
      </c>
      <c r="G28" s="75">
        <f t="shared" si="10"/>
        <v>2026</v>
      </c>
      <c r="H28" s="5" t="e">
        <f>K13</f>
        <v>#N/A</v>
      </c>
      <c r="I28" s="69" t="e">
        <f>1/(1+I$21)^7</f>
        <v>#VALUE!</v>
      </c>
      <c r="J28" s="7" t="e">
        <f t="shared" si="7"/>
        <v>#N/A</v>
      </c>
      <c r="K28" s="75">
        <f t="shared" si="11"/>
        <v>2026</v>
      </c>
      <c r="L28" s="5" t="e">
        <f>K14</f>
        <v>#N/A</v>
      </c>
      <c r="M28" s="69" t="e">
        <f>1/(1+M$21)^7</f>
        <v>#VALUE!</v>
      </c>
      <c r="N28" s="7" t="e">
        <f t="shared" si="8"/>
        <v>#N/A</v>
      </c>
    </row>
    <row r="29" spans="2:14" x14ac:dyDescent="0.25">
      <c r="B29" s="1"/>
      <c r="C29" s="75">
        <f t="shared" si="9"/>
        <v>2027</v>
      </c>
      <c r="D29" s="5">
        <f>L12</f>
        <v>0</v>
      </c>
      <c r="E29" s="69" t="e">
        <f>1/(1+E$21)^8</f>
        <v>#VALUE!</v>
      </c>
      <c r="F29" s="7" t="e">
        <f t="shared" si="6"/>
        <v>#VALUE!</v>
      </c>
      <c r="G29" s="75">
        <f t="shared" si="10"/>
        <v>2027</v>
      </c>
      <c r="H29" s="5" t="e">
        <f>L13</f>
        <v>#N/A</v>
      </c>
      <c r="I29" s="69" t="e">
        <f>1/(1+I$21)^8</f>
        <v>#VALUE!</v>
      </c>
      <c r="J29" s="7" t="e">
        <f t="shared" si="7"/>
        <v>#N/A</v>
      </c>
      <c r="K29" s="75">
        <f t="shared" si="11"/>
        <v>2027</v>
      </c>
      <c r="L29" s="5" t="e">
        <f>L14</f>
        <v>#N/A</v>
      </c>
      <c r="M29" s="69" t="e">
        <f>1/(1+M$21)^8</f>
        <v>#VALUE!</v>
      </c>
      <c r="N29" s="7" t="e">
        <f t="shared" si="8"/>
        <v>#N/A</v>
      </c>
    </row>
    <row r="30" spans="2:14" x14ac:dyDescent="0.25">
      <c r="B30" s="1"/>
      <c r="C30" s="75">
        <f t="shared" si="9"/>
        <v>2028</v>
      </c>
      <c r="D30" s="5">
        <f>M12</f>
        <v>0</v>
      </c>
      <c r="E30" s="69" t="e">
        <f>1/(1+E$21)^9</f>
        <v>#VALUE!</v>
      </c>
      <c r="F30" s="7" t="e">
        <f t="shared" si="6"/>
        <v>#VALUE!</v>
      </c>
      <c r="G30" s="75">
        <f t="shared" si="10"/>
        <v>2028</v>
      </c>
      <c r="H30" s="5" t="e">
        <f>M13</f>
        <v>#N/A</v>
      </c>
      <c r="I30" s="69" t="e">
        <f>1/(1+I$21)^9</f>
        <v>#VALUE!</v>
      </c>
      <c r="J30" s="7" t="e">
        <f t="shared" si="7"/>
        <v>#N/A</v>
      </c>
      <c r="K30" s="75">
        <f t="shared" si="11"/>
        <v>2028</v>
      </c>
      <c r="L30" s="5" t="e">
        <f>M14</f>
        <v>#N/A</v>
      </c>
      <c r="M30" s="69" t="e">
        <f>1/(1+M$21)^9</f>
        <v>#VALUE!</v>
      </c>
      <c r="N30" s="7" t="e">
        <f t="shared" si="8"/>
        <v>#N/A</v>
      </c>
    </row>
    <row r="31" spans="2:14" x14ac:dyDescent="0.25">
      <c r="B31" s="1"/>
      <c r="C31" s="75">
        <f t="shared" si="9"/>
        <v>2029</v>
      </c>
      <c r="D31" s="16" t="e">
        <f>N12</f>
        <v>#DIV/0!</v>
      </c>
      <c r="E31" s="70" t="e">
        <f>1/(1+E$21)^10</f>
        <v>#VALUE!</v>
      </c>
      <c r="F31" s="13" t="e">
        <f t="shared" si="6"/>
        <v>#DIV/0!</v>
      </c>
      <c r="G31" s="75">
        <f t="shared" si="10"/>
        <v>2029</v>
      </c>
      <c r="H31" s="16" t="e">
        <f>N13</f>
        <v>#N/A</v>
      </c>
      <c r="I31" s="70" t="e">
        <f>1/(1+I$21)^10</f>
        <v>#VALUE!</v>
      </c>
      <c r="J31" s="13" t="e">
        <f t="shared" si="7"/>
        <v>#N/A</v>
      </c>
      <c r="K31" s="75">
        <f t="shared" si="11"/>
        <v>2029</v>
      </c>
      <c r="L31" s="16" t="e">
        <f>N14</f>
        <v>#DIV/0!</v>
      </c>
      <c r="M31" s="70" t="e">
        <f>1/(1+M$21)^10</f>
        <v>#VALUE!</v>
      </c>
      <c r="N31" s="13" t="e">
        <f t="shared" si="8"/>
        <v>#DIV/0!</v>
      </c>
    </row>
    <row r="32" spans="2:14" x14ac:dyDescent="0.25">
      <c r="B32" s="1"/>
      <c r="C32" s="1"/>
      <c r="D32" s="1" t="s">
        <v>50</v>
      </c>
      <c r="E32" s="1"/>
      <c r="F32" s="7" t="e">
        <f>SUM(F22:F31)</f>
        <v>#VALUE!</v>
      </c>
      <c r="G32" s="1"/>
      <c r="H32" s="1" t="s">
        <v>56</v>
      </c>
      <c r="I32" s="1"/>
      <c r="J32" s="7" t="e">
        <f>SUM(J22:J31)</f>
        <v>#N/A</v>
      </c>
      <c r="K32" s="1"/>
      <c r="L32" s="1" t="s">
        <v>58</v>
      </c>
      <c r="M32" s="1"/>
      <c r="N32" s="7" t="e">
        <f>SUM(N22:N31)</f>
        <v>#N/A</v>
      </c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33" t="s">
        <v>78</v>
      </c>
      <c r="C34" s="1"/>
      <c r="D34" s="1" t="s">
        <v>104</v>
      </c>
      <c r="E34" s="1"/>
      <c r="F34" s="5">
        <f>Calcs!F14</f>
        <v>0</v>
      </c>
      <c r="G34" s="1"/>
      <c r="H34" s="1" t="s">
        <v>63</v>
      </c>
      <c r="I34" s="1"/>
      <c r="J34" s="7" t="e">
        <f>E13</f>
        <v>#N/A</v>
      </c>
      <c r="K34" s="1"/>
      <c r="L34" s="1" t="s">
        <v>62</v>
      </c>
      <c r="M34" s="1"/>
      <c r="N34" s="5" t="e">
        <f>F34-J34</f>
        <v>#N/A</v>
      </c>
    </row>
    <row r="35" spans="2:14" x14ac:dyDescent="0.25">
      <c r="B35" s="1"/>
      <c r="C35" s="1"/>
      <c r="D35" s="6" t="s">
        <v>60</v>
      </c>
      <c r="E35" s="6"/>
      <c r="F35" s="16" t="e">
        <f>Calcs!C41</f>
        <v>#DIV/0!</v>
      </c>
      <c r="G35" s="1"/>
      <c r="H35" s="6" t="s">
        <v>61</v>
      </c>
      <c r="I35" s="6"/>
      <c r="J35" s="16" t="e">
        <f>Calcs!C42</f>
        <v>#N/A</v>
      </c>
      <c r="K35" s="1"/>
      <c r="L35" s="6" t="s">
        <v>59</v>
      </c>
      <c r="M35" s="6"/>
      <c r="N35" s="16" t="e">
        <f>F35-J35</f>
        <v>#DIV/0!</v>
      </c>
    </row>
    <row r="36" spans="2:14" x14ac:dyDescent="0.25">
      <c r="B36" s="1"/>
      <c r="C36" s="1"/>
      <c r="D36" s="1"/>
      <c r="E36" s="1"/>
      <c r="F36" s="5" t="e">
        <f>SUM(F34:F35)</f>
        <v>#DIV/0!</v>
      </c>
      <c r="G36" s="1"/>
      <c r="H36" s="1"/>
      <c r="I36" s="1"/>
      <c r="J36" s="7" t="e">
        <f>SUM(J34:J35)</f>
        <v>#N/A</v>
      </c>
      <c r="K36" s="1"/>
      <c r="L36" s="1"/>
      <c r="M36" s="1"/>
      <c r="N36" s="5" t="e">
        <f>SUM(N34:N35)</f>
        <v>#N/A</v>
      </c>
    </row>
    <row r="37" spans="2:14" x14ac:dyDescent="0.25">
      <c r="B37" s="33" t="s">
        <v>76</v>
      </c>
      <c r="C37" s="1"/>
      <c r="D37" s="31" t="str">
        <f>CONCATENATE("Year 11 Cash Flow of $", ROUND(Calcs!F15,0))</f>
        <v>Year 11 Cash Flow of $0</v>
      </c>
      <c r="E37" s="1"/>
      <c r="F37" s="5"/>
      <c r="G37" s="1"/>
      <c r="I37" s="1"/>
      <c r="J37" s="5"/>
      <c r="K37" s="1"/>
    </row>
    <row r="38" spans="2:14" x14ac:dyDescent="0.25">
      <c r="B38" s="1"/>
      <c r="C38" s="1"/>
      <c r="D38" s="1" t="str">
        <f>CONCATENATE("capitalized at ", Input!D16*100, "% equals")</f>
        <v>capitalized at 0% equals</v>
      </c>
      <c r="E38" s="1"/>
      <c r="F38" s="7" t="e">
        <f>Calcs!F15/Input!D16</f>
        <v>#DIV/0!</v>
      </c>
      <c r="G38" s="1"/>
      <c r="H38" s="1" t="s">
        <v>73</v>
      </c>
      <c r="I38" s="1"/>
      <c r="J38" s="5"/>
      <c r="K38" s="1"/>
      <c r="L38" s="31" t="s">
        <v>124</v>
      </c>
      <c r="M38" s="1"/>
      <c r="N38" s="5" t="e">
        <f>F40</f>
        <v>#DIV/0!</v>
      </c>
    </row>
    <row r="39" spans="2:14" x14ac:dyDescent="0.25">
      <c r="B39" s="1"/>
      <c r="C39" s="1"/>
      <c r="D39" s="31" t="s">
        <v>79</v>
      </c>
      <c r="E39" s="1"/>
      <c r="F39" s="16" t="e">
        <f>F38*Input!D17</f>
        <v>#DIV/0!</v>
      </c>
      <c r="G39" s="1"/>
      <c r="H39" s="31" t="s">
        <v>127</v>
      </c>
      <c r="I39" s="1"/>
      <c r="J39" s="5"/>
      <c r="K39" s="1"/>
      <c r="L39" s="32" t="s">
        <v>74</v>
      </c>
      <c r="M39" s="1"/>
      <c r="N39" s="16" t="e">
        <f>J35</f>
        <v>#N/A</v>
      </c>
    </row>
    <row r="40" spans="2:14" x14ac:dyDescent="0.25">
      <c r="B40" s="1"/>
      <c r="C40" s="1"/>
      <c r="D40" s="31" t="s">
        <v>80</v>
      </c>
      <c r="E40" s="1"/>
      <c r="F40" s="5" t="e">
        <f>F38-F39</f>
        <v>#DIV/0!</v>
      </c>
      <c r="G40" s="1"/>
      <c r="H40" s="1" t="s">
        <v>77</v>
      </c>
      <c r="I40" s="1"/>
      <c r="J40" s="5"/>
      <c r="K40" s="1"/>
      <c r="L40" s="1" t="s">
        <v>75</v>
      </c>
      <c r="M40" s="1"/>
      <c r="N40" s="5" t="e">
        <f>N38-N39</f>
        <v>#DIV/0!</v>
      </c>
    </row>
    <row r="41" spans="2:14" x14ac:dyDescent="0.25">
      <c r="J41" s="37" t="s">
        <v>116</v>
      </c>
    </row>
  </sheetData>
  <mergeCells count="4">
    <mergeCell ref="D19:F19"/>
    <mergeCell ref="H19:J19"/>
    <mergeCell ref="L19:N19"/>
    <mergeCell ref="H3:K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N40"/>
  <sheetViews>
    <sheetView workbookViewId="0"/>
  </sheetViews>
  <sheetFormatPr defaultRowHeight="12.5" x14ac:dyDescent="0.25"/>
  <cols>
    <col min="1" max="1" width="3.7265625" customWidth="1"/>
    <col min="2" max="2" width="27.7265625" customWidth="1"/>
    <col min="3" max="3" width="10.54296875" customWidth="1"/>
    <col min="4" max="14" width="10.7265625" customWidth="1"/>
  </cols>
  <sheetData>
    <row r="1" spans="2:14" ht="15.5" x14ac:dyDescent="0.35">
      <c r="B1" s="8" t="s">
        <v>164</v>
      </c>
    </row>
    <row r="3" spans="2:14" x14ac:dyDescent="0.25">
      <c r="B3" s="45" t="s">
        <v>134</v>
      </c>
      <c r="C3" s="46" t="s">
        <v>106</v>
      </c>
      <c r="D3" s="46" t="s">
        <v>138</v>
      </c>
      <c r="E3" s="45"/>
      <c r="F3" s="46" t="s">
        <v>108</v>
      </c>
      <c r="G3" s="1"/>
      <c r="H3" s="115" t="s">
        <v>103</v>
      </c>
      <c r="I3" s="115"/>
      <c r="J3" s="115"/>
      <c r="K3" s="115"/>
      <c r="M3" s="1"/>
      <c r="N3" s="1"/>
    </row>
    <row r="4" spans="2:14" x14ac:dyDescent="0.25">
      <c r="B4" s="49">
        <f>Input!C4</f>
        <v>0</v>
      </c>
      <c r="C4" s="47" t="s">
        <v>44</v>
      </c>
      <c r="D4" s="48" t="s">
        <v>106</v>
      </c>
      <c r="E4" s="48" t="s">
        <v>45</v>
      </c>
      <c r="F4" s="48" t="s">
        <v>107</v>
      </c>
      <c r="G4" s="1"/>
      <c r="H4" s="10" t="s">
        <v>98</v>
      </c>
      <c r="I4" s="10"/>
      <c r="J4" s="10"/>
      <c r="K4" s="41" t="e">
        <f>(F38/C5)-1</f>
        <v>#DIV/0!</v>
      </c>
      <c r="M4" s="1"/>
      <c r="N4" s="1"/>
    </row>
    <row r="5" spans="2:14" x14ac:dyDescent="0.25">
      <c r="B5" s="10" t="s">
        <v>6</v>
      </c>
      <c r="C5" s="7" t="e">
        <f>Calcs!C62</f>
        <v>#N/A</v>
      </c>
      <c r="D5" s="93" t="e">
        <f>+C5/$C$5</f>
        <v>#N/A</v>
      </c>
      <c r="E5" s="11" t="e">
        <f>IRR(D12:N12,0.1)</f>
        <v>#VALUE!</v>
      </c>
      <c r="F5" s="5" t="e">
        <f>C5/Input!D11*1000</f>
        <v>#N/A</v>
      </c>
      <c r="G5" s="1"/>
      <c r="H5" s="10" t="s">
        <v>99</v>
      </c>
      <c r="I5" s="10"/>
      <c r="J5" s="10"/>
      <c r="K5" s="11" t="e">
        <f>RATE(10,,C5,-F38)</f>
        <v>#N/A</v>
      </c>
      <c r="M5" s="1"/>
      <c r="N5" s="1"/>
    </row>
    <row r="6" spans="2:14" x14ac:dyDescent="0.25">
      <c r="B6" s="10" t="s">
        <v>40</v>
      </c>
      <c r="C6" s="7" t="e">
        <f>Calcs!C63</f>
        <v>#N/A</v>
      </c>
      <c r="D6" s="93" t="e">
        <f t="shared" ref="D6:D7" si="0">+C6/$C$5</f>
        <v>#N/A</v>
      </c>
      <c r="E6" s="11" t="e">
        <f>Input!D15*RATE(10*Input!D15,E13/Input!D15,D13,Calcs!C58)</f>
        <v>#N/A</v>
      </c>
      <c r="F6" s="5" t="e">
        <f>C6/Input!D11*1000</f>
        <v>#N/A</v>
      </c>
      <c r="G6" s="1"/>
      <c r="H6" s="10" t="s">
        <v>100</v>
      </c>
      <c r="I6" s="10"/>
      <c r="J6" s="10"/>
      <c r="K6" s="11" t="e">
        <f>1-K7</f>
        <v>#DIV/0!</v>
      </c>
      <c r="M6" s="1"/>
      <c r="N6" s="1"/>
    </row>
    <row r="7" spans="2:14" x14ac:dyDescent="0.25">
      <c r="B7" s="12" t="s">
        <v>46</v>
      </c>
      <c r="C7" s="13" t="e">
        <f>C5-C6</f>
        <v>#N/A</v>
      </c>
      <c r="D7" s="94" t="e">
        <f t="shared" si="0"/>
        <v>#N/A</v>
      </c>
      <c r="E7" s="14" t="e">
        <f>IRR(D14:N14,0.1)</f>
        <v>#VALUE!</v>
      </c>
      <c r="F7" s="16" t="e">
        <f>C7/Input!D11*1000</f>
        <v>#N/A</v>
      </c>
      <c r="G7" s="1"/>
      <c r="H7" s="10" t="s">
        <v>101</v>
      </c>
      <c r="I7" s="10"/>
      <c r="J7" s="10"/>
      <c r="K7" s="11" t="e">
        <f>((F40/(1+E5)^10)/C5)</f>
        <v>#DIV/0!</v>
      </c>
      <c r="M7" s="71"/>
      <c r="N7" s="1"/>
    </row>
    <row r="8" spans="2:14" x14ac:dyDescent="0.25">
      <c r="B8" s="7"/>
      <c r="C8" s="1"/>
      <c r="D8" s="7"/>
      <c r="E8" s="1"/>
      <c r="F8" s="11"/>
      <c r="G8" s="1"/>
      <c r="H8" s="10" t="s">
        <v>102</v>
      </c>
      <c r="I8" s="10"/>
      <c r="J8" s="10"/>
      <c r="K8" s="41" t="e">
        <f>Input!D20*(1/(1+Input!D18)^(Input!D19-1))/C5</f>
        <v>#N/A</v>
      </c>
      <c r="M8" s="1"/>
      <c r="N8" s="1"/>
    </row>
    <row r="9" spans="2:14" x14ac:dyDescent="0.25">
      <c r="B9" s="7"/>
      <c r="C9" s="1"/>
      <c r="D9" s="7"/>
      <c r="E9" s="1"/>
      <c r="F9" s="11"/>
      <c r="G9" s="1"/>
      <c r="H9" s="12" t="s">
        <v>131</v>
      </c>
      <c r="I9" s="12"/>
      <c r="J9" s="12"/>
      <c r="K9" s="42" t="e">
        <f>+E5</f>
        <v>#VALUE!</v>
      </c>
      <c r="M9" s="1"/>
      <c r="N9" s="1"/>
    </row>
    <row r="10" spans="2:14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64" t="s">
        <v>64</v>
      </c>
      <c r="C11" s="3" t="s">
        <v>15</v>
      </c>
      <c r="D11" s="2">
        <f>Input!D10-1</f>
        <v>2019</v>
      </c>
      <c r="E11" s="2">
        <f>D11+1</f>
        <v>2020</v>
      </c>
      <c r="F11" s="2">
        <f t="shared" ref="F11:N11" si="1">E11+1</f>
        <v>2021</v>
      </c>
      <c r="G11" s="2">
        <f t="shared" si="1"/>
        <v>2022</v>
      </c>
      <c r="H11" s="2">
        <f t="shared" si="1"/>
        <v>2023</v>
      </c>
      <c r="I11" s="2">
        <f t="shared" si="1"/>
        <v>2024</v>
      </c>
      <c r="J11" s="2">
        <f t="shared" si="1"/>
        <v>2025</v>
      </c>
      <c r="K11" s="2">
        <f t="shared" si="1"/>
        <v>2026</v>
      </c>
      <c r="L11" s="2">
        <f t="shared" si="1"/>
        <v>2027</v>
      </c>
      <c r="M11" s="2">
        <f t="shared" si="1"/>
        <v>2028</v>
      </c>
      <c r="N11" s="2">
        <f t="shared" si="1"/>
        <v>2029</v>
      </c>
    </row>
    <row r="12" spans="2:14" x14ac:dyDescent="0.25">
      <c r="B12" s="10" t="s">
        <v>43</v>
      </c>
      <c r="C12" s="1"/>
      <c r="D12" s="7" t="e">
        <f>-C5</f>
        <v>#N/A</v>
      </c>
      <c r="E12" s="5">
        <f>Calcs!F5</f>
        <v>0</v>
      </c>
      <c r="F12" s="5">
        <f>Calcs!F6</f>
        <v>0</v>
      </c>
      <c r="G12" s="5">
        <f>Calcs!F7</f>
        <v>0</v>
      </c>
      <c r="H12" s="5">
        <f>Calcs!F8</f>
        <v>0</v>
      </c>
      <c r="I12" s="5">
        <f>Calcs!F9</f>
        <v>0</v>
      </c>
      <c r="J12" s="5">
        <f>Calcs!F10</f>
        <v>0</v>
      </c>
      <c r="K12" s="5">
        <f>Calcs!F11</f>
        <v>0</v>
      </c>
      <c r="L12" s="5">
        <f>Calcs!F12</f>
        <v>0</v>
      </c>
      <c r="M12" s="5">
        <f>Calcs!F13</f>
        <v>0</v>
      </c>
      <c r="N12" s="5" t="e">
        <f>Calcs!F14+(Calcs!F15/Input!D16)*(1-Input!D17)</f>
        <v>#DIV/0!</v>
      </c>
    </row>
    <row r="13" spans="2:14" x14ac:dyDescent="0.25">
      <c r="B13" s="10" t="s">
        <v>41</v>
      </c>
      <c r="C13" s="1"/>
      <c r="D13" s="7" t="e">
        <f>-C6</f>
        <v>#N/A</v>
      </c>
      <c r="E13" s="7" t="e">
        <f>Calcs!$C$63*Calcs!$C$55</f>
        <v>#N/A</v>
      </c>
      <c r="F13" s="7" t="e">
        <f>Calcs!$C$63*Calcs!$C$55</f>
        <v>#N/A</v>
      </c>
      <c r="G13" s="7" t="e">
        <f>Calcs!$C$63*Calcs!$C$55</f>
        <v>#N/A</v>
      </c>
      <c r="H13" s="7" t="e">
        <f>Calcs!$C$63*Calcs!$C$55</f>
        <v>#N/A</v>
      </c>
      <c r="I13" s="7" t="e">
        <f>Calcs!$C$63*Calcs!$C$55</f>
        <v>#N/A</v>
      </c>
      <c r="J13" s="7" t="e">
        <f>Calcs!$C$63*Calcs!$C$55</f>
        <v>#N/A</v>
      </c>
      <c r="K13" s="7" t="e">
        <f>Calcs!$C$63*Calcs!$C$55</f>
        <v>#N/A</v>
      </c>
      <c r="L13" s="7" t="e">
        <f>Calcs!$C$63*Calcs!$C$55</f>
        <v>#N/A</v>
      </c>
      <c r="M13" s="7" t="e">
        <f>Calcs!$C$63*Calcs!$C$55</f>
        <v>#N/A</v>
      </c>
      <c r="N13" s="7" t="e">
        <f>(Calcs!$C$63*Calcs!$C$55)+Calcs!C58</f>
        <v>#N/A</v>
      </c>
    </row>
    <row r="14" spans="2:14" x14ac:dyDescent="0.25">
      <c r="B14" s="12" t="s">
        <v>42</v>
      </c>
      <c r="C14" s="1"/>
      <c r="D14" s="7" t="e">
        <f>-C7</f>
        <v>#N/A</v>
      </c>
      <c r="E14" s="5" t="e">
        <f>E12-E13</f>
        <v>#N/A</v>
      </c>
      <c r="F14" s="5" t="e">
        <f t="shared" ref="F14:N14" si="2">F12-F13</f>
        <v>#N/A</v>
      </c>
      <c r="G14" s="5" t="e">
        <f t="shared" si="2"/>
        <v>#N/A</v>
      </c>
      <c r="H14" s="5" t="e">
        <f t="shared" si="2"/>
        <v>#N/A</v>
      </c>
      <c r="I14" s="5" t="e">
        <f t="shared" si="2"/>
        <v>#N/A</v>
      </c>
      <c r="J14" s="5" t="e">
        <f t="shared" si="2"/>
        <v>#N/A</v>
      </c>
      <c r="K14" s="5" t="e">
        <f t="shared" si="2"/>
        <v>#N/A</v>
      </c>
      <c r="L14" s="5" t="e">
        <f t="shared" si="2"/>
        <v>#N/A</v>
      </c>
      <c r="M14" s="5" t="e">
        <f t="shared" si="2"/>
        <v>#N/A</v>
      </c>
      <c r="N14" s="5" t="e">
        <f t="shared" si="2"/>
        <v>#DIV/0!</v>
      </c>
    </row>
    <row r="15" spans="2:14" x14ac:dyDescent="0.25">
      <c r="B15" s="58" t="s">
        <v>28</v>
      </c>
      <c r="C15" s="24"/>
      <c r="D15" s="59"/>
      <c r="E15" s="60" t="e">
        <f>E12/E13</f>
        <v>#N/A</v>
      </c>
      <c r="F15" s="60" t="e">
        <f>F12/F13</f>
        <v>#N/A</v>
      </c>
      <c r="G15" s="60" t="e">
        <f>G12/G13</f>
        <v>#N/A</v>
      </c>
      <c r="H15" s="60" t="e">
        <f t="shared" ref="H15:M15" si="3">H12/H13</f>
        <v>#N/A</v>
      </c>
      <c r="I15" s="60" t="e">
        <f t="shared" si="3"/>
        <v>#N/A</v>
      </c>
      <c r="J15" s="60" t="e">
        <f t="shared" si="3"/>
        <v>#N/A</v>
      </c>
      <c r="K15" s="60" t="e">
        <f t="shared" si="3"/>
        <v>#N/A</v>
      </c>
      <c r="L15" s="60" t="e">
        <f t="shared" si="3"/>
        <v>#N/A</v>
      </c>
      <c r="M15" s="60" t="e">
        <f t="shared" si="3"/>
        <v>#N/A</v>
      </c>
      <c r="N15" s="60" t="e">
        <f>Calcs!F28/'10 Yr Output-LTV'!J34</f>
        <v>#DIV/0!</v>
      </c>
    </row>
    <row r="16" spans="2:14" x14ac:dyDescent="0.25">
      <c r="B16" s="61" t="s">
        <v>91</v>
      </c>
      <c r="C16" s="1"/>
      <c r="D16" s="7"/>
      <c r="E16" s="41" t="e">
        <f t="shared" ref="E16:M16" si="4">E12/$C$6</f>
        <v>#N/A</v>
      </c>
      <c r="F16" s="41" t="e">
        <f t="shared" si="4"/>
        <v>#N/A</v>
      </c>
      <c r="G16" s="41" t="e">
        <f t="shared" si="4"/>
        <v>#N/A</v>
      </c>
      <c r="H16" s="41" t="e">
        <f t="shared" si="4"/>
        <v>#N/A</v>
      </c>
      <c r="I16" s="41" t="e">
        <f t="shared" si="4"/>
        <v>#N/A</v>
      </c>
      <c r="J16" s="41" t="e">
        <f t="shared" si="4"/>
        <v>#N/A</v>
      </c>
      <c r="K16" s="41" t="e">
        <f t="shared" si="4"/>
        <v>#N/A</v>
      </c>
      <c r="L16" s="41" t="e">
        <f t="shared" si="4"/>
        <v>#N/A</v>
      </c>
      <c r="M16" s="41" t="e">
        <f t="shared" si="4"/>
        <v>#N/A</v>
      </c>
      <c r="N16" s="41" t="e">
        <f>(N12-F40)/$C$6</f>
        <v>#DIV/0!</v>
      </c>
    </row>
    <row r="17" spans="2:14" x14ac:dyDescent="0.25">
      <c r="B17" s="62" t="s">
        <v>115</v>
      </c>
      <c r="C17" s="6"/>
      <c r="D17" s="13"/>
      <c r="E17" s="42" t="e">
        <f t="shared" ref="E17:M17" si="5">E14/$C$7</f>
        <v>#N/A</v>
      </c>
      <c r="F17" s="42" t="e">
        <f t="shared" si="5"/>
        <v>#N/A</v>
      </c>
      <c r="G17" s="42" t="e">
        <f t="shared" si="5"/>
        <v>#N/A</v>
      </c>
      <c r="H17" s="42" t="e">
        <f t="shared" si="5"/>
        <v>#N/A</v>
      </c>
      <c r="I17" s="42" t="e">
        <f t="shared" si="5"/>
        <v>#N/A</v>
      </c>
      <c r="J17" s="42" t="e">
        <f t="shared" si="5"/>
        <v>#N/A</v>
      </c>
      <c r="K17" s="42" t="e">
        <f t="shared" si="5"/>
        <v>#N/A</v>
      </c>
      <c r="L17" s="42" t="e">
        <f t="shared" si="5"/>
        <v>#N/A</v>
      </c>
      <c r="M17" s="42" t="e">
        <f t="shared" si="5"/>
        <v>#N/A</v>
      </c>
      <c r="N17" s="42" t="e">
        <f>(N14-N40)/$C$7</f>
        <v>#DIV/0!</v>
      </c>
    </row>
    <row r="18" spans="2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25">
      <c r="B19" s="45" t="s">
        <v>51</v>
      </c>
      <c r="C19" s="1"/>
      <c r="D19" s="116" t="s">
        <v>52</v>
      </c>
      <c r="E19" s="116"/>
      <c r="F19" s="116"/>
      <c r="G19" s="1"/>
      <c r="H19" s="116" t="s">
        <v>53</v>
      </c>
      <c r="I19" s="116"/>
      <c r="J19" s="116"/>
      <c r="K19" s="1"/>
      <c r="L19" s="116" t="s">
        <v>54</v>
      </c>
      <c r="M19" s="116"/>
      <c r="N19" s="116"/>
    </row>
    <row r="20" spans="2:14" x14ac:dyDescent="0.25">
      <c r="B20" s="1"/>
      <c r="C20" s="1"/>
      <c r="D20" s="4" t="s">
        <v>174</v>
      </c>
      <c r="E20" s="4" t="s">
        <v>47</v>
      </c>
      <c r="F20" s="4" t="s">
        <v>48</v>
      </c>
      <c r="G20" s="1"/>
      <c r="H20" s="4" t="s">
        <v>41</v>
      </c>
      <c r="I20" s="4" t="s">
        <v>47</v>
      </c>
      <c r="J20" s="4" t="s">
        <v>48</v>
      </c>
      <c r="K20" s="1"/>
      <c r="L20" s="4" t="s">
        <v>34</v>
      </c>
      <c r="M20" s="4" t="s">
        <v>47</v>
      </c>
      <c r="N20" s="4" t="s">
        <v>48</v>
      </c>
    </row>
    <row r="21" spans="2:14" x14ac:dyDescent="0.25">
      <c r="B21" s="1"/>
      <c r="C21" s="74" t="s">
        <v>15</v>
      </c>
      <c r="D21" s="3" t="s">
        <v>175</v>
      </c>
      <c r="E21" s="15" t="e">
        <f>E5</f>
        <v>#VALUE!</v>
      </c>
      <c r="F21" s="3" t="s">
        <v>49</v>
      </c>
      <c r="G21" s="74" t="s">
        <v>15</v>
      </c>
      <c r="H21" s="3" t="s">
        <v>55</v>
      </c>
      <c r="I21" s="15" t="e">
        <f>IRR(D13:N13,0.1)</f>
        <v>#VALUE!</v>
      </c>
      <c r="J21" s="3" t="s">
        <v>49</v>
      </c>
      <c r="K21" s="74" t="s">
        <v>15</v>
      </c>
      <c r="L21" s="3" t="s">
        <v>57</v>
      </c>
      <c r="M21" s="15" t="e">
        <f>E7</f>
        <v>#VALUE!</v>
      </c>
      <c r="N21" s="3" t="s">
        <v>49</v>
      </c>
    </row>
    <row r="22" spans="2:14" x14ac:dyDescent="0.25">
      <c r="B22" s="1"/>
      <c r="C22" s="76">
        <f>+$E11</f>
        <v>2020</v>
      </c>
      <c r="D22" s="5">
        <f>E12</f>
        <v>0</v>
      </c>
      <c r="E22" s="69" t="e">
        <f>1/(1+E$21)^1</f>
        <v>#VALUE!</v>
      </c>
      <c r="F22" s="7" t="e">
        <f>D22*E22</f>
        <v>#VALUE!</v>
      </c>
      <c r="G22" s="76">
        <f>+$E11</f>
        <v>2020</v>
      </c>
      <c r="H22" s="5" t="e">
        <f>E13</f>
        <v>#N/A</v>
      </c>
      <c r="I22" s="69" t="e">
        <f>1/(1+I$21)^1</f>
        <v>#VALUE!</v>
      </c>
      <c r="J22" s="7" t="e">
        <f>H22*I22</f>
        <v>#N/A</v>
      </c>
      <c r="K22" s="76">
        <f>+$E11</f>
        <v>2020</v>
      </c>
      <c r="L22" s="5" t="e">
        <f>E14</f>
        <v>#N/A</v>
      </c>
      <c r="M22" s="69" t="e">
        <f>1/(1+M$21)^1</f>
        <v>#VALUE!</v>
      </c>
      <c r="N22" s="7" t="e">
        <f>L22*M22</f>
        <v>#N/A</v>
      </c>
    </row>
    <row r="23" spans="2:14" x14ac:dyDescent="0.25">
      <c r="B23" s="1"/>
      <c r="C23" s="75">
        <f>1+C22</f>
        <v>2021</v>
      </c>
      <c r="D23" s="5">
        <f>F12</f>
        <v>0</v>
      </c>
      <c r="E23" s="69" t="e">
        <f>1/(1+E$21)^2</f>
        <v>#VALUE!</v>
      </c>
      <c r="F23" s="7" t="e">
        <f t="shared" ref="F23:F31" si="6">D23*E23</f>
        <v>#VALUE!</v>
      </c>
      <c r="G23" s="75">
        <f>1+G22</f>
        <v>2021</v>
      </c>
      <c r="H23" s="5" t="e">
        <f>F13</f>
        <v>#N/A</v>
      </c>
      <c r="I23" s="69" t="e">
        <f>1/(1+I$21)^2</f>
        <v>#VALUE!</v>
      </c>
      <c r="J23" s="7" t="e">
        <f t="shared" ref="J23:J31" si="7">H23*I23</f>
        <v>#N/A</v>
      </c>
      <c r="K23" s="75">
        <f>1+K22</f>
        <v>2021</v>
      </c>
      <c r="L23" s="5" t="e">
        <f>F14</f>
        <v>#N/A</v>
      </c>
      <c r="M23" s="69" t="e">
        <f>1/(1+M$21)^2</f>
        <v>#VALUE!</v>
      </c>
      <c r="N23" s="7" t="e">
        <f t="shared" ref="N23:N31" si="8">L23*M23</f>
        <v>#N/A</v>
      </c>
    </row>
    <row r="24" spans="2:14" x14ac:dyDescent="0.25">
      <c r="B24" s="1"/>
      <c r="C24" s="75">
        <f t="shared" ref="C24:C31" si="9">1+C23</f>
        <v>2022</v>
      </c>
      <c r="D24" s="5">
        <f>G12</f>
        <v>0</v>
      </c>
      <c r="E24" s="69" t="e">
        <f>1/(1+E$21)^3</f>
        <v>#VALUE!</v>
      </c>
      <c r="F24" s="7" t="e">
        <f t="shared" si="6"/>
        <v>#VALUE!</v>
      </c>
      <c r="G24" s="75">
        <f t="shared" ref="G24:G31" si="10">1+G23</f>
        <v>2022</v>
      </c>
      <c r="H24" s="5" t="e">
        <f>G13</f>
        <v>#N/A</v>
      </c>
      <c r="I24" s="69" t="e">
        <f>1/(1+I$21)^3</f>
        <v>#VALUE!</v>
      </c>
      <c r="J24" s="7" t="e">
        <f t="shared" si="7"/>
        <v>#N/A</v>
      </c>
      <c r="K24" s="75">
        <f t="shared" ref="K24:K31" si="11">1+K23</f>
        <v>2022</v>
      </c>
      <c r="L24" s="5" t="e">
        <f>G14</f>
        <v>#N/A</v>
      </c>
      <c r="M24" s="69" t="e">
        <f>1/(1+M$21)^3</f>
        <v>#VALUE!</v>
      </c>
      <c r="N24" s="7" t="e">
        <f t="shared" si="8"/>
        <v>#N/A</v>
      </c>
    </row>
    <row r="25" spans="2:14" x14ac:dyDescent="0.25">
      <c r="B25" s="1"/>
      <c r="C25" s="75">
        <f t="shared" si="9"/>
        <v>2023</v>
      </c>
      <c r="D25" s="5">
        <f>H12</f>
        <v>0</v>
      </c>
      <c r="E25" s="69" t="e">
        <f>1/(1+E$21)^4</f>
        <v>#VALUE!</v>
      </c>
      <c r="F25" s="7" t="e">
        <f t="shared" si="6"/>
        <v>#VALUE!</v>
      </c>
      <c r="G25" s="75">
        <f t="shared" si="10"/>
        <v>2023</v>
      </c>
      <c r="H25" s="5" t="e">
        <f>H13</f>
        <v>#N/A</v>
      </c>
      <c r="I25" s="69" t="e">
        <f>1/(1+I$21)^4</f>
        <v>#VALUE!</v>
      </c>
      <c r="J25" s="7" t="e">
        <f t="shared" si="7"/>
        <v>#N/A</v>
      </c>
      <c r="K25" s="75">
        <f t="shared" si="11"/>
        <v>2023</v>
      </c>
      <c r="L25" s="5" t="e">
        <f>H14</f>
        <v>#N/A</v>
      </c>
      <c r="M25" s="69" t="e">
        <f>1/(1+M$21)^4</f>
        <v>#VALUE!</v>
      </c>
      <c r="N25" s="7" t="e">
        <f t="shared" si="8"/>
        <v>#N/A</v>
      </c>
    </row>
    <row r="26" spans="2:14" x14ac:dyDescent="0.25">
      <c r="B26" s="1"/>
      <c r="C26" s="75">
        <f t="shared" si="9"/>
        <v>2024</v>
      </c>
      <c r="D26" s="5">
        <f>I12</f>
        <v>0</v>
      </c>
      <c r="E26" s="69" t="e">
        <f>1/(1+E$21)^5</f>
        <v>#VALUE!</v>
      </c>
      <c r="F26" s="7" t="e">
        <f t="shared" si="6"/>
        <v>#VALUE!</v>
      </c>
      <c r="G26" s="75">
        <f t="shared" si="10"/>
        <v>2024</v>
      </c>
      <c r="H26" s="5" t="e">
        <f>I13</f>
        <v>#N/A</v>
      </c>
      <c r="I26" s="69" t="e">
        <f>1/(1+I$21)^5</f>
        <v>#VALUE!</v>
      </c>
      <c r="J26" s="7" t="e">
        <f t="shared" si="7"/>
        <v>#N/A</v>
      </c>
      <c r="K26" s="75">
        <f t="shared" si="11"/>
        <v>2024</v>
      </c>
      <c r="L26" s="5" t="e">
        <f>I14</f>
        <v>#N/A</v>
      </c>
      <c r="M26" s="69" t="e">
        <f>1/(1+M$21)^5</f>
        <v>#VALUE!</v>
      </c>
      <c r="N26" s="7" t="e">
        <f t="shared" si="8"/>
        <v>#N/A</v>
      </c>
    </row>
    <row r="27" spans="2:14" x14ac:dyDescent="0.25">
      <c r="B27" s="1"/>
      <c r="C27" s="75">
        <f t="shared" si="9"/>
        <v>2025</v>
      </c>
      <c r="D27" s="5">
        <f>J12</f>
        <v>0</v>
      </c>
      <c r="E27" s="69" t="e">
        <f>1/(1+E$21)^6</f>
        <v>#VALUE!</v>
      </c>
      <c r="F27" s="7" t="e">
        <f t="shared" si="6"/>
        <v>#VALUE!</v>
      </c>
      <c r="G27" s="75">
        <f t="shared" si="10"/>
        <v>2025</v>
      </c>
      <c r="H27" s="5" t="e">
        <f>J13</f>
        <v>#N/A</v>
      </c>
      <c r="I27" s="69" t="e">
        <f>1/(1+I$21)^6</f>
        <v>#VALUE!</v>
      </c>
      <c r="J27" s="7" t="e">
        <f t="shared" si="7"/>
        <v>#N/A</v>
      </c>
      <c r="K27" s="75">
        <f t="shared" si="11"/>
        <v>2025</v>
      </c>
      <c r="L27" s="5" t="e">
        <f>J14</f>
        <v>#N/A</v>
      </c>
      <c r="M27" s="69" t="e">
        <f>1/(1+M$21)^6</f>
        <v>#VALUE!</v>
      </c>
      <c r="N27" s="7" t="e">
        <f t="shared" si="8"/>
        <v>#N/A</v>
      </c>
    </row>
    <row r="28" spans="2:14" x14ac:dyDescent="0.25">
      <c r="B28" s="1"/>
      <c r="C28" s="75">
        <f t="shared" si="9"/>
        <v>2026</v>
      </c>
      <c r="D28" s="5">
        <f>K12</f>
        <v>0</v>
      </c>
      <c r="E28" s="69" t="e">
        <f>1/(1+E$21)^7</f>
        <v>#VALUE!</v>
      </c>
      <c r="F28" s="7" t="e">
        <f t="shared" si="6"/>
        <v>#VALUE!</v>
      </c>
      <c r="G28" s="75">
        <f t="shared" si="10"/>
        <v>2026</v>
      </c>
      <c r="H28" s="5" t="e">
        <f>K13</f>
        <v>#N/A</v>
      </c>
      <c r="I28" s="69" t="e">
        <f>1/(1+I$21)^7</f>
        <v>#VALUE!</v>
      </c>
      <c r="J28" s="7" t="e">
        <f t="shared" si="7"/>
        <v>#N/A</v>
      </c>
      <c r="K28" s="75">
        <f t="shared" si="11"/>
        <v>2026</v>
      </c>
      <c r="L28" s="5" t="e">
        <f>K14</f>
        <v>#N/A</v>
      </c>
      <c r="M28" s="69" t="e">
        <f>1/(1+M$21)^7</f>
        <v>#VALUE!</v>
      </c>
      <c r="N28" s="7" t="e">
        <f t="shared" si="8"/>
        <v>#N/A</v>
      </c>
    </row>
    <row r="29" spans="2:14" x14ac:dyDescent="0.25">
      <c r="B29" s="1"/>
      <c r="C29" s="75">
        <f t="shared" si="9"/>
        <v>2027</v>
      </c>
      <c r="D29" s="5">
        <f>L12</f>
        <v>0</v>
      </c>
      <c r="E29" s="69" t="e">
        <f>1/(1+E$21)^8</f>
        <v>#VALUE!</v>
      </c>
      <c r="F29" s="7" t="e">
        <f t="shared" si="6"/>
        <v>#VALUE!</v>
      </c>
      <c r="G29" s="75">
        <f t="shared" si="10"/>
        <v>2027</v>
      </c>
      <c r="H29" s="5" t="e">
        <f>L13</f>
        <v>#N/A</v>
      </c>
      <c r="I29" s="69" t="e">
        <f>1/(1+I$21)^8</f>
        <v>#VALUE!</v>
      </c>
      <c r="J29" s="7" t="e">
        <f t="shared" si="7"/>
        <v>#N/A</v>
      </c>
      <c r="K29" s="75">
        <f t="shared" si="11"/>
        <v>2027</v>
      </c>
      <c r="L29" s="5" t="e">
        <f>L14</f>
        <v>#N/A</v>
      </c>
      <c r="M29" s="69" t="e">
        <f>1/(1+M$21)^8</f>
        <v>#VALUE!</v>
      </c>
      <c r="N29" s="7" t="e">
        <f t="shared" si="8"/>
        <v>#N/A</v>
      </c>
    </row>
    <row r="30" spans="2:14" x14ac:dyDescent="0.25">
      <c r="B30" s="1"/>
      <c r="C30" s="75">
        <f t="shared" si="9"/>
        <v>2028</v>
      </c>
      <c r="D30" s="5">
        <f>M12</f>
        <v>0</v>
      </c>
      <c r="E30" s="69" t="e">
        <f>1/(1+E$21)^9</f>
        <v>#VALUE!</v>
      </c>
      <c r="F30" s="7" t="e">
        <f t="shared" si="6"/>
        <v>#VALUE!</v>
      </c>
      <c r="G30" s="75">
        <f t="shared" si="10"/>
        <v>2028</v>
      </c>
      <c r="H30" s="5" t="e">
        <f>M13</f>
        <v>#N/A</v>
      </c>
      <c r="I30" s="69" t="e">
        <f>1/(1+I$21)^9</f>
        <v>#VALUE!</v>
      </c>
      <c r="J30" s="7" t="e">
        <f t="shared" si="7"/>
        <v>#N/A</v>
      </c>
      <c r="K30" s="75">
        <f t="shared" si="11"/>
        <v>2028</v>
      </c>
      <c r="L30" s="5" t="e">
        <f>M14</f>
        <v>#N/A</v>
      </c>
      <c r="M30" s="69" t="e">
        <f>1/(1+M$21)^9</f>
        <v>#VALUE!</v>
      </c>
      <c r="N30" s="7" t="e">
        <f t="shared" si="8"/>
        <v>#N/A</v>
      </c>
    </row>
    <row r="31" spans="2:14" x14ac:dyDescent="0.25">
      <c r="B31" s="1"/>
      <c r="C31" s="75">
        <f t="shared" si="9"/>
        <v>2029</v>
      </c>
      <c r="D31" s="16" t="e">
        <f>N12</f>
        <v>#DIV/0!</v>
      </c>
      <c r="E31" s="70" t="e">
        <f>1/(1+E$21)^10</f>
        <v>#VALUE!</v>
      </c>
      <c r="F31" s="13" t="e">
        <f t="shared" si="6"/>
        <v>#DIV/0!</v>
      </c>
      <c r="G31" s="75">
        <f t="shared" si="10"/>
        <v>2029</v>
      </c>
      <c r="H31" s="16" t="e">
        <f>N13</f>
        <v>#N/A</v>
      </c>
      <c r="I31" s="70" t="e">
        <f>1/(1+I$21)^10</f>
        <v>#VALUE!</v>
      </c>
      <c r="J31" s="13" t="e">
        <f t="shared" si="7"/>
        <v>#N/A</v>
      </c>
      <c r="K31" s="75">
        <f t="shared" si="11"/>
        <v>2029</v>
      </c>
      <c r="L31" s="16" t="e">
        <f>N14</f>
        <v>#DIV/0!</v>
      </c>
      <c r="M31" s="70" t="e">
        <f>1/(1+M$21)^10</f>
        <v>#VALUE!</v>
      </c>
      <c r="N31" s="13" t="e">
        <f t="shared" si="8"/>
        <v>#DIV/0!</v>
      </c>
    </row>
    <row r="32" spans="2:14" x14ac:dyDescent="0.25">
      <c r="B32" s="1"/>
      <c r="C32" s="1"/>
      <c r="D32" s="1" t="s">
        <v>50</v>
      </c>
      <c r="E32" s="1"/>
      <c r="F32" s="7" t="e">
        <f>SUM(F22:F31)</f>
        <v>#VALUE!</v>
      </c>
      <c r="G32" s="1"/>
      <c r="H32" s="1" t="s">
        <v>56</v>
      </c>
      <c r="I32" s="1"/>
      <c r="J32" s="7" t="e">
        <f>SUM(J22:J31)</f>
        <v>#N/A</v>
      </c>
      <c r="K32" s="1"/>
      <c r="L32" s="1" t="s">
        <v>58</v>
      </c>
      <c r="M32" s="1"/>
      <c r="N32" s="7" t="e">
        <f>SUM(N22:N31)</f>
        <v>#N/A</v>
      </c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33" t="s">
        <v>78</v>
      </c>
      <c r="C34" s="1"/>
      <c r="D34" s="1" t="s">
        <v>104</v>
      </c>
      <c r="E34" s="1"/>
      <c r="F34" s="5">
        <f>Calcs!F14</f>
        <v>0</v>
      </c>
      <c r="G34" s="1"/>
      <c r="H34" s="1" t="s">
        <v>63</v>
      </c>
      <c r="I34" s="1"/>
      <c r="J34" s="7" t="e">
        <f>E13</f>
        <v>#N/A</v>
      </c>
      <c r="K34" s="1"/>
      <c r="L34" s="1" t="s">
        <v>62</v>
      </c>
      <c r="M34" s="1"/>
      <c r="N34" s="5" t="e">
        <f>F34-J34</f>
        <v>#N/A</v>
      </c>
    </row>
    <row r="35" spans="2:14" x14ac:dyDescent="0.25">
      <c r="B35" s="1"/>
      <c r="C35" s="1"/>
      <c r="D35" s="6" t="s">
        <v>60</v>
      </c>
      <c r="E35" s="6"/>
      <c r="F35" s="16" t="e">
        <f>Calcs!C57</f>
        <v>#DIV/0!</v>
      </c>
      <c r="G35" s="1"/>
      <c r="H35" s="6" t="s">
        <v>61</v>
      </c>
      <c r="I35" s="6"/>
      <c r="J35" s="16" t="e">
        <f>Calcs!C58</f>
        <v>#N/A</v>
      </c>
      <c r="K35" s="1"/>
      <c r="L35" s="6" t="s">
        <v>59</v>
      </c>
      <c r="M35" s="6"/>
      <c r="N35" s="16" t="e">
        <f>F35-J35</f>
        <v>#DIV/0!</v>
      </c>
    </row>
    <row r="36" spans="2:14" x14ac:dyDescent="0.25">
      <c r="B36" s="1"/>
      <c r="C36" s="1"/>
      <c r="D36" s="1"/>
      <c r="E36" s="1"/>
      <c r="F36" s="5" t="e">
        <f>SUM(F34:F35)</f>
        <v>#DIV/0!</v>
      </c>
      <c r="G36" s="1"/>
      <c r="H36" s="1"/>
      <c r="I36" s="1"/>
      <c r="J36" s="5" t="e">
        <f>SUM(J34:J35)</f>
        <v>#N/A</v>
      </c>
      <c r="K36" s="1"/>
      <c r="L36" s="1"/>
      <c r="M36" s="1"/>
      <c r="N36" s="5" t="e">
        <f>SUM(N34:N35)</f>
        <v>#N/A</v>
      </c>
    </row>
    <row r="37" spans="2:14" x14ac:dyDescent="0.25">
      <c r="B37" s="33" t="s">
        <v>76</v>
      </c>
      <c r="C37" s="1"/>
      <c r="D37" s="31" t="str">
        <f>CONCATENATE("Year 11 Cash Flow of $", ROUND(Calcs!F15,0))</f>
        <v>Year 11 Cash Flow of $0</v>
      </c>
      <c r="E37" s="1"/>
      <c r="F37" s="5"/>
      <c r="G37" s="1"/>
      <c r="I37" s="1"/>
      <c r="J37" s="5"/>
      <c r="K37" s="1"/>
    </row>
    <row r="38" spans="2:14" x14ac:dyDescent="0.25">
      <c r="B38" s="1"/>
      <c r="C38" s="1"/>
      <c r="D38" s="1" t="str">
        <f>CONCATENATE("capitalized at ", Input!D16*100, "% equals")</f>
        <v>capitalized at 0% equals</v>
      </c>
      <c r="E38" s="1"/>
      <c r="F38" s="7" t="e">
        <f>Calcs!F15/Input!D16</f>
        <v>#DIV/0!</v>
      </c>
      <c r="G38" s="1"/>
      <c r="H38" s="1" t="s">
        <v>73</v>
      </c>
      <c r="I38" s="1"/>
      <c r="J38" s="5"/>
      <c r="K38" s="1"/>
      <c r="L38" s="31" t="s">
        <v>124</v>
      </c>
      <c r="M38" s="1"/>
      <c r="N38" s="5" t="e">
        <f>F40</f>
        <v>#DIV/0!</v>
      </c>
    </row>
    <row r="39" spans="2:14" x14ac:dyDescent="0.25">
      <c r="B39" s="1"/>
      <c r="C39" s="1"/>
      <c r="D39" s="31" t="s">
        <v>79</v>
      </c>
      <c r="E39" s="1"/>
      <c r="F39" s="16" t="e">
        <f>F38*Input!D17</f>
        <v>#DIV/0!</v>
      </c>
      <c r="G39" s="1"/>
      <c r="H39" s="31" t="s">
        <v>127</v>
      </c>
      <c r="I39" s="1"/>
      <c r="J39" s="5"/>
      <c r="K39" s="1"/>
      <c r="L39" s="32" t="s">
        <v>74</v>
      </c>
      <c r="M39" s="1"/>
      <c r="N39" s="16" t="e">
        <f>J35</f>
        <v>#N/A</v>
      </c>
    </row>
    <row r="40" spans="2:14" x14ac:dyDescent="0.25">
      <c r="B40" s="1"/>
      <c r="C40" s="1"/>
      <c r="D40" s="31" t="s">
        <v>80</v>
      </c>
      <c r="E40" s="1"/>
      <c r="F40" s="5" t="e">
        <f>F38-F39</f>
        <v>#DIV/0!</v>
      </c>
      <c r="G40" s="1"/>
      <c r="H40" s="1" t="s">
        <v>77</v>
      </c>
      <c r="I40" s="1"/>
      <c r="J40" s="5"/>
      <c r="K40" s="1"/>
      <c r="L40" s="1" t="s">
        <v>75</v>
      </c>
      <c r="M40" s="1"/>
      <c r="N40" s="5" t="e">
        <f>N38-N39</f>
        <v>#DIV/0!</v>
      </c>
    </row>
  </sheetData>
  <mergeCells count="4">
    <mergeCell ref="H3:K3"/>
    <mergeCell ref="D19:F19"/>
    <mergeCell ref="H19:J19"/>
    <mergeCell ref="L19:N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N35"/>
  <sheetViews>
    <sheetView workbookViewId="0"/>
  </sheetViews>
  <sheetFormatPr defaultRowHeight="12.5" x14ac:dyDescent="0.25"/>
  <cols>
    <col min="1" max="1" width="3.7265625" customWidth="1"/>
    <col min="2" max="2" width="27.7265625" customWidth="1"/>
    <col min="3" max="3" width="10.54296875" customWidth="1"/>
    <col min="4" max="14" width="10.7265625" customWidth="1"/>
  </cols>
  <sheetData>
    <row r="1" spans="2:14" ht="15.5" x14ac:dyDescent="0.35">
      <c r="B1" s="8" t="s">
        <v>165</v>
      </c>
    </row>
    <row r="3" spans="2:14" x14ac:dyDescent="0.25">
      <c r="B3" s="45" t="s">
        <v>135</v>
      </c>
      <c r="C3" s="46" t="s">
        <v>106</v>
      </c>
      <c r="D3" s="46" t="s">
        <v>138</v>
      </c>
      <c r="E3" s="45"/>
      <c r="F3" s="46" t="s">
        <v>108</v>
      </c>
      <c r="G3" s="1"/>
      <c r="H3" s="115" t="s">
        <v>103</v>
      </c>
      <c r="I3" s="115"/>
      <c r="J3" s="115"/>
      <c r="K3" s="115"/>
      <c r="M3" s="1"/>
      <c r="N3" s="1"/>
    </row>
    <row r="4" spans="2:14" x14ac:dyDescent="0.25">
      <c r="B4" s="49">
        <f>Input!C4</f>
        <v>0</v>
      </c>
      <c r="C4" s="47" t="s">
        <v>44</v>
      </c>
      <c r="D4" s="48" t="s">
        <v>106</v>
      </c>
      <c r="E4" s="48" t="s">
        <v>45</v>
      </c>
      <c r="F4" s="48" t="s">
        <v>107</v>
      </c>
      <c r="G4" s="1"/>
      <c r="H4" s="10" t="s">
        <v>98</v>
      </c>
      <c r="I4" s="10"/>
      <c r="J4" s="10"/>
      <c r="K4" s="41" t="e">
        <f>(F33/C5)-1</f>
        <v>#DIV/0!</v>
      </c>
      <c r="M4" s="1"/>
      <c r="N4" s="1"/>
    </row>
    <row r="5" spans="2:14" x14ac:dyDescent="0.25">
      <c r="B5" s="10" t="s">
        <v>6</v>
      </c>
      <c r="C5" s="7" t="e">
        <f>Calcs!K34</f>
        <v>#DIV/0!</v>
      </c>
      <c r="D5" s="93" t="e">
        <f>+C5/$C$5</f>
        <v>#DIV/0!</v>
      </c>
      <c r="E5" s="11" t="e">
        <f>IRR(D12:I12,0.1)</f>
        <v>#VALUE!</v>
      </c>
      <c r="F5" s="5" t="e">
        <f>C5/Input!$E$11*1000</f>
        <v>#DIV/0!</v>
      </c>
      <c r="G5" s="1"/>
      <c r="H5" s="10" t="s">
        <v>99</v>
      </c>
      <c r="I5" s="10"/>
      <c r="J5" s="10"/>
      <c r="K5" s="11" t="e">
        <f>RATE(5,,C5,-F33)</f>
        <v>#DIV/0!</v>
      </c>
      <c r="L5" s="1"/>
      <c r="M5" s="1"/>
      <c r="N5" s="1"/>
    </row>
    <row r="6" spans="2:14" x14ac:dyDescent="0.25">
      <c r="B6" s="10" t="s">
        <v>40</v>
      </c>
      <c r="C6" s="7" t="e">
        <f>Calcs!K35</f>
        <v>#DIV/0!</v>
      </c>
      <c r="D6" s="93" t="e">
        <f t="shared" ref="D6:D7" si="0">+C6/$C$5</f>
        <v>#DIV/0!</v>
      </c>
      <c r="E6" s="11" t="e">
        <f>Input!E15*RATE(5*Input!E15,E13/Input!E15,D13,Calcs!K22)</f>
        <v>#DIV/0!</v>
      </c>
      <c r="F6" s="5" t="e">
        <f>C6/Input!$E$11*1000</f>
        <v>#DIV/0!</v>
      </c>
      <c r="G6" s="1"/>
      <c r="H6" s="10" t="s">
        <v>100</v>
      </c>
      <c r="I6" s="10"/>
      <c r="J6" s="10"/>
      <c r="K6" s="11" t="e">
        <f>1-K7</f>
        <v>#DIV/0!</v>
      </c>
      <c r="L6" s="1"/>
      <c r="M6" s="1"/>
      <c r="N6" s="1"/>
    </row>
    <row r="7" spans="2:14" x14ac:dyDescent="0.25">
      <c r="B7" s="12" t="s">
        <v>46</v>
      </c>
      <c r="C7" s="13" t="e">
        <f>C5-C6</f>
        <v>#DIV/0!</v>
      </c>
      <c r="D7" s="94" t="e">
        <f t="shared" si="0"/>
        <v>#DIV/0!</v>
      </c>
      <c r="E7" s="14" t="e">
        <f>IRR(D14:N14,0.1)</f>
        <v>#VALUE!</v>
      </c>
      <c r="F7" s="16" t="e">
        <f>C7/Input!$E$11*1000</f>
        <v>#DIV/0!</v>
      </c>
      <c r="G7" s="1"/>
      <c r="H7" s="10" t="s">
        <v>101</v>
      </c>
      <c r="I7" s="10"/>
      <c r="J7" s="10"/>
      <c r="K7" s="11" t="e">
        <f>((F35/(1+E5)^5)/C5)</f>
        <v>#DIV/0!</v>
      </c>
      <c r="L7" s="1"/>
      <c r="M7" s="1"/>
      <c r="N7" s="1"/>
    </row>
    <row r="8" spans="2:14" x14ac:dyDescent="0.25">
      <c r="B8" s="10"/>
      <c r="C8" s="1"/>
      <c r="D8" s="7"/>
      <c r="E8" s="1"/>
      <c r="F8" s="11"/>
      <c r="G8" s="1"/>
      <c r="H8" s="10" t="s">
        <v>102</v>
      </c>
      <c r="I8" s="10"/>
      <c r="J8" s="10"/>
      <c r="K8" s="41" t="e">
        <f>Input!E20*(1/(1+Input!E18)^(Input!E19-1))/C5</f>
        <v>#N/A</v>
      </c>
      <c r="L8" s="1"/>
      <c r="M8" s="1"/>
      <c r="N8" s="1"/>
    </row>
    <row r="9" spans="2:14" x14ac:dyDescent="0.25">
      <c r="B9" s="10"/>
      <c r="C9" s="1"/>
      <c r="D9" s="7"/>
      <c r="E9" s="1"/>
      <c r="F9" s="11"/>
      <c r="G9" s="1"/>
      <c r="H9" s="12" t="s">
        <v>131</v>
      </c>
      <c r="I9" s="12"/>
      <c r="J9" s="12"/>
      <c r="K9" s="42" t="e">
        <f>+E5</f>
        <v>#VALUE!</v>
      </c>
      <c r="L9" s="1"/>
      <c r="M9" s="1"/>
      <c r="N9" s="1"/>
    </row>
    <row r="10" spans="2:14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49" t="s">
        <v>64</v>
      </c>
      <c r="C11" s="3" t="s">
        <v>15</v>
      </c>
      <c r="D11" s="2">
        <f>Input!E10-1</f>
        <v>2019</v>
      </c>
      <c r="E11" s="2">
        <f>D11+1</f>
        <v>2020</v>
      </c>
      <c r="F11" s="2">
        <f t="shared" ref="F11:I11" si="1">E11+1</f>
        <v>2021</v>
      </c>
      <c r="G11" s="2">
        <f t="shared" si="1"/>
        <v>2022</v>
      </c>
      <c r="H11" s="2">
        <f t="shared" si="1"/>
        <v>2023</v>
      </c>
      <c r="I11" s="2">
        <f t="shared" si="1"/>
        <v>2024</v>
      </c>
      <c r="J11" s="71"/>
      <c r="K11" s="71"/>
      <c r="L11" s="71"/>
      <c r="M11" s="71"/>
      <c r="N11" s="71"/>
    </row>
    <row r="12" spans="2:14" x14ac:dyDescent="0.25">
      <c r="B12" s="10" t="s">
        <v>43</v>
      </c>
      <c r="C12" s="1"/>
      <c r="D12" s="7" t="e">
        <f>-C5</f>
        <v>#DIV/0!</v>
      </c>
      <c r="E12" s="5">
        <f>Calcs!N5</f>
        <v>0</v>
      </c>
      <c r="F12" s="5">
        <f>Calcs!N6</f>
        <v>0</v>
      </c>
      <c r="G12" s="5">
        <f>Calcs!N7</f>
        <v>0</v>
      </c>
      <c r="H12" s="5">
        <f>Calcs!N8</f>
        <v>0</v>
      </c>
      <c r="I12" s="5" t="e">
        <f>Calcs!N9+(Calcs!N10/Input!E16)*(1-Input!E17)</f>
        <v>#DIV/0!</v>
      </c>
      <c r="J12" s="5"/>
      <c r="K12" s="5"/>
      <c r="L12" s="5"/>
      <c r="M12" s="5"/>
      <c r="N12" s="5"/>
    </row>
    <row r="13" spans="2:14" x14ac:dyDescent="0.25">
      <c r="B13" s="10" t="s">
        <v>41</v>
      </c>
      <c r="C13" s="1"/>
      <c r="D13" s="7" t="e">
        <f>-C6</f>
        <v>#DIV/0!</v>
      </c>
      <c r="E13" s="5" t="e">
        <f>$C$6*Calcs!$K$19</f>
        <v>#DIV/0!</v>
      </c>
      <c r="F13" s="5" t="e">
        <f>$C$6*Calcs!$K$19</f>
        <v>#DIV/0!</v>
      </c>
      <c r="G13" s="5" t="e">
        <f>$C$6*Calcs!$K$19</f>
        <v>#DIV/0!</v>
      </c>
      <c r="H13" s="5" t="e">
        <f>$C$6*Calcs!$K$19</f>
        <v>#DIV/0!</v>
      </c>
      <c r="I13" s="5" t="e">
        <f>$C$6*Calcs!$K$19+Calcs!K22</f>
        <v>#DIV/0!</v>
      </c>
      <c r="J13" s="5"/>
      <c r="K13" s="5"/>
      <c r="L13" s="5"/>
      <c r="M13" s="5"/>
      <c r="N13" s="5"/>
    </row>
    <row r="14" spans="2:14" x14ac:dyDescent="0.25">
      <c r="B14" s="10" t="s">
        <v>42</v>
      </c>
      <c r="C14" s="1"/>
      <c r="D14" s="7" t="e">
        <f>-C7</f>
        <v>#DIV/0!</v>
      </c>
      <c r="E14" s="5" t="e">
        <f>E12-E13</f>
        <v>#DIV/0!</v>
      </c>
      <c r="F14" s="5" t="e">
        <f t="shared" ref="F14:I14" si="2">F12-F13</f>
        <v>#DIV/0!</v>
      </c>
      <c r="G14" s="5" t="e">
        <f t="shared" si="2"/>
        <v>#DIV/0!</v>
      </c>
      <c r="H14" s="5" t="e">
        <f t="shared" si="2"/>
        <v>#DIV/0!</v>
      </c>
      <c r="I14" s="5" t="e">
        <f t="shared" si="2"/>
        <v>#DIV/0!</v>
      </c>
      <c r="J14" s="5"/>
      <c r="K14" s="5"/>
      <c r="L14" s="5"/>
      <c r="M14" s="5"/>
      <c r="N14" s="5"/>
    </row>
    <row r="15" spans="2:14" x14ac:dyDescent="0.25">
      <c r="B15" s="58" t="s">
        <v>28</v>
      </c>
      <c r="C15" s="24"/>
      <c r="D15" s="59"/>
      <c r="E15" s="60" t="e">
        <f>E12/E13</f>
        <v>#DIV/0!</v>
      </c>
      <c r="F15" s="60" t="e">
        <f>F12/F13</f>
        <v>#DIV/0!</v>
      </c>
      <c r="G15" s="60" t="e">
        <f>G12/G13</f>
        <v>#DIV/0!</v>
      </c>
      <c r="H15" s="60" t="e">
        <f t="shared" ref="H15" si="3">H12/H13</f>
        <v>#DIV/0!</v>
      </c>
      <c r="I15" s="60" t="e">
        <f>Calcs!N23/$H22</f>
        <v>#DIV/0!</v>
      </c>
      <c r="J15" s="72"/>
      <c r="K15" s="72"/>
      <c r="L15" s="72"/>
      <c r="M15" s="72"/>
      <c r="N15" s="72"/>
    </row>
    <row r="16" spans="2:14" x14ac:dyDescent="0.25">
      <c r="B16" s="61" t="s">
        <v>91</v>
      </c>
      <c r="C16" s="1"/>
      <c r="D16" s="7"/>
      <c r="E16" s="41" t="e">
        <f>E12/$C$6</f>
        <v>#DIV/0!</v>
      </c>
      <c r="F16" s="41" t="e">
        <f>F12/$C$6</f>
        <v>#DIV/0!</v>
      </c>
      <c r="G16" s="41" t="e">
        <f>G12/$C$6</f>
        <v>#DIV/0!</v>
      </c>
      <c r="H16" s="41" t="e">
        <f>H12/$C$6</f>
        <v>#DIV/0!</v>
      </c>
      <c r="I16" s="41" t="e">
        <f>(I12-F35)/$C$6</f>
        <v>#DIV/0!</v>
      </c>
      <c r="J16" s="41"/>
      <c r="K16" s="41"/>
      <c r="L16" s="41"/>
      <c r="M16" s="41"/>
      <c r="N16" s="41"/>
    </row>
    <row r="17" spans="2:14" x14ac:dyDescent="0.25">
      <c r="B17" s="62" t="s">
        <v>115</v>
      </c>
      <c r="C17" s="6"/>
      <c r="D17" s="13"/>
      <c r="E17" s="42" t="e">
        <f>E14/$C$7</f>
        <v>#DIV/0!</v>
      </c>
      <c r="F17" s="42" t="e">
        <f>F14/$C$7</f>
        <v>#DIV/0!</v>
      </c>
      <c r="G17" s="42" t="e">
        <f>G14/$C$7</f>
        <v>#DIV/0!</v>
      </c>
      <c r="H17" s="42" t="e">
        <f>H14/$C$7</f>
        <v>#DIV/0!</v>
      </c>
      <c r="I17" s="42" t="e">
        <f>(I14-N35)/$C$7</f>
        <v>#DIV/0!</v>
      </c>
      <c r="J17" s="41"/>
      <c r="K17" s="41"/>
      <c r="L17" s="41"/>
      <c r="M17" s="41"/>
      <c r="N17" s="41"/>
    </row>
    <row r="18" spans="2:14" x14ac:dyDescent="0.25">
      <c r="B18" s="1"/>
      <c r="C18" s="1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25">
      <c r="B19" s="45" t="s">
        <v>51</v>
      </c>
      <c r="C19" s="1"/>
      <c r="D19" s="116" t="s">
        <v>52</v>
      </c>
      <c r="E19" s="116"/>
      <c r="F19" s="116"/>
      <c r="G19" s="1"/>
      <c r="H19" s="116" t="s">
        <v>53</v>
      </c>
      <c r="I19" s="116"/>
      <c r="J19" s="116"/>
      <c r="K19" s="1"/>
      <c r="L19" s="116" t="s">
        <v>54</v>
      </c>
      <c r="M19" s="116"/>
      <c r="N19" s="116"/>
    </row>
    <row r="20" spans="2:14" x14ac:dyDescent="0.25">
      <c r="B20" s="1"/>
      <c r="C20" s="1"/>
      <c r="D20" s="4" t="s">
        <v>174</v>
      </c>
      <c r="E20" s="4" t="s">
        <v>47</v>
      </c>
      <c r="F20" s="4" t="s">
        <v>48</v>
      </c>
      <c r="G20" s="1"/>
      <c r="H20" s="4" t="s">
        <v>41</v>
      </c>
      <c r="I20" s="4" t="s">
        <v>47</v>
      </c>
      <c r="J20" s="4" t="s">
        <v>48</v>
      </c>
      <c r="K20" s="1"/>
      <c r="L20" s="4" t="s">
        <v>34</v>
      </c>
      <c r="M20" s="4" t="s">
        <v>47</v>
      </c>
      <c r="N20" s="4" t="s">
        <v>48</v>
      </c>
    </row>
    <row r="21" spans="2:14" x14ac:dyDescent="0.25">
      <c r="B21" s="1"/>
      <c r="C21" s="74" t="s">
        <v>15</v>
      </c>
      <c r="D21" s="3" t="s">
        <v>175</v>
      </c>
      <c r="E21" s="27" t="e">
        <f>E5</f>
        <v>#VALUE!</v>
      </c>
      <c r="F21" s="3" t="s">
        <v>49</v>
      </c>
      <c r="G21" s="74" t="s">
        <v>15</v>
      </c>
      <c r="H21" s="3" t="s">
        <v>55</v>
      </c>
      <c r="I21" s="15" t="e">
        <f>IRR(D13:N13,0.1)</f>
        <v>#VALUE!</v>
      </c>
      <c r="J21" s="3" t="s">
        <v>49</v>
      </c>
      <c r="K21" s="74" t="s">
        <v>15</v>
      </c>
      <c r="L21" s="3" t="s">
        <v>57</v>
      </c>
      <c r="M21" s="27" t="e">
        <f>E7</f>
        <v>#VALUE!</v>
      </c>
      <c r="N21" s="3" t="s">
        <v>49</v>
      </c>
    </row>
    <row r="22" spans="2:14" x14ac:dyDescent="0.25">
      <c r="B22" s="1"/>
      <c r="C22" s="77">
        <f>+$E11</f>
        <v>2020</v>
      </c>
      <c r="D22" s="5">
        <f>E12</f>
        <v>0</v>
      </c>
      <c r="E22" s="69" t="e">
        <f>1/(1+E$21)^1</f>
        <v>#VALUE!</v>
      </c>
      <c r="F22" s="7" t="e">
        <f>D22*E22</f>
        <v>#VALUE!</v>
      </c>
      <c r="G22" s="77">
        <f>+$E11</f>
        <v>2020</v>
      </c>
      <c r="H22" s="5" t="e">
        <f>E13</f>
        <v>#DIV/0!</v>
      </c>
      <c r="I22" s="69" t="e">
        <f>1/(1+I$21)^1</f>
        <v>#VALUE!</v>
      </c>
      <c r="J22" s="7" t="e">
        <f>H22*I22</f>
        <v>#DIV/0!</v>
      </c>
      <c r="K22" s="77">
        <f>+$E11</f>
        <v>2020</v>
      </c>
      <c r="L22" s="5" t="e">
        <f>E14</f>
        <v>#DIV/0!</v>
      </c>
      <c r="M22" s="69" t="e">
        <f>1/(1+M$21)^1</f>
        <v>#VALUE!</v>
      </c>
      <c r="N22" s="7" t="e">
        <f>L22*M22</f>
        <v>#DIV/0!</v>
      </c>
    </row>
    <row r="23" spans="2:14" x14ac:dyDescent="0.25">
      <c r="B23" s="1"/>
      <c r="C23" s="77">
        <f>+C22+1</f>
        <v>2021</v>
      </c>
      <c r="D23" s="5">
        <f>F12</f>
        <v>0</v>
      </c>
      <c r="E23" s="69" t="e">
        <f>1/(1+E$21)^2</f>
        <v>#VALUE!</v>
      </c>
      <c r="F23" s="7" t="e">
        <f t="shared" ref="F23:F26" si="4">D23*E23</f>
        <v>#VALUE!</v>
      </c>
      <c r="G23" s="77">
        <f>+G22+1</f>
        <v>2021</v>
      </c>
      <c r="H23" s="5" t="e">
        <f>F13</f>
        <v>#DIV/0!</v>
      </c>
      <c r="I23" s="69" t="e">
        <f>1/(1+I$21)^2</f>
        <v>#VALUE!</v>
      </c>
      <c r="J23" s="7" t="e">
        <f t="shared" ref="J23:J26" si="5">H23*I23</f>
        <v>#DIV/0!</v>
      </c>
      <c r="K23" s="77">
        <f>+K22+1</f>
        <v>2021</v>
      </c>
      <c r="L23" s="5" t="e">
        <f>F14</f>
        <v>#DIV/0!</v>
      </c>
      <c r="M23" s="69" t="e">
        <f>1/(1+M$21)^2</f>
        <v>#VALUE!</v>
      </c>
      <c r="N23" s="7" t="e">
        <f t="shared" ref="N23:N26" si="6">L23*M23</f>
        <v>#DIV/0!</v>
      </c>
    </row>
    <row r="24" spans="2:14" x14ac:dyDescent="0.25">
      <c r="B24" s="1"/>
      <c r="C24" s="77">
        <f t="shared" ref="C24:C26" si="7">+C23+1</f>
        <v>2022</v>
      </c>
      <c r="D24" s="5">
        <f>G12</f>
        <v>0</v>
      </c>
      <c r="E24" s="69" t="e">
        <f>1/(1+E$21)^3</f>
        <v>#VALUE!</v>
      </c>
      <c r="F24" s="7" t="e">
        <f t="shared" si="4"/>
        <v>#VALUE!</v>
      </c>
      <c r="G24" s="77">
        <f t="shared" ref="G24:G26" si="8">+G23+1</f>
        <v>2022</v>
      </c>
      <c r="H24" s="5" t="e">
        <f>G13</f>
        <v>#DIV/0!</v>
      </c>
      <c r="I24" s="69" t="e">
        <f>1/(1+I$21)^3</f>
        <v>#VALUE!</v>
      </c>
      <c r="J24" s="7" t="e">
        <f t="shared" si="5"/>
        <v>#DIV/0!</v>
      </c>
      <c r="K24" s="77">
        <f t="shared" ref="K24:K26" si="9">+K23+1</f>
        <v>2022</v>
      </c>
      <c r="L24" s="5" t="e">
        <f>G14</f>
        <v>#DIV/0!</v>
      </c>
      <c r="M24" s="69" t="e">
        <f>1/(1+M$21)^3</f>
        <v>#VALUE!</v>
      </c>
      <c r="N24" s="7" t="e">
        <f t="shared" si="6"/>
        <v>#DIV/0!</v>
      </c>
    </row>
    <row r="25" spans="2:14" x14ac:dyDescent="0.25">
      <c r="B25" s="1"/>
      <c r="C25" s="77">
        <f t="shared" si="7"/>
        <v>2023</v>
      </c>
      <c r="D25" s="5">
        <f>H12</f>
        <v>0</v>
      </c>
      <c r="E25" s="69" t="e">
        <f>1/(1+E$21)^4</f>
        <v>#VALUE!</v>
      </c>
      <c r="F25" s="7" t="e">
        <f t="shared" si="4"/>
        <v>#VALUE!</v>
      </c>
      <c r="G25" s="77">
        <f t="shared" si="8"/>
        <v>2023</v>
      </c>
      <c r="H25" s="5" t="e">
        <f>H13</f>
        <v>#DIV/0!</v>
      </c>
      <c r="I25" s="69" t="e">
        <f>1/(1+I$21)^4</f>
        <v>#VALUE!</v>
      </c>
      <c r="J25" s="7" t="e">
        <f t="shared" si="5"/>
        <v>#DIV/0!</v>
      </c>
      <c r="K25" s="77">
        <f t="shared" si="9"/>
        <v>2023</v>
      </c>
      <c r="L25" s="5" t="e">
        <f>H14</f>
        <v>#DIV/0!</v>
      </c>
      <c r="M25" s="69" t="e">
        <f>1/(1+M$21)^4</f>
        <v>#VALUE!</v>
      </c>
      <c r="N25" s="7" t="e">
        <f t="shared" si="6"/>
        <v>#DIV/0!</v>
      </c>
    </row>
    <row r="26" spans="2:14" x14ac:dyDescent="0.25">
      <c r="B26" s="1"/>
      <c r="C26" s="77">
        <f t="shared" si="7"/>
        <v>2024</v>
      </c>
      <c r="D26" s="16" t="e">
        <f>I12</f>
        <v>#DIV/0!</v>
      </c>
      <c r="E26" s="70" t="e">
        <f>1/(1+E$21)^5</f>
        <v>#VALUE!</v>
      </c>
      <c r="F26" s="13" t="e">
        <f t="shared" si="4"/>
        <v>#DIV/0!</v>
      </c>
      <c r="G26" s="77">
        <f t="shared" si="8"/>
        <v>2024</v>
      </c>
      <c r="H26" s="16" t="e">
        <f>I13</f>
        <v>#DIV/0!</v>
      </c>
      <c r="I26" s="70" t="e">
        <f>1/(1+I$21)^5</f>
        <v>#VALUE!</v>
      </c>
      <c r="J26" s="13" t="e">
        <f t="shared" si="5"/>
        <v>#DIV/0!</v>
      </c>
      <c r="K26" s="77">
        <f t="shared" si="9"/>
        <v>2024</v>
      </c>
      <c r="L26" s="16" t="e">
        <f>I14</f>
        <v>#DIV/0!</v>
      </c>
      <c r="M26" s="70" t="e">
        <f>1/(1+M$21)^5</f>
        <v>#VALUE!</v>
      </c>
      <c r="N26" s="13" t="e">
        <f t="shared" si="6"/>
        <v>#DIV/0!</v>
      </c>
    </row>
    <row r="27" spans="2:14" x14ac:dyDescent="0.25">
      <c r="B27" s="1"/>
      <c r="C27" s="1"/>
      <c r="D27" s="1" t="s">
        <v>50</v>
      </c>
      <c r="E27" s="1"/>
      <c r="F27" s="7" t="e">
        <f>SUM(F22:F26)</f>
        <v>#VALUE!</v>
      </c>
      <c r="G27" s="1"/>
      <c r="H27" s="1" t="s">
        <v>56</v>
      </c>
      <c r="I27" s="1"/>
      <c r="J27" s="7" t="e">
        <f>SUM(J22:J26)</f>
        <v>#DIV/0!</v>
      </c>
      <c r="K27" s="1"/>
      <c r="L27" s="1" t="s">
        <v>58</v>
      </c>
      <c r="M27" s="1"/>
      <c r="N27" s="7" t="e">
        <f>SUM(N22:N26)</f>
        <v>#DIV/0!</v>
      </c>
    </row>
    <row r="28" spans="2:14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25">
      <c r="B29" s="33" t="s">
        <v>125</v>
      </c>
      <c r="C29" s="1"/>
      <c r="D29" s="1" t="s">
        <v>128</v>
      </c>
      <c r="E29" s="1"/>
      <c r="F29" s="5">
        <f>Calcs!N9</f>
        <v>0</v>
      </c>
      <c r="G29" s="1"/>
      <c r="H29" s="1" t="s">
        <v>129</v>
      </c>
      <c r="I29" s="1"/>
      <c r="J29" s="5" t="e">
        <f>E13</f>
        <v>#DIV/0!</v>
      </c>
      <c r="K29" s="1"/>
      <c r="L29" s="1" t="s">
        <v>130</v>
      </c>
      <c r="M29" s="1"/>
      <c r="N29" s="5" t="e">
        <f>F29-J29</f>
        <v>#DIV/0!</v>
      </c>
    </row>
    <row r="30" spans="2:14" x14ac:dyDescent="0.25">
      <c r="B30" s="1"/>
      <c r="C30" s="1"/>
      <c r="D30" s="6" t="s">
        <v>60</v>
      </c>
      <c r="E30" s="6"/>
      <c r="F30" s="16" t="e">
        <f>Calcs!K21</f>
        <v>#DIV/0!</v>
      </c>
      <c r="G30" s="1"/>
      <c r="H30" s="6" t="s">
        <v>61</v>
      </c>
      <c r="I30" s="6"/>
      <c r="J30" s="16" t="e">
        <f>Calcs!K22</f>
        <v>#DIV/0!</v>
      </c>
      <c r="K30" s="1"/>
      <c r="L30" s="6" t="s">
        <v>59</v>
      </c>
      <c r="M30" s="6"/>
      <c r="N30" s="16" t="e">
        <f>Calcs!K21-Calcs!K22</f>
        <v>#DIV/0!</v>
      </c>
    </row>
    <row r="31" spans="2:14" x14ac:dyDescent="0.25">
      <c r="B31" s="1"/>
      <c r="C31" s="1"/>
      <c r="D31" s="1"/>
      <c r="E31" s="1"/>
      <c r="F31" s="5" t="e">
        <f>SUM(F29:F30)</f>
        <v>#DIV/0!</v>
      </c>
      <c r="G31" s="1"/>
      <c r="H31" s="1"/>
      <c r="I31" s="1"/>
      <c r="J31" s="5" t="e">
        <f>SUM(J29:J30)</f>
        <v>#DIV/0!</v>
      </c>
      <c r="K31" s="1"/>
      <c r="L31" s="1"/>
      <c r="M31" s="1"/>
      <c r="N31" s="5" t="e">
        <f>SUM(N29:N30)</f>
        <v>#DIV/0!</v>
      </c>
    </row>
    <row r="32" spans="2:14" x14ac:dyDescent="0.25">
      <c r="B32" s="33" t="s">
        <v>76</v>
      </c>
      <c r="C32" s="1"/>
      <c r="D32" s="31" t="str">
        <f>CONCATENATE("Year 6 Cash Flow of $", ROUND(Calcs!N10,0))</f>
        <v>Year 6 Cash Flow of $0</v>
      </c>
      <c r="E32" s="1"/>
      <c r="F32" s="5"/>
      <c r="G32" s="1"/>
      <c r="I32" s="1"/>
      <c r="J32" s="5"/>
      <c r="K32" s="1"/>
    </row>
    <row r="33" spans="2:14" x14ac:dyDescent="0.25">
      <c r="B33" s="1"/>
      <c r="C33" s="1"/>
      <c r="D33" s="1" t="str">
        <f>CONCATENATE("capitalized at ", Input!E16*100, "% equals")</f>
        <v>capitalized at 0% equals</v>
      </c>
      <c r="E33" s="1"/>
      <c r="F33" s="7" t="e">
        <f>Calcs!N10/Input!E16</f>
        <v>#DIV/0!</v>
      </c>
      <c r="G33" s="1"/>
      <c r="H33" s="1" t="s">
        <v>73</v>
      </c>
      <c r="I33" s="1"/>
      <c r="J33" s="5"/>
      <c r="K33" s="1"/>
      <c r="L33" s="31" t="s">
        <v>124</v>
      </c>
      <c r="M33" s="1"/>
      <c r="N33" s="5" t="e">
        <f>F35</f>
        <v>#DIV/0!</v>
      </c>
    </row>
    <row r="34" spans="2:14" x14ac:dyDescent="0.25">
      <c r="B34" s="1"/>
      <c r="C34" s="1"/>
      <c r="D34" s="31" t="s">
        <v>79</v>
      </c>
      <c r="E34" s="1"/>
      <c r="F34" s="16" t="e">
        <f>F33*Input!E17</f>
        <v>#DIV/0!</v>
      </c>
      <c r="G34" s="1"/>
      <c r="H34" s="31" t="s">
        <v>127</v>
      </c>
      <c r="I34" s="1"/>
      <c r="J34" s="5"/>
      <c r="K34" s="1"/>
      <c r="L34" s="32" t="s">
        <v>74</v>
      </c>
      <c r="M34" s="1"/>
      <c r="N34" s="16" t="e">
        <f>J30</f>
        <v>#DIV/0!</v>
      </c>
    </row>
    <row r="35" spans="2:14" x14ac:dyDescent="0.25">
      <c r="B35" s="1"/>
      <c r="C35" s="1"/>
      <c r="D35" s="31" t="s">
        <v>80</v>
      </c>
      <c r="E35" s="1"/>
      <c r="F35" s="5" t="e">
        <f>F33-F34</f>
        <v>#DIV/0!</v>
      </c>
      <c r="G35" s="1"/>
      <c r="H35" s="1" t="s">
        <v>77</v>
      </c>
      <c r="I35" s="1"/>
      <c r="J35" s="5"/>
      <c r="K35" s="1"/>
      <c r="L35" s="1" t="s">
        <v>75</v>
      </c>
      <c r="M35" s="1"/>
      <c r="N35" s="5" t="e">
        <f>N33-N34</f>
        <v>#DIV/0!</v>
      </c>
    </row>
  </sheetData>
  <mergeCells count="4">
    <mergeCell ref="H3:K3"/>
    <mergeCell ref="D19:F19"/>
    <mergeCell ref="H19:J19"/>
    <mergeCell ref="L19:N19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N35"/>
  <sheetViews>
    <sheetView workbookViewId="0"/>
  </sheetViews>
  <sheetFormatPr defaultColWidth="10.7265625" defaultRowHeight="12.5" x14ac:dyDescent="0.25"/>
  <cols>
    <col min="1" max="1" width="3.7265625" customWidth="1"/>
    <col min="2" max="2" width="27.7265625" customWidth="1"/>
    <col min="3" max="3" width="10.54296875" customWidth="1"/>
    <col min="4" max="13" width="10.7265625" customWidth="1"/>
  </cols>
  <sheetData>
    <row r="1" spans="2:14" ht="15.5" x14ac:dyDescent="0.35">
      <c r="B1" s="8" t="s">
        <v>166</v>
      </c>
    </row>
    <row r="3" spans="2:14" x14ac:dyDescent="0.25">
      <c r="B3" s="45" t="s">
        <v>136</v>
      </c>
      <c r="C3" s="46" t="s">
        <v>106</v>
      </c>
      <c r="D3" s="46" t="s">
        <v>138</v>
      </c>
      <c r="E3" s="45"/>
      <c r="F3" s="46" t="s">
        <v>108</v>
      </c>
      <c r="G3" s="1"/>
      <c r="H3" s="115" t="s">
        <v>103</v>
      </c>
      <c r="I3" s="115"/>
      <c r="J3" s="115"/>
      <c r="K3" s="115"/>
      <c r="M3" s="1"/>
      <c r="N3" s="1"/>
    </row>
    <row r="4" spans="2:14" x14ac:dyDescent="0.25">
      <c r="B4" s="49">
        <f>Input!C4</f>
        <v>0</v>
      </c>
      <c r="C4" s="47" t="s">
        <v>44</v>
      </c>
      <c r="D4" s="48" t="s">
        <v>106</v>
      </c>
      <c r="E4" s="48" t="s">
        <v>45</v>
      </c>
      <c r="F4" s="48" t="s">
        <v>107</v>
      </c>
      <c r="G4" s="1"/>
      <c r="H4" s="10" t="s">
        <v>98</v>
      </c>
      <c r="I4" s="10"/>
      <c r="J4" s="10"/>
      <c r="K4" s="41" t="e">
        <f>(F33/C5)-1</f>
        <v>#DIV/0!</v>
      </c>
      <c r="M4" s="1"/>
      <c r="N4" s="1"/>
    </row>
    <row r="5" spans="2:14" x14ac:dyDescent="0.25">
      <c r="B5" s="10" t="s">
        <v>6</v>
      </c>
      <c r="C5" s="7" t="e">
        <f>Calcs!K46</f>
        <v>#N/A</v>
      </c>
      <c r="D5" s="93" t="e">
        <f>+C5/$C$5</f>
        <v>#N/A</v>
      </c>
      <c r="E5" s="11" t="e">
        <f>IRR(D12:N12,0.1)</f>
        <v>#VALUE!</v>
      </c>
      <c r="F5" s="5" t="e">
        <f>C5/Input!E11*1000</f>
        <v>#N/A</v>
      </c>
      <c r="G5" s="1"/>
      <c r="H5" s="10" t="s">
        <v>99</v>
      </c>
      <c r="I5" s="10"/>
      <c r="J5" s="10"/>
      <c r="K5" s="11" t="e">
        <f>RATE(5,,C5,-F33)</f>
        <v>#N/A</v>
      </c>
      <c r="M5" s="1"/>
      <c r="N5" s="1"/>
    </row>
    <row r="6" spans="2:14" x14ac:dyDescent="0.25">
      <c r="B6" s="10" t="s">
        <v>40</v>
      </c>
      <c r="C6" s="7" t="e">
        <f>Calcs!K47</f>
        <v>#N/A</v>
      </c>
      <c r="D6" s="93" t="e">
        <f t="shared" ref="D6:D7" si="0">+C6/$C$5</f>
        <v>#N/A</v>
      </c>
      <c r="E6" s="11" t="e">
        <f>Input!E15*RATE(5*Input!E15,E13/Input!E15,D13,Calcs!K42)</f>
        <v>#N/A</v>
      </c>
      <c r="F6" s="5" t="e">
        <f>C6/Input!E11*1000</f>
        <v>#N/A</v>
      </c>
      <c r="G6" s="1"/>
      <c r="H6" s="10" t="s">
        <v>100</v>
      </c>
      <c r="I6" s="10"/>
      <c r="J6" s="10"/>
      <c r="K6" s="11" t="e">
        <f>1-K7</f>
        <v>#DIV/0!</v>
      </c>
      <c r="M6" s="1"/>
      <c r="N6" s="1"/>
    </row>
    <row r="7" spans="2:14" x14ac:dyDescent="0.25">
      <c r="B7" s="12" t="s">
        <v>46</v>
      </c>
      <c r="C7" s="13" t="e">
        <f>C5-C6</f>
        <v>#N/A</v>
      </c>
      <c r="D7" s="94" t="e">
        <f t="shared" si="0"/>
        <v>#N/A</v>
      </c>
      <c r="E7" s="14" t="e">
        <f>IRR(D14:N14,0.1)</f>
        <v>#VALUE!</v>
      </c>
      <c r="F7" s="16" t="e">
        <f>C7/Input!E11*1000</f>
        <v>#N/A</v>
      </c>
      <c r="G7" s="1"/>
      <c r="H7" s="10" t="s">
        <v>101</v>
      </c>
      <c r="I7" s="10"/>
      <c r="J7" s="10"/>
      <c r="K7" s="11" t="e">
        <f>((F35/(1+E5)^5)/C5)</f>
        <v>#DIV/0!</v>
      </c>
      <c r="M7" s="1"/>
      <c r="N7" s="1"/>
    </row>
    <row r="8" spans="2:14" x14ac:dyDescent="0.25">
      <c r="B8" s="7"/>
      <c r="C8" s="1"/>
      <c r="D8" s="7"/>
      <c r="E8" s="1"/>
      <c r="F8" s="11"/>
      <c r="G8" s="1"/>
      <c r="H8" s="10" t="s">
        <v>102</v>
      </c>
      <c r="I8" s="10"/>
      <c r="J8" s="10"/>
      <c r="K8" s="41" t="e">
        <f>Input!E20*(1/(1+Input!E18)^(Input!E19-1))/C5</f>
        <v>#N/A</v>
      </c>
      <c r="M8" s="1"/>
      <c r="N8" s="1"/>
    </row>
    <row r="9" spans="2:14" x14ac:dyDescent="0.25">
      <c r="B9" s="1"/>
      <c r="C9" s="1"/>
      <c r="D9" s="1"/>
      <c r="E9" s="1"/>
      <c r="F9" s="1"/>
      <c r="G9" s="1"/>
      <c r="H9" s="12" t="s">
        <v>131</v>
      </c>
      <c r="I9" s="12"/>
      <c r="J9" s="12"/>
      <c r="K9" s="14" t="e">
        <f>+E5</f>
        <v>#VALUE!</v>
      </c>
      <c r="L9" s="1"/>
      <c r="M9" s="1"/>
      <c r="N9" s="1"/>
    </row>
    <row r="10" spans="2:14" x14ac:dyDescent="0.25">
      <c r="B10" s="1"/>
      <c r="C10" s="1"/>
      <c r="D10" s="1"/>
      <c r="E10" s="1"/>
      <c r="F10" s="1"/>
      <c r="G10" s="1"/>
      <c r="H10" s="6"/>
      <c r="I10" s="6"/>
      <c r="J10" s="1"/>
      <c r="K10" s="11"/>
      <c r="L10" s="1"/>
      <c r="M10" s="1"/>
      <c r="N10" s="1"/>
    </row>
    <row r="11" spans="2:14" x14ac:dyDescent="0.25">
      <c r="B11" s="64" t="s">
        <v>64</v>
      </c>
      <c r="C11" s="3" t="s">
        <v>15</v>
      </c>
      <c r="D11" s="2">
        <f>Input!D10</f>
        <v>2020</v>
      </c>
      <c r="E11" s="2">
        <f>D11+1</f>
        <v>2021</v>
      </c>
      <c r="F11" s="2">
        <f t="shared" ref="F11:I11" si="1">E11+1</f>
        <v>2022</v>
      </c>
      <c r="G11" s="2">
        <f t="shared" si="1"/>
        <v>2023</v>
      </c>
      <c r="H11" s="2">
        <f t="shared" si="1"/>
        <v>2024</v>
      </c>
      <c r="I11" s="2">
        <f t="shared" si="1"/>
        <v>2025</v>
      </c>
      <c r="J11" s="71"/>
      <c r="K11" s="71"/>
      <c r="L11" s="71"/>
      <c r="M11" s="79"/>
      <c r="N11" s="71"/>
    </row>
    <row r="12" spans="2:14" x14ac:dyDescent="0.25">
      <c r="B12" s="10" t="s">
        <v>43</v>
      </c>
      <c r="C12" s="1"/>
      <c r="D12" s="7" t="e">
        <f>-C5</f>
        <v>#N/A</v>
      </c>
      <c r="E12" s="5">
        <f>Calcs!N5</f>
        <v>0</v>
      </c>
      <c r="F12" s="5">
        <f>Calcs!N6</f>
        <v>0</v>
      </c>
      <c r="G12" s="5">
        <f>Calcs!N7</f>
        <v>0</v>
      </c>
      <c r="H12" s="5">
        <f>Calcs!N8</f>
        <v>0</v>
      </c>
      <c r="I12" s="5" t="e">
        <f>Calcs!N9+(Calcs!N10/Input!E16)*(1-Input!E17)</f>
        <v>#DIV/0!</v>
      </c>
      <c r="J12" s="5"/>
      <c r="K12" s="5"/>
      <c r="L12" s="5"/>
      <c r="M12" s="5"/>
      <c r="N12" s="5"/>
    </row>
    <row r="13" spans="2:14" x14ac:dyDescent="0.25">
      <c r="B13" s="10" t="s">
        <v>41</v>
      </c>
      <c r="C13" s="1"/>
      <c r="D13" s="7" t="e">
        <f>-C6</f>
        <v>#N/A</v>
      </c>
      <c r="E13" s="7" t="e">
        <f>Calcs!$K$44/Input!$E$28</f>
        <v>#N/A</v>
      </c>
      <c r="F13" s="7" t="e">
        <f>Calcs!$K$44/Input!$E$28</f>
        <v>#N/A</v>
      </c>
      <c r="G13" s="7" t="e">
        <f>Calcs!$K$44/Input!$E$28</f>
        <v>#N/A</v>
      </c>
      <c r="H13" s="7" t="e">
        <f>Calcs!$K$44/Input!$E$28</f>
        <v>#N/A</v>
      </c>
      <c r="I13" s="7" t="e">
        <f>Calcs!$K$44/Input!$E$28+Calcs!K42</f>
        <v>#N/A</v>
      </c>
      <c r="J13" s="7"/>
      <c r="K13" s="78"/>
      <c r="L13" s="7"/>
      <c r="M13" s="7"/>
      <c r="N13" s="7"/>
    </row>
    <row r="14" spans="2:14" x14ac:dyDescent="0.25">
      <c r="B14" s="12" t="s">
        <v>42</v>
      </c>
      <c r="C14" s="1"/>
      <c r="D14" s="7" t="e">
        <f>-C7</f>
        <v>#N/A</v>
      </c>
      <c r="E14" s="5" t="e">
        <f>E12-E13</f>
        <v>#N/A</v>
      </c>
      <c r="F14" s="5" t="e">
        <f t="shared" ref="F14:I14" si="2">F12-F13</f>
        <v>#N/A</v>
      </c>
      <c r="G14" s="5" t="e">
        <f t="shared" si="2"/>
        <v>#N/A</v>
      </c>
      <c r="H14" s="5" t="e">
        <f t="shared" si="2"/>
        <v>#N/A</v>
      </c>
      <c r="I14" s="5" t="e">
        <f t="shared" si="2"/>
        <v>#DIV/0!</v>
      </c>
      <c r="J14" s="5"/>
      <c r="K14" s="5"/>
      <c r="L14" s="5"/>
      <c r="M14" s="5"/>
      <c r="N14" s="5"/>
    </row>
    <row r="15" spans="2:14" x14ac:dyDescent="0.25">
      <c r="B15" s="58" t="s">
        <v>28</v>
      </c>
      <c r="C15" s="24"/>
      <c r="D15" s="59"/>
      <c r="E15" s="60" t="e">
        <f>E12/E13</f>
        <v>#N/A</v>
      </c>
      <c r="F15" s="60" t="e">
        <f>F12/F13</f>
        <v>#N/A</v>
      </c>
      <c r="G15" s="60" t="e">
        <f>G12/G13</f>
        <v>#N/A</v>
      </c>
      <c r="H15" s="60" t="e">
        <f t="shared" ref="H15" si="3">H12/H13</f>
        <v>#N/A</v>
      </c>
      <c r="I15" s="60" t="e">
        <f>Calcs!N23/$H22</f>
        <v>#N/A</v>
      </c>
      <c r="J15" s="72"/>
      <c r="K15" s="72"/>
      <c r="L15" s="72"/>
      <c r="M15" s="72"/>
      <c r="N15" s="72"/>
    </row>
    <row r="16" spans="2:14" x14ac:dyDescent="0.25">
      <c r="B16" s="61" t="s">
        <v>91</v>
      </c>
      <c r="C16" s="1"/>
      <c r="D16" s="7"/>
      <c r="E16" s="41" t="e">
        <f>E12/$C$6</f>
        <v>#N/A</v>
      </c>
      <c r="F16" s="41" t="e">
        <f>F12/$C$6</f>
        <v>#N/A</v>
      </c>
      <c r="G16" s="41" t="e">
        <f>G12/$C$6</f>
        <v>#N/A</v>
      </c>
      <c r="H16" s="41" t="e">
        <f>H12/$C$6</f>
        <v>#N/A</v>
      </c>
      <c r="I16" s="41" t="e">
        <f>(I12-$F35)/$C$6</f>
        <v>#DIV/0!</v>
      </c>
      <c r="J16" s="41"/>
      <c r="K16" s="41"/>
      <c r="L16" s="41"/>
      <c r="M16" s="41"/>
      <c r="N16" s="41"/>
    </row>
    <row r="17" spans="2:14" x14ac:dyDescent="0.25">
      <c r="B17" s="62" t="s">
        <v>115</v>
      </c>
      <c r="C17" s="6"/>
      <c r="D17" s="13"/>
      <c r="E17" s="42" t="e">
        <f>E14/$C$7</f>
        <v>#N/A</v>
      </c>
      <c r="F17" s="42" t="e">
        <f>F14/$C$7</f>
        <v>#N/A</v>
      </c>
      <c r="G17" s="42" t="e">
        <f>G14/$C$7</f>
        <v>#N/A</v>
      </c>
      <c r="H17" s="42" t="e">
        <f>H14/$C$7</f>
        <v>#N/A</v>
      </c>
      <c r="I17" s="42" t="e">
        <f>(I14-$N35)/$C$7</f>
        <v>#DIV/0!</v>
      </c>
      <c r="J17" s="41"/>
      <c r="K17" s="41"/>
      <c r="L17" s="41"/>
      <c r="M17" s="41"/>
      <c r="N17" s="41"/>
    </row>
    <row r="18" spans="2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25">
      <c r="B19" s="45" t="s">
        <v>51</v>
      </c>
      <c r="C19" s="1"/>
      <c r="D19" s="116" t="s">
        <v>52</v>
      </c>
      <c r="E19" s="116"/>
      <c r="F19" s="116"/>
      <c r="G19" s="1"/>
      <c r="H19" s="116" t="s">
        <v>53</v>
      </c>
      <c r="I19" s="116"/>
      <c r="J19" s="116"/>
      <c r="K19" s="1"/>
      <c r="L19" s="116" t="s">
        <v>54</v>
      </c>
      <c r="M19" s="116"/>
      <c r="N19" s="116"/>
    </row>
    <row r="20" spans="2:14" x14ac:dyDescent="0.25">
      <c r="B20" s="1"/>
      <c r="C20" s="1"/>
      <c r="D20" s="4" t="s">
        <v>174</v>
      </c>
      <c r="E20" s="4" t="s">
        <v>47</v>
      </c>
      <c r="F20" s="4" t="s">
        <v>48</v>
      </c>
      <c r="G20" s="1"/>
      <c r="H20" s="4" t="s">
        <v>41</v>
      </c>
      <c r="I20" s="4" t="s">
        <v>47</v>
      </c>
      <c r="J20" s="4" t="s">
        <v>48</v>
      </c>
      <c r="K20" s="1"/>
      <c r="L20" s="4" t="s">
        <v>34</v>
      </c>
      <c r="M20" s="4" t="s">
        <v>47</v>
      </c>
      <c r="N20" s="4" t="s">
        <v>48</v>
      </c>
    </row>
    <row r="21" spans="2:14" x14ac:dyDescent="0.25">
      <c r="B21" s="1"/>
      <c r="C21" s="74" t="s">
        <v>15</v>
      </c>
      <c r="D21" s="3" t="s">
        <v>175</v>
      </c>
      <c r="E21" s="15" t="e">
        <f>E5</f>
        <v>#VALUE!</v>
      </c>
      <c r="F21" s="3" t="s">
        <v>49</v>
      </c>
      <c r="G21" s="74" t="s">
        <v>15</v>
      </c>
      <c r="H21" s="3" t="s">
        <v>55</v>
      </c>
      <c r="I21" s="15" t="e">
        <f>IRR(D13:N13,0.1)</f>
        <v>#VALUE!</v>
      </c>
      <c r="J21" s="3" t="s">
        <v>49</v>
      </c>
      <c r="K21" s="74" t="s">
        <v>15</v>
      </c>
      <c r="L21" s="3" t="s">
        <v>57</v>
      </c>
      <c r="M21" s="15" t="e">
        <f>E7</f>
        <v>#VALUE!</v>
      </c>
      <c r="N21" s="3" t="s">
        <v>49</v>
      </c>
    </row>
    <row r="22" spans="2:14" x14ac:dyDescent="0.25">
      <c r="B22" s="1"/>
      <c r="C22" s="77">
        <f>+$E11</f>
        <v>2021</v>
      </c>
      <c r="D22" s="5">
        <f>E12</f>
        <v>0</v>
      </c>
      <c r="E22" s="69" t="e">
        <f>1/(1+E$21)^1</f>
        <v>#VALUE!</v>
      </c>
      <c r="F22" s="7" t="e">
        <f>D22*E22</f>
        <v>#VALUE!</v>
      </c>
      <c r="G22" s="77">
        <f>+$E11</f>
        <v>2021</v>
      </c>
      <c r="H22" s="5" t="e">
        <f>E13</f>
        <v>#N/A</v>
      </c>
      <c r="I22" s="69" t="e">
        <f>1/(1+I$21)^1</f>
        <v>#VALUE!</v>
      </c>
      <c r="J22" s="7" t="e">
        <f>H22*I22</f>
        <v>#N/A</v>
      </c>
      <c r="K22" s="77">
        <f>+$E11</f>
        <v>2021</v>
      </c>
      <c r="L22" s="5" t="e">
        <f>E14</f>
        <v>#N/A</v>
      </c>
      <c r="M22" s="69" t="e">
        <f>1/(1+M$21)^1</f>
        <v>#VALUE!</v>
      </c>
      <c r="N22" s="7" t="e">
        <f>L22*M22</f>
        <v>#N/A</v>
      </c>
    </row>
    <row r="23" spans="2:14" x14ac:dyDescent="0.25">
      <c r="B23" s="1"/>
      <c r="C23" s="77">
        <f>+C22+1</f>
        <v>2022</v>
      </c>
      <c r="D23" s="5">
        <f>F12</f>
        <v>0</v>
      </c>
      <c r="E23" s="69" t="e">
        <f>1/(1+E$21)^2</f>
        <v>#VALUE!</v>
      </c>
      <c r="F23" s="7" t="e">
        <f t="shared" ref="F23:F26" si="4">D23*E23</f>
        <v>#VALUE!</v>
      </c>
      <c r="G23" s="77">
        <f>+G22+1</f>
        <v>2022</v>
      </c>
      <c r="H23" s="5" t="e">
        <f>F13</f>
        <v>#N/A</v>
      </c>
      <c r="I23" s="69" t="e">
        <f>1/(1+I$21)^2</f>
        <v>#VALUE!</v>
      </c>
      <c r="J23" s="7" t="e">
        <f t="shared" ref="J23:J26" si="5">H23*I23</f>
        <v>#N/A</v>
      </c>
      <c r="K23" s="77">
        <f>+K22+1</f>
        <v>2022</v>
      </c>
      <c r="L23" s="5" t="e">
        <f>F14</f>
        <v>#N/A</v>
      </c>
      <c r="M23" s="69" t="e">
        <f>1/(1+M$21)^2</f>
        <v>#VALUE!</v>
      </c>
      <c r="N23" s="7" t="e">
        <f t="shared" ref="N23:N26" si="6">L23*M23</f>
        <v>#N/A</v>
      </c>
    </row>
    <row r="24" spans="2:14" x14ac:dyDescent="0.25">
      <c r="B24" s="1"/>
      <c r="C24" s="77">
        <f t="shared" ref="C24:C26" si="7">+C23+1</f>
        <v>2023</v>
      </c>
      <c r="D24" s="5">
        <f>G12</f>
        <v>0</v>
      </c>
      <c r="E24" s="69" t="e">
        <f>1/(1+E$21)^3</f>
        <v>#VALUE!</v>
      </c>
      <c r="F24" s="7" t="e">
        <f t="shared" si="4"/>
        <v>#VALUE!</v>
      </c>
      <c r="G24" s="77">
        <f t="shared" ref="G24:G26" si="8">+G23+1</f>
        <v>2023</v>
      </c>
      <c r="H24" s="5" t="e">
        <f>G13</f>
        <v>#N/A</v>
      </c>
      <c r="I24" s="69" t="e">
        <f>1/(1+I$21)^3</f>
        <v>#VALUE!</v>
      </c>
      <c r="J24" s="7" t="e">
        <f t="shared" si="5"/>
        <v>#N/A</v>
      </c>
      <c r="K24" s="77">
        <f t="shared" ref="K24:K26" si="9">+K23+1</f>
        <v>2023</v>
      </c>
      <c r="L24" s="5" t="e">
        <f>G14</f>
        <v>#N/A</v>
      </c>
      <c r="M24" s="69" t="e">
        <f>1/(1+M$21)^3</f>
        <v>#VALUE!</v>
      </c>
      <c r="N24" s="7" t="e">
        <f t="shared" si="6"/>
        <v>#N/A</v>
      </c>
    </row>
    <row r="25" spans="2:14" x14ac:dyDescent="0.25">
      <c r="B25" s="1"/>
      <c r="C25" s="77">
        <f t="shared" si="7"/>
        <v>2024</v>
      </c>
      <c r="D25" s="5">
        <f>H12</f>
        <v>0</v>
      </c>
      <c r="E25" s="69" t="e">
        <f>1/(1+E$21)^4</f>
        <v>#VALUE!</v>
      </c>
      <c r="F25" s="7" t="e">
        <f t="shared" si="4"/>
        <v>#VALUE!</v>
      </c>
      <c r="G25" s="77">
        <f t="shared" si="8"/>
        <v>2024</v>
      </c>
      <c r="H25" s="5" t="e">
        <f>H13</f>
        <v>#N/A</v>
      </c>
      <c r="I25" s="69" t="e">
        <f>1/(1+I$21)^4</f>
        <v>#VALUE!</v>
      </c>
      <c r="J25" s="7" t="e">
        <f t="shared" si="5"/>
        <v>#N/A</v>
      </c>
      <c r="K25" s="77">
        <f t="shared" si="9"/>
        <v>2024</v>
      </c>
      <c r="L25" s="5" t="e">
        <f>H14</f>
        <v>#N/A</v>
      </c>
      <c r="M25" s="69" t="e">
        <f>1/(1+M$21)^4</f>
        <v>#VALUE!</v>
      </c>
      <c r="N25" s="7" t="e">
        <f t="shared" si="6"/>
        <v>#N/A</v>
      </c>
    </row>
    <row r="26" spans="2:14" x14ac:dyDescent="0.25">
      <c r="B26" s="1"/>
      <c r="C26" s="77">
        <f t="shared" si="7"/>
        <v>2025</v>
      </c>
      <c r="D26" s="16" t="e">
        <f>I12</f>
        <v>#DIV/0!</v>
      </c>
      <c r="E26" s="70" t="e">
        <f>1/(1+E$21)^5</f>
        <v>#VALUE!</v>
      </c>
      <c r="F26" s="13" t="e">
        <f t="shared" si="4"/>
        <v>#DIV/0!</v>
      </c>
      <c r="G26" s="77">
        <f t="shared" si="8"/>
        <v>2025</v>
      </c>
      <c r="H26" s="16" t="e">
        <f>I13</f>
        <v>#N/A</v>
      </c>
      <c r="I26" s="70" t="e">
        <f>1/(1+I$21)^5</f>
        <v>#VALUE!</v>
      </c>
      <c r="J26" s="13" t="e">
        <f t="shared" si="5"/>
        <v>#N/A</v>
      </c>
      <c r="K26" s="77">
        <f t="shared" si="9"/>
        <v>2025</v>
      </c>
      <c r="L26" s="16" t="e">
        <f>I14</f>
        <v>#DIV/0!</v>
      </c>
      <c r="M26" s="70" t="e">
        <f>1/(1+M$21)^5</f>
        <v>#VALUE!</v>
      </c>
      <c r="N26" s="13" t="e">
        <f t="shared" si="6"/>
        <v>#DIV/0!</v>
      </c>
    </row>
    <row r="27" spans="2:14" x14ac:dyDescent="0.25">
      <c r="B27" s="1"/>
      <c r="C27" s="1"/>
      <c r="D27" s="1" t="s">
        <v>50</v>
      </c>
      <c r="E27" s="1"/>
      <c r="F27" s="7" t="e">
        <f>SUM(F22:F26)</f>
        <v>#VALUE!</v>
      </c>
      <c r="G27" s="1"/>
      <c r="H27" s="1" t="s">
        <v>56</v>
      </c>
      <c r="I27" s="1"/>
      <c r="J27" s="7" t="e">
        <f>SUM(J22:J26)</f>
        <v>#N/A</v>
      </c>
      <c r="K27" s="1"/>
      <c r="L27" s="1" t="s">
        <v>58</v>
      </c>
      <c r="M27" s="1"/>
      <c r="N27" s="7" t="e">
        <f>SUM(N22:N26)</f>
        <v>#N/A</v>
      </c>
    </row>
    <row r="28" spans="2:14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25">
      <c r="B29" s="33" t="s">
        <v>78</v>
      </c>
      <c r="C29" s="1"/>
      <c r="D29" s="1" t="s">
        <v>128</v>
      </c>
      <c r="E29" s="1"/>
      <c r="F29" s="5">
        <f>Calcs!N9</f>
        <v>0</v>
      </c>
      <c r="G29" s="1"/>
      <c r="H29" s="1" t="s">
        <v>129</v>
      </c>
      <c r="I29" s="1"/>
      <c r="J29" s="7" t="e">
        <f>E13</f>
        <v>#N/A</v>
      </c>
      <c r="K29" s="1"/>
      <c r="L29" s="1" t="s">
        <v>130</v>
      </c>
      <c r="M29" s="1"/>
      <c r="N29" s="5" t="e">
        <f>F29-J29</f>
        <v>#N/A</v>
      </c>
    </row>
    <row r="30" spans="2:14" x14ac:dyDescent="0.25">
      <c r="B30" s="1"/>
      <c r="C30" s="1"/>
      <c r="D30" s="6" t="s">
        <v>60</v>
      </c>
      <c r="E30" s="6"/>
      <c r="F30" s="16" t="e">
        <f>Calcs!K41</f>
        <v>#DIV/0!</v>
      </c>
      <c r="G30" s="1"/>
      <c r="H30" s="6" t="s">
        <v>61</v>
      </c>
      <c r="I30" s="6"/>
      <c r="J30" s="16" t="e">
        <f>Calcs!K42</f>
        <v>#N/A</v>
      </c>
      <c r="K30" s="1"/>
      <c r="L30" s="6" t="s">
        <v>59</v>
      </c>
      <c r="M30" s="6"/>
      <c r="N30" s="16" t="e">
        <f>F30-J30</f>
        <v>#DIV/0!</v>
      </c>
    </row>
    <row r="31" spans="2:14" x14ac:dyDescent="0.25">
      <c r="B31" s="1"/>
      <c r="C31" s="1"/>
      <c r="D31" s="1"/>
      <c r="E31" s="1"/>
      <c r="F31" s="5" t="e">
        <f>SUM(F29:F30)</f>
        <v>#DIV/0!</v>
      </c>
      <c r="G31" s="1"/>
      <c r="H31" s="1"/>
      <c r="I31" s="1"/>
      <c r="J31" s="7" t="e">
        <f>SUM(J29:J30)</f>
        <v>#N/A</v>
      </c>
      <c r="K31" s="1"/>
      <c r="L31" s="1"/>
      <c r="M31" s="1"/>
      <c r="N31" s="5" t="e">
        <f>SUM(N29:N30)</f>
        <v>#N/A</v>
      </c>
    </row>
    <row r="32" spans="2:14" x14ac:dyDescent="0.25">
      <c r="B32" s="33" t="s">
        <v>76</v>
      </c>
      <c r="C32" s="1"/>
      <c r="D32" s="31" t="str">
        <f>CONCATENATE("Year 6 Cash Flow of $", ROUND(Calcs!N10,0))</f>
        <v>Year 6 Cash Flow of $0</v>
      </c>
      <c r="E32" s="1"/>
      <c r="F32" s="5"/>
      <c r="G32" s="1"/>
      <c r="I32" s="1"/>
      <c r="J32" s="5"/>
      <c r="K32" s="1"/>
    </row>
    <row r="33" spans="2:14" x14ac:dyDescent="0.25">
      <c r="B33" s="1"/>
      <c r="C33" s="1"/>
      <c r="D33" s="1" t="str">
        <f>CONCATENATE("capitalized at ", Input!D16*100, "% equals")</f>
        <v>capitalized at 0% equals</v>
      </c>
      <c r="E33" s="1"/>
      <c r="F33" s="7" t="e">
        <f>Calcs!N10/Input!E16</f>
        <v>#DIV/0!</v>
      </c>
      <c r="G33" s="1"/>
      <c r="H33" s="1" t="s">
        <v>73</v>
      </c>
      <c r="I33" s="1"/>
      <c r="J33" s="5"/>
      <c r="K33" s="1"/>
      <c r="L33" s="31" t="s">
        <v>124</v>
      </c>
      <c r="M33" s="1"/>
      <c r="N33" s="5" t="e">
        <f>F35</f>
        <v>#DIV/0!</v>
      </c>
    </row>
    <row r="34" spans="2:14" x14ac:dyDescent="0.25">
      <c r="B34" s="1"/>
      <c r="C34" s="1"/>
      <c r="D34" s="31" t="s">
        <v>79</v>
      </c>
      <c r="E34" s="1"/>
      <c r="F34" s="16" t="e">
        <f>F33*Input!E17</f>
        <v>#DIV/0!</v>
      </c>
      <c r="G34" s="1"/>
      <c r="H34" s="31" t="s">
        <v>127</v>
      </c>
      <c r="I34" s="1"/>
      <c r="J34" s="5"/>
      <c r="K34" s="1"/>
      <c r="L34" s="32" t="s">
        <v>74</v>
      </c>
      <c r="M34" s="1"/>
      <c r="N34" s="16" t="e">
        <f>J30</f>
        <v>#N/A</v>
      </c>
    </row>
    <row r="35" spans="2:14" x14ac:dyDescent="0.25">
      <c r="B35" s="1"/>
      <c r="C35" s="1"/>
      <c r="D35" s="31" t="s">
        <v>80</v>
      </c>
      <c r="E35" s="1"/>
      <c r="F35" s="5" t="e">
        <f>F33-F34</f>
        <v>#DIV/0!</v>
      </c>
      <c r="G35" s="1"/>
      <c r="H35" s="1" t="s">
        <v>77</v>
      </c>
      <c r="I35" s="1"/>
      <c r="J35" s="5"/>
      <c r="K35" s="1"/>
      <c r="L35" s="1" t="s">
        <v>75</v>
      </c>
      <c r="M35" s="1"/>
      <c r="N35" s="5" t="e">
        <f>N33-N34</f>
        <v>#DIV/0!</v>
      </c>
    </row>
  </sheetData>
  <mergeCells count="4">
    <mergeCell ref="H3:K3"/>
    <mergeCell ref="D19:F19"/>
    <mergeCell ref="H19:J19"/>
    <mergeCell ref="L19:N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N35"/>
  <sheetViews>
    <sheetView workbookViewId="0"/>
  </sheetViews>
  <sheetFormatPr defaultRowHeight="12.5" x14ac:dyDescent="0.25"/>
  <cols>
    <col min="1" max="1" width="3.7265625" customWidth="1"/>
    <col min="2" max="2" width="27.7265625" customWidth="1"/>
    <col min="3" max="3" width="10.54296875" customWidth="1"/>
    <col min="4" max="14" width="10.7265625" customWidth="1"/>
  </cols>
  <sheetData>
    <row r="1" spans="2:14" ht="15.5" x14ac:dyDescent="0.35">
      <c r="B1" s="8" t="s">
        <v>167</v>
      </c>
    </row>
    <row r="3" spans="2:14" x14ac:dyDescent="0.25">
      <c r="B3" s="45" t="s">
        <v>137</v>
      </c>
      <c r="C3" s="46" t="s">
        <v>106</v>
      </c>
      <c r="D3" s="46" t="s">
        <v>138</v>
      </c>
      <c r="E3" s="45"/>
      <c r="F3" s="46" t="s">
        <v>108</v>
      </c>
      <c r="G3" s="1"/>
      <c r="H3" s="115" t="s">
        <v>103</v>
      </c>
      <c r="I3" s="115"/>
      <c r="J3" s="115"/>
      <c r="K3" s="115"/>
      <c r="M3" s="1"/>
      <c r="N3" s="1"/>
    </row>
    <row r="4" spans="2:14" x14ac:dyDescent="0.25">
      <c r="B4" s="49">
        <f>Input!C4</f>
        <v>0</v>
      </c>
      <c r="C4" s="47" t="s">
        <v>44</v>
      </c>
      <c r="D4" s="48" t="s">
        <v>106</v>
      </c>
      <c r="E4" s="48" t="s">
        <v>45</v>
      </c>
      <c r="F4" s="48" t="s">
        <v>107</v>
      </c>
      <c r="G4" s="1"/>
      <c r="H4" s="10" t="s">
        <v>98</v>
      </c>
      <c r="I4" s="10"/>
      <c r="J4" s="10"/>
      <c r="K4" s="41" t="e">
        <f>(F33/C5)-1</f>
        <v>#DIV/0!</v>
      </c>
      <c r="M4" s="1"/>
      <c r="N4" s="1"/>
    </row>
    <row r="5" spans="2:14" x14ac:dyDescent="0.25">
      <c r="B5" s="10" t="s">
        <v>6</v>
      </c>
      <c r="C5" s="7" t="e">
        <f>Calcs!K62</f>
        <v>#N/A</v>
      </c>
      <c r="D5" s="93" t="e">
        <f>+C5/$C$5</f>
        <v>#N/A</v>
      </c>
      <c r="E5" s="11" t="e">
        <f>IRR(D12:I12,0.1)</f>
        <v>#VALUE!</v>
      </c>
      <c r="F5" s="5" t="e">
        <f>C5/Input!E11*1000</f>
        <v>#N/A</v>
      </c>
      <c r="G5" s="1"/>
      <c r="H5" s="10" t="s">
        <v>99</v>
      </c>
      <c r="I5" s="10"/>
      <c r="J5" s="10"/>
      <c r="K5" s="11" t="e">
        <f>RATE(5,,C5,-F33)</f>
        <v>#N/A</v>
      </c>
      <c r="M5" s="1"/>
      <c r="N5" s="1"/>
    </row>
    <row r="6" spans="2:14" x14ac:dyDescent="0.25">
      <c r="B6" s="10" t="s">
        <v>40</v>
      </c>
      <c r="C6" s="7" t="e">
        <f>Calcs!K63</f>
        <v>#N/A</v>
      </c>
      <c r="D6" s="93" t="e">
        <f t="shared" ref="D6:D7" si="0">+C6/$C$5</f>
        <v>#N/A</v>
      </c>
      <c r="E6" s="11" t="e">
        <f>Input!E15*RATE(5*Input!E15,E13/Input!E15,D13,Calcs!K58)</f>
        <v>#N/A</v>
      </c>
      <c r="F6" s="5" t="e">
        <f>C6/Input!E11*1000</f>
        <v>#N/A</v>
      </c>
      <c r="G6" s="1"/>
      <c r="H6" s="10" t="s">
        <v>100</v>
      </c>
      <c r="I6" s="10"/>
      <c r="J6" s="10"/>
      <c r="K6" s="11" t="e">
        <f>1-K7</f>
        <v>#DIV/0!</v>
      </c>
      <c r="M6" s="1"/>
      <c r="N6" s="1"/>
    </row>
    <row r="7" spans="2:14" x14ac:dyDescent="0.25">
      <c r="B7" s="12" t="s">
        <v>46</v>
      </c>
      <c r="C7" s="13" t="e">
        <f>C5-C6</f>
        <v>#N/A</v>
      </c>
      <c r="D7" s="94" t="e">
        <f t="shared" si="0"/>
        <v>#N/A</v>
      </c>
      <c r="E7" s="14" t="e">
        <f>IRR(D14:N14,0.1)</f>
        <v>#VALUE!</v>
      </c>
      <c r="F7" s="16" t="e">
        <f>C7/Input!E11*1000</f>
        <v>#N/A</v>
      </c>
      <c r="G7" s="1"/>
      <c r="H7" s="10" t="s">
        <v>101</v>
      </c>
      <c r="I7" s="10"/>
      <c r="J7" s="10"/>
      <c r="K7" s="11" t="e">
        <f>((F35/(1+E5)^5)/C5)</f>
        <v>#DIV/0!</v>
      </c>
      <c r="M7" s="1"/>
      <c r="N7" s="1"/>
    </row>
    <row r="8" spans="2:14" x14ac:dyDescent="0.25">
      <c r="B8" s="7"/>
      <c r="C8" s="1"/>
      <c r="D8" s="7"/>
      <c r="E8" s="1"/>
      <c r="F8" s="11"/>
      <c r="G8" s="1"/>
      <c r="H8" s="10" t="s">
        <v>102</v>
      </c>
      <c r="I8" s="10"/>
      <c r="J8" s="10"/>
      <c r="K8" s="41" t="e">
        <f>Input!E20*(1/(1+Input!E18)^(Input!E19-1))/C5</f>
        <v>#N/A</v>
      </c>
      <c r="M8" s="1"/>
      <c r="N8" s="1"/>
    </row>
    <row r="9" spans="2:14" x14ac:dyDescent="0.25">
      <c r="B9" s="1"/>
      <c r="C9" s="1"/>
      <c r="D9" s="1"/>
      <c r="E9" s="1"/>
      <c r="F9" s="1"/>
      <c r="G9" s="1"/>
      <c r="H9" s="12" t="s">
        <v>131</v>
      </c>
      <c r="I9" s="12"/>
      <c r="J9" s="12"/>
      <c r="K9" s="14" t="e">
        <f>+E5</f>
        <v>#VALUE!</v>
      </c>
      <c r="L9" s="1"/>
      <c r="M9" s="1"/>
      <c r="N9" s="1"/>
    </row>
    <row r="10" spans="2:14" x14ac:dyDescent="0.25">
      <c r="B10" s="1"/>
      <c r="C10" s="1"/>
      <c r="D10" s="1"/>
      <c r="E10" s="1"/>
      <c r="F10" s="1"/>
      <c r="G10" s="1"/>
      <c r="H10" s="6"/>
      <c r="I10" s="6"/>
      <c r="J10" s="1"/>
      <c r="K10" s="11"/>
      <c r="L10" s="1"/>
      <c r="M10" s="1"/>
      <c r="N10" s="1"/>
    </row>
    <row r="11" spans="2:14" x14ac:dyDescent="0.25">
      <c r="B11" s="64" t="s">
        <v>64</v>
      </c>
      <c r="C11" s="3" t="s">
        <v>15</v>
      </c>
      <c r="D11" s="2">
        <f>Input!D10</f>
        <v>2020</v>
      </c>
      <c r="E11" s="2">
        <f>D11+1</f>
        <v>2021</v>
      </c>
      <c r="F11" s="2">
        <f t="shared" ref="F11:I11" si="1">E11+1</f>
        <v>2022</v>
      </c>
      <c r="G11" s="2">
        <f t="shared" si="1"/>
        <v>2023</v>
      </c>
      <c r="H11" s="2">
        <f t="shared" si="1"/>
        <v>2024</v>
      </c>
      <c r="I11" s="2">
        <f t="shared" si="1"/>
        <v>2025</v>
      </c>
      <c r="J11" s="71"/>
      <c r="K11" s="71"/>
      <c r="L11" s="71"/>
      <c r="M11" s="71"/>
      <c r="N11" s="71"/>
    </row>
    <row r="12" spans="2:14" x14ac:dyDescent="0.25">
      <c r="B12" s="10" t="s">
        <v>43</v>
      </c>
      <c r="C12" s="1"/>
      <c r="D12" s="7" t="e">
        <f>-C5</f>
        <v>#N/A</v>
      </c>
      <c r="E12" s="5">
        <f>Calcs!N5</f>
        <v>0</v>
      </c>
      <c r="F12" s="5">
        <f>Calcs!N6</f>
        <v>0</v>
      </c>
      <c r="G12" s="5">
        <f>Calcs!N7</f>
        <v>0</v>
      </c>
      <c r="H12" s="5">
        <f>Calcs!N8</f>
        <v>0</v>
      </c>
      <c r="I12" s="5" t="e">
        <f>Calcs!N9+(Calcs!N10/Input!E16)*(1-Input!E17)</f>
        <v>#DIV/0!</v>
      </c>
      <c r="J12" s="5"/>
      <c r="K12" s="5"/>
      <c r="L12" s="5"/>
      <c r="M12" s="5"/>
      <c r="N12" s="5"/>
    </row>
    <row r="13" spans="2:14" x14ac:dyDescent="0.25">
      <c r="B13" s="10" t="s">
        <v>41</v>
      </c>
      <c r="C13" s="1"/>
      <c r="D13" s="7" t="e">
        <f>-C6</f>
        <v>#N/A</v>
      </c>
      <c r="E13" s="7" t="e">
        <f>Calcs!$K$63*Calcs!$K$55</f>
        <v>#N/A</v>
      </c>
      <c r="F13" s="7" t="e">
        <f>Calcs!$K$63*Calcs!$K$55</f>
        <v>#N/A</v>
      </c>
      <c r="G13" s="7" t="e">
        <f>Calcs!$K$63*Calcs!$K$55</f>
        <v>#N/A</v>
      </c>
      <c r="H13" s="7" t="e">
        <f>Calcs!$K$63*Calcs!$K$55</f>
        <v>#N/A</v>
      </c>
      <c r="I13" s="5" t="e">
        <f>(Calcs!$K$63*Calcs!$K$55)+Calcs!K58</f>
        <v>#N/A</v>
      </c>
      <c r="J13" s="7"/>
      <c r="K13" s="7"/>
      <c r="L13" s="7"/>
      <c r="M13" s="7"/>
      <c r="N13" s="7"/>
    </row>
    <row r="14" spans="2:14" x14ac:dyDescent="0.25">
      <c r="B14" s="12" t="s">
        <v>42</v>
      </c>
      <c r="C14" s="1"/>
      <c r="D14" s="7" t="e">
        <f>-C7</f>
        <v>#N/A</v>
      </c>
      <c r="E14" s="5" t="e">
        <f>E12-E13</f>
        <v>#N/A</v>
      </c>
      <c r="F14" s="5" t="e">
        <f t="shared" ref="F14:I14" si="2">F12-F13</f>
        <v>#N/A</v>
      </c>
      <c r="G14" s="5" t="e">
        <f t="shared" si="2"/>
        <v>#N/A</v>
      </c>
      <c r="H14" s="5" t="e">
        <f t="shared" si="2"/>
        <v>#N/A</v>
      </c>
      <c r="I14" s="5" t="e">
        <f t="shared" si="2"/>
        <v>#DIV/0!</v>
      </c>
      <c r="J14" s="5"/>
      <c r="K14" s="5"/>
      <c r="L14" s="5"/>
      <c r="M14" s="5"/>
      <c r="N14" s="5"/>
    </row>
    <row r="15" spans="2:14" x14ac:dyDescent="0.25">
      <c r="B15" s="58" t="s">
        <v>28</v>
      </c>
      <c r="C15" s="24"/>
      <c r="D15" s="59"/>
      <c r="E15" s="60" t="e">
        <f>E12/E13</f>
        <v>#N/A</v>
      </c>
      <c r="F15" s="60" t="e">
        <f>F12/F13</f>
        <v>#N/A</v>
      </c>
      <c r="G15" s="60" t="e">
        <f>G12/G13</f>
        <v>#N/A</v>
      </c>
      <c r="H15" s="60" t="e">
        <f t="shared" ref="H15" si="3">H12/H13</f>
        <v>#N/A</v>
      </c>
      <c r="I15" s="60" t="e">
        <f>Calcs!N23/$H22</f>
        <v>#N/A</v>
      </c>
      <c r="J15" s="72"/>
      <c r="K15" s="72"/>
      <c r="L15" s="72"/>
      <c r="M15" s="72"/>
      <c r="N15" s="72"/>
    </row>
    <row r="16" spans="2:14" x14ac:dyDescent="0.25">
      <c r="B16" s="61" t="s">
        <v>91</v>
      </c>
      <c r="C16" s="1"/>
      <c r="D16" s="7"/>
      <c r="E16" s="41" t="e">
        <f>E12/$C$6</f>
        <v>#N/A</v>
      </c>
      <c r="F16" s="41" t="e">
        <f>F12/$C$6</f>
        <v>#N/A</v>
      </c>
      <c r="G16" s="41" t="e">
        <f>G12/$C$6</f>
        <v>#N/A</v>
      </c>
      <c r="H16" s="41" t="e">
        <f>H12/$C$6</f>
        <v>#N/A</v>
      </c>
      <c r="I16" s="41" t="e">
        <f>(I12-$F35)/$C$6</f>
        <v>#DIV/0!</v>
      </c>
      <c r="J16" s="41"/>
      <c r="K16" s="41"/>
      <c r="L16" s="41"/>
      <c r="M16" s="41"/>
      <c r="N16" s="41"/>
    </row>
    <row r="17" spans="2:14" x14ac:dyDescent="0.25">
      <c r="B17" s="62" t="s">
        <v>115</v>
      </c>
      <c r="C17" s="6"/>
      <c r="D17" s="13"/>
      <c r="E17" s="42" t="e">
        <f>E14/$C$7</f>
        <v>#N/A</v>
      </c>
      <c r="F17" s="42" t="e">
        <f>F14/$C$7</f>
        <v>#N/A</v>
      </c>
      <c r="G17" s="42" t="e">
        <f>G14/$C$7</f>
        <v>#N/A</v>
      </c>
      <c r="H17" s="42" t="e">
        <f>H14/$C$7</f>
        <v>#N/A</v>
      </c>
      <c r="I17" s="42" t="e">
        <f>(I14-$N35)/$C$7</f>
        <v>#DIV/0!</v>
      </c>
      <c r="J17" s="41"/>
      <c r="K17" s="41"/>
      <c r="L17" s="41"/>
      <c r="M17" s="41"/>
      <c r="N17" s="41"/>
    </row>
    <row r="18" spans="2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25">
      <c r="B19" s="45" t="s">
        <v>51</v>
      </c>
      <c r="C19" s="1"/>
      <c r="D19" s="116" t="s">
        <v>52</v>
      </c>
      <c r="E19" s="116"/>
      <c r="F19" s="116"/>
      <c r="G19" s="1"/>
      <c r="H19" s="116" t="s">
        <v>53</v>
      </c>
      <c r="I19" s="116"/>
      <c r="J19" s="116"/>
      <c r="K19" s="1"/>
      <c r="L19" s="116" t="s">
        <v>54</v>
      </c>
      <c r="M19" s="116"/>
      <c r="N19" s="116"/>
    </row>
    <row r="20" spans="2:14" x14ac:dyDescent="0.25">
      <c r="B20" s="1"/>
      <c r="C20" s="1"/>
      <c r="D20" s="4" t="s">
        <v>174</v>
      </c>
      <c r="E20" s="4" t="s">
        <v>47</v>
      </c>
      <c r="F20" s="4" t="s">
        <v>48</v>
      </c>
      <c r="G20" s="1"/>
      <c r="H20" s="4" t="s">
        <v>41</v>
      </c>
      <c r="I20" s="4" t="s">
        <v>47</v>
      </c>
      <c r="J20" s="4" t="s">
        <v>48</v>
      </c>
      <c r="K20" s="1"/>
      <c r="L20" s="4" t="s">
        <v>34</v>
      </c>
      <c r="M20" s="4" t="s">
        <v>47</v>
      </c>
      <c r="N20" s="4" t="s">
        <v>48</v>
      </c>
    </row>
    <row r="21" spans="2:14" x14ac:dyDescent="0.25">
      <c r="B21" s="1"/>
      <c r="C21" s="74" t="s">
        <v>15</v>
      </c>
      <c r="D21" s="3" t="s">
        <v>175</v>
      </c>
      <c r="E21" s="15" t="e">
        <f>E5</f>
        <v>#VALUE!</v>
      </c>
      <c r="F21" s="3" t="s">
        <v>49</v>
      </c>
      <c r="G21" s="74" t="s">
        <v>15</v>
      </c>
      <c r="H21" s="3" t="s">
        <v>55</v>
      </c>
      <c r="I21" s="15" t="e">
        <f>IRR(D13:N13,0.1)</f>
        <v>#VALUE!</v>
      </c>
      <c r="J21" s="3" t="s">
        <v>49</v>
      </c>
      <c r="K21" s="74" t="s">
        <v>15</v>
      </c>
      <c r="L21" s="3" t="s">
        <v>57</v>
      </c>
      <c r="M21" s="15" t="e">
        <f>E7</f>
        <v>#VALUE!</v>
      </c>
      <c r="N21" s="3" t="s">
        <v>49</v>
      </c>
    </row>
    <row r="22" spans="2:14" x14ac:dyDescent="0.25">
      <c r="B22" s="1"/>
      <c r="C22" s="77">
        <f>+$E11</f>
        <v>2021</v>
      </c>
      <c r="D22" s="5">
        <f>E12</f>
        <v>0</v>
      </c>
      <c r="E22" s="69" t="e">
        <f>1/(1+E$21)^1</f>
        <v>#VALUE!</v>
      </c>
      <c r="F22" s="7" t="e">
        <f>D22*E22</f>
        <v>#VALUE!</v>
      </c>
      <c r="G22" s="77">
        <f>+$E11</f>
        <v>2021</v>
      </c>
      <c r="H22" s="5" t="e">
        <f>E13</f>
        <v>#N/A</v>
      </c>
      <c r="I22" s="69" t="e">
        <f>1/(1+I$21)^1</f>
        <v>#VALUE!</v>
      </c>
      <c r="J22" s="7" t="e">
        <f>H22*I22</f>
        <v>#N/A</v>
      </c>
      <c r="K22" s="77">
        <f>+$E11</f>
        <v>2021</v>
      </c>
      <c r="L22" s="5" t="e">
        <f>E14</f>
        <v>#N/A</v>
      </c>
      <c r="M22" s="69" t="e">
        <f>1/(1+M$21)^1</f>
        <v>#VALUE!</v>
      </c>
      <c r="N22" s="7" t="e">
        <f>L22*M22</f>
        <v>#N/A</v>
      </c>
    </row>
    <row r="23" spans="2:14" x14ac:dyDescent="0.25">
      <c r="B23" s="1"/>
      <c r="C23" s="77">
        <f>+C22+1</f>
        <v>2022</v>
      </c>
      <c r="D23" s="5">
        <f>F12</f>
        <v>0</v>
      </c>
      <c r="E23" s="69" t="e">
        <f>1/(1+E$21)^2</f>
        <v>#VALUE!</v>
      </c>
      <c r="F23" s="7" t="e">
        <f t="shared" ref="F23:F26" si="4">D23*E23</f>
        <v>#VALUE!</v>
      </c>
      <c r="G23" s="77">
        <f>+G22+1</f>
        <v>2022</v>
      </c>
      <c r="H23" s="5" t="e">
        <f>F13</f>
        <v>#N/A</v>
      </c>
      <c r="I23" s="69" t="e">
        <f>1/(1+I$21)^2</f>
        <v>#VALUE!</v>
      </c>
      <c r="J23" s="7" t="e">
        <f t="shared" ref="J23:J26" si="5">H23*I23</f>
        <v>#N/A</v>
      </c>
      <c r="K23" s="77">
        <f>+K22+1</f>
        <v>2022</v>
      </c>
      <c r="L23" s="5" t="e">
        <f>F14</f>
        <v>#N/A</v>
      </c>
      <c r="M23" s="69" t="e">
        <f>1/(1+M$21)^2</f>
        <v>#VALUE!</v>
      </c>
      <c r="N23" s="7" t="e">
        <f t="shared" ref="N23:N26" si="6">L23*M23</f>
        <v>#N/A</v>
      </c>
    </row>
    <row r="24" spans="2:14" x14ac:dyDescent="0.25">
      <c r="B24" s="1"/>
      <c r="C24" s="77">
        <f t="shared" ref="C24:C26" si="7">+C23+1</f>
        <v>2023</v>
      </c>
      <c r="D24" s="5">
        <f>G12</f>
        <v>0</v>
      </c>
      <c r="E24" s="69" t="e">
        <f>1/(1+E$21)^3</f>
        <v>#VALUE!</v>
      </c>
      <c r="F24" s="7" t="e">
        <f t="shared" si="4"/>
        <v>#VALUE!</v>
      </c>
      <c r="G24" s="77">
        <f t="shared" ref="G24:G26" si="8">+G23+1</f>
        <v>2023</v>
      </c>
      <c r="H24" s="5" t="e">
        <f>G13</f>
        <v>#N/A</v>
      </c>
      <c r="I24" s="69" t="e">
        <f>1/(1+I$21)^3</f>
        <v>#VALUE!</v>
      </c>
      <c r="J24" s="7" t="e">
        <f t="shared" si="5"/>
        <v>#N/A</v>
      </c>
      <c r="K24" s="77">
        <f t="shared" ref="K24:K26" si="9">+K23+1</f>
        <v>2023</v>
      </c>
      <c r="L24" s="5" t="e">
        <f>G14</f>
        <v>#N/A</v>
      </c>
      <c r="M24" s="69" t="e">
        <f>1/(1+M$21)^3</f>
        <v>#VALUE!</v>
      </c>
      <c r="N24" s="7" t="e">
        <f t="shared" si="6"/>
        <v>#N/A</v>
      </c>
    </row>
    <row r="25" spans="2:14" x14ac:dyDescent="0.25">
      <c r="B25" s="1"/>
      <c r="C25" s="77">
        <f t="shared" si="7"/>
        <v>2024</v>
      </c>
      <c r="D25" s="5">
        <f>H12</f>
        <v>0</v>
      </c>
      <c r="E25" s="69" t="e">
        <f>1/(1+E$21)^4</f>
        <v>#VALUE!</v>
      </c>
      <c r="F25" s="7" t="e">
        <f t="shared" si="4"/>
        <v>#VALUE!</v>
      </c>
      <c r="G25" s="77">
        <f t="shared" si="8"/>
        <v>2024</v>
      </c>
      <c r="H25" s="5" t="e">
        <f>H13</f>
        <v>#N/A</v>
      </c>
      <c r="I25" s="69" t="e">
        <f>1/(1+I$21)^4</f>
        <v>#VALUE!</v>
      </c>
      <c r="J25" s="7" t="e">
        <f t="shared" si="5"/>
        <v>#N/A</v>
      </c>
      <c r="K25" s="77">
        <f t="shared" si="9"/>
        <v>2024</v>
      </c>
      <c r="L25" s="5" t="e">
        <f>H14</f>
        <v>#N/A</v>
      </c>
      <c r="M25" s="69" t="e">
        <f>1/(1+M$21)^4</f>
        <v>#VALUE!</v>
      </c>
      <c r="N25" s="7" t="e">
        <f t="shared" si="6"/>
        <v>#N/A</v>
      </c>
    </row>
    <row r="26" spans="2:14" x14ac:dyDescent="0.25">
      <c r="B26" s="1"/>
      <c r="C26" s="77">
        <f t="shared" si="7"/>
        <v>2025</v>
      </c>
      <c r="D26" s="16" t="e">
        <f>I12</f>
        <v>#DIV/0!</v>
      </c>
      <c r="E26" s="70" t="e">
        <f>1/(1+E$21)^5</f>
        <v>#VALUE!</v>
      </c>
      <c r="F26" s="13" t="e">
        <f t="shared" si="4"/>
        <v>#DIV/0!</v>
      </c>
      <c r="G26" s="77">
        <f t="shared" si="8"/>
        <v>2025</v>
      </c>
      <c r="H26" s="16" t="e">
        <f>I13</f>
        <v>#N/A</v>
      </c>
      <c r="I26" s="70" t="e">
        <f>1/(1+I$21)^5</f>
        <v>#VALUE!</v>
      </c>
      <c r="J26" s="13" t="e">
        <f t="shared" si="5"/>
        <v>#N/A</v>
      </c>
      <c r="K26" s="77">
        <f t="shared" si="9"/>
        <v>2025</v>
      </c>
      <c r="L26" s="16" t="e">
        <f>I14</f>
        <v>#DIV/0!</v>
      </c>
      <c r="M26" s="70" t="e">
        <f>1/(1+M$21)^5</f>
        <v>#VALUE!</v>
      </c>
      <c r="N26" s="13" t="e">
        <f t="shared" si="6"/>
        <v>#DIV/0!</v>
      </c>
    </row>
    <row r="27" spans="2:14" x14ac:dyDescent="0.25">
      <c r="B27" s="1"/>
      <c r="C27" s="1"/>
      <c r="D27" s="1" t="s">
        <v>50</v>
      </c>
      <c r="E27" s="1"/>
      <c r="F27" s="7" t="e">
        <f>SUM(F22:F26)</f>
        <v>#VALUE!</v>
      </c>
      <c r="G27" s="1"/>
      <c r="H27" s="1" t="s">
        <v>56</v>
      </c>
      <c r="I27" s="1"/>
      <c r="J27" s="7" t="e">
        <f>SUM(J22:J26)</f>
        <v>#N/A</v>
      </c>
      <c r="K27" s="1"/>
      <c r="L27" s="1" t="s">
        <v>58</v>
      </c>
      <c r="M27" s="1"/>
      <c r="N27" s="7" t="e">
        <f>SUM(N22:N26)</f>
        <v>#N/A</v>
      </c>
    </row>
    <row r="28" spans="2:14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25">
      <c r="B29" s="33" t="s">
        <v>78</v>
      </c>
      <c r="C29" s="1"/>
      <c r="D29" s="1" t="s">
        <v>128</v>
      </c>
      <c r="E29" s="1"/>
      <c r="F29" s="5">
        <f>Calcs!N9</f>
        <v>0</v>
      </c>
      <c r="G29" s="1"/>
      <c r="H29" s="1" t="s">
        <v>129</v>
      </c>
      <c r="I29" s="1"/>
      <c r="J29" s="7" t="e">
        <f>E13</f>
        <v>#N/A</v>
      </c>
      <c r="K29" s="1"/>
      <c r="L29" s="1" t="s">
        <v>130</v>
      </c>
      <c r="M29" s="1"/>
      <c r="N29" s="5" t="e">
        <f>F29-J29</f>
        <v>#N/A</v>
      </c>
    </row>
    <row r="30" spans="2:14" x14ac:dyDescent="0.25">
      <c r="B30" s="1"/>
      <c r="C30" s="1"/>
      <c r="D30" s="6" t="s">
        <v>60</v>
      </c>
      <c r="E30" s="6"/>
      <c r="F30" s="16" t="e">
        <f>Calcs!K57</f>
        <v>#DIV/0!</v>
      </c>
      <c r="G30" s="1"/>
      <c r="H30" s="6" t="s">
        <v>61</v>
      </c>
      <c r="I30" s="6"/>
      <c r="J30" s="16" t="e">
        <f>Calcs!K58</f>
        <v>#N/A</v>
      </c>
      <c r="K30" s="1"/>
      <c r="L30" s="6" t="s">
        <v>59</v>
      </c>
      <c r="M30" s="6"/>
      <c r="N30" s="16" t="e">
        <f>F30-J30</f>
        <v>#DIV/0!</v>
      </c>
    </row>
    <row r="31" spans="2:14" x14ac:dyDescent="0.25">
      <c r="B31" s="1"/>
      <c r="C31" s="1"/>
      <c r="D31" s="1"/>
      <c r="E31" s="1"/>
      <c r="F31" s="5" t="e">
        <f>SUM(F29:F30)</f>
        <v>#DIV/0!</v>
      </c>
      <c r="G31" s="1"/>
      <c r="H31" s="1"/>
      <c r="I31" s="1"/>
      <c r="J31" s="7" t="e">
        <f>SUM(J29:J30)</f>
        <v>#N/A</v>
      </c>
      <c r="K31" s="1"/>
      <c r="L31" s="1"/>
      <c r="M31" s="1"/>
      <c r="N31" s="5" t="e">
        <f>SUM(N29:N30)</f>
        <v>#N/A</v>
      </c>
    </row>
    <row r="32" spans="2:14" x14ac:dyDescent="0.25">
      <c r="B32" s="33" t="s">
        <v>76</v>
      </c>
      <c r="C32" s="1"/>
      <c r="D32" s="31" t="str">
        <f>CONCATENATE("Year 6 Cash Flow of $", ROUND(Calcs!N10,0))</f>
        <v>Year 6 Cash Flow of $0</v>
      </c>
      <c r="E32" s="1"/>
      <c r="F32" s="5"/>
      <c r="G32" s="1"/>
      <c r="I32" s="1"/>
      <c r="J32" s="5"/>
      <c r="K32" s="1"/>
    </row>
    <row r="33" spans="2:14" x14ac:dyDescent="0.25">
      <c r="B33" s="1"/>
      <c r="C33" s="1"/>
      <c r="D33" s="1" t="str">
        <f>CONCATENATE("capitalized at ", Input!D16*100, "% equals")</f>
        <v>capitalized at 0% equals</v>
      </c>
      <c r="E33" s="1"/>
      <c r="F33" s="7" t="e">
        <f>Calcs!N10/Input!E16</f>
        <v>#DIV/0!</v>
      </c>
      <c r="G33" s="1"/>
      <c r="H33" s="1" t="s">
        <v>73</v>
      </c>
      <c r="I33" s="1"/>
      <c r="J33" s="5"/>
      <c r="K33" s="1"/>
      <c r="L33" s="31" t="s">
        <v>124</v>
      </c>
      <c r="M33" s="1"/>
      <c r="N33" s="5" t="e">
        <f>F35</f>
        <v>#DIV/0!</v>
      </c>
    </row>
    <row r="34" spans="2:14" x14ac:dyDescent="0.25">
      <c r="B34" s="1"/>
      <c r="C34" s="1"/>
      <c r="D34" s="31" t="s">
        <v>79</v>
      </c>
      <c r="E34" s="1"/>
      <c r="F34" s="16" t="e">
        <f>F33*Input!E17</f>
        <v>#DIV/0!</v>
      </c>
      <c r="G34" s="1"/>
      <c r="H34" s="31" t="s">
        <v>127</v>
      </c>
      <c r="I34" s="1"/>
      <c r="J34" s="5"/>
      <c r="K34" s="1"/>
      <c r="L34" s="32" t="s">
        <v>74</v>
      </c>
      <c r="M34" s="1"/>
      <c r="N34" s="16" t="e">
        <f>J30</f>
        <v>#N/A</v>
      </c>
    </row>
    <row r="35" spans="2:14" x14ac:dyDescent="0.25">
      <c r="B35" s="1"/>
      <c r="C35" s="1"/>
      <c r="D35" s="31" t="s">
        <v>80</v>
      </c>
      <c r="E35" s="1"/>
      <c r="F35" s="5" t="e">
        <f>F33-F34</f>
        <v>#DIV/0!</v>
      </c>
      <c r="G35" s="1"/>
      <c r="H35" s="1" t="s">
        <v>77</v>
      </c>
      <c r="I35" s="1"/>
      <c r="J35" s="5"/>
      <c r="K35" s="1"/>
      <c r="L35" s="1" t="s">
        <v>75</v>
      </c>
      <c r="M35" s="1"/>
      <c r="N35" s="5" t="e">
        <f>N33-N34</f>
        <v>#DIV/0!</v>
      </c>
    </row>
  </sheetData>
  <mergeCells count="4">
    <mergeCell ref="H3:K3"/>
    <mergeCell ref="D19:F19"/>
    <mergeCell ref="H19:J19"/>
    <mergeCell ref="L19:N1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B1:P67"/>
  <sheetViews>
    <sheetView zoomScaleNormal="100" workbookViewId="0"/>
  </sheetViews>
  <sheetFormatPr defaultRowHeight="12.5" x14ac:dyDescent="0.25"/>
  <cols>
    <col min="1" max="1" width="3.7265625" customWidth="1"/>
    <col min="2" max="2" width="27.453125" customWidth="1"/>
    <col min="3" max="3" width="11.54296875" customWidth="1"/>
    <col min="4" max="4" width="5.7265625" customWidth="1"/>
    <col min="5" max="6" width="9.7265625" customWidth="1"/>
    <col min="8" max="8" width="10.453125" customWidth="1"/>
    <col min="9" max="9" width="5.54296875" customWidth="1"/>
    <col min="10" max="10" width="27.1796875" customWidth="1"/>
    <col min="11" max="11" width="11.1796875" customWidth="1"/>
    <col min="12" max="12" width="5.453125" customWidth="1"/>
    <col min="13" max="13" width="9.453125" customWidth="1"/>
    <col min="14" max="14" width="10.26953125" customWidth="1"/>
  </cols>
  <sheetData>
    <row r="1" spans="2:16" ht="15.5" x14ac:dyDescent="0.35">
      <c r="B1" s="8" t="s">
        <v>168</v>
      </c>
    </row>
    <row r="2" spans="2:16" ht="15.5" x14ac:dyDescent="0.35">
      <c r="B2" s="8"/>
    </row>
    <row r="3" spans="2:16" ht="13.15" customHeight="1" x14ac:dyDescent="0.25">
      <c r="B3" s="117" t="s">
        <v>170</v>
      </c>
      <c r="C3" s="117"/>
      <c r="D3" s="117"/>
      <c r="E3" s="117"/>
      <c r="F3" s="117"/>
      <c r="G3" s="117"/>
      <c r="H3" s="117"/>
      <c r="J3" s="117" t="s">
        <v>171</v>
      </c>
      <c r="K3" s="117"/>
      <c r="L3" s="117"/>
      <c r="M3" s="117"/>
      <c r="N3" s="117"/>
      <c r="O3" s="117"/>
      <c r="P3" s="117"/>
    </row>
    <row r="4" spans="2:16" ht="13.15" customHeight="1" x14ac:dyDescent="0.25">
      <c r="B4" s="29" t="s">
        <v>38</v>
      </c>
      <c r="C4" s="29"/>
      <c r="D4" s="30"/>
      <c r="E4" s="30" t="s">
        <v>15</v>
      </c>
      <c r="F4" s="30" t="s">
        <v>34</v>
      </c>
      <c r="J4" s="29" t="s">
        <v>38</v>
      </c>
      <c r="K4" s="29"/>
      <c r="L4" s="30"/>
      <c r="M4" s="30" t="s">
        <v>15</v>
      </c>
      <c r="N4" s="30" t="s">
        <v>34</v>
      </c>
    </row>
    <row r="5" spans="2:16" ht="13.15" customHeight="1" x14ac:dyDescent="0.25">
      <c r="E5" s="65">
        <v>1</v>
      </c>
      <c r="F5" s="5">
        <f>Input!H10</f>
        <v>0</v>
      </c>
      <c r="M5" s="65">
        <v>1</v>
      </c>
      <c r="N5" s="5">
        <f>Input!I10</f>
        <v>0</v>
      </c>
    </row>
    <row r="6" spans="2:16" ht="13.15" customHeight="1" x14ac:dyDescent="0.25">
      <c r="E6" s="65">
        <v>2</v>
      </c>
      <c r="F6" s="5">
        <f>Input!H11</f>
        <v>0</v>
      </c>
      <c r="M6" s="65">
        <v>2</v>
      </c>
      <c r="N6" s="5">
        <f>Input!I11</f>
        <v>0</v>
      </c>
    </row>
    <row r="7" spans="2:16" ht="13.15" customHeight="1" x14ac:dyDescent="0.25">
      <c r="E7" s="65">
        <v>3</v>
      </c>
      <c r="F7" s="5">
        <f>Input!H12</f>
        <v>0</v>
      </c>
      <c r="M7" s="65">
        <v>3</v>
      </c>
      <c r="N7" s="5">
        <f>Input!I12</f>
        <v>0</v>
      </c>
    </row>
    <row r="8" spans="2:16" ht="13.15" customHeight="1" x14ac:dyDescent="0.25">
      <c r="E8" s="65">
        <v>4</v>
      </c>
      <c r="F8" s="5">
        <f>Input!H13</f>
        <v>0</v>
      </c>
      <c r="H8" s="40"/>
      <c r="M8" s="65">
        <v>4</v>
      </c>
      <c r="N8" s="5">
        <f>Input!I13</f>
        <v>0</v>
      </c>
      <c r="P8" s="40"/>
    </row>
    <row r="9" spans="2:16" ht="13.15" customHeight="1" x14ac:dyDescent="0.25">
      <c r="E9" s="65">
        <v>5</v>
      </c>
      <c r="F9" s="5">
        <f>Input!H14</f>
        <v>0</v>
      </c>
      <c r="M9" s="65">
        <v>5</v>
      </c>
      <c r="N9" s="5">
        <f>Input!I14</f>
        <v>0</v>
      </c>
    </row>
    <row r="10" spans="2:16" ht="13.15" customHeight="1" x14ac:dyDescent="0.25">
      <c r="E10" s="65">
        <v>6</v>
      </c>
      <c r="F10" s="5">
        <f>Input!H15</f>
        <v>0</v>
      </c>
      <c r="M10" s="65">
        <v>6</v>
      </c>
      <c r="N10" s="5">
        <f>Input!I15</f>
        <v>0</v>
      </c>
    </row>
    <row r="11" spans="2:16" ht="13.15" customHeight="1" x14ac:dyDescent="0.25">
      <c r="E11" s="65">
        <v>7</v>
      </c>
      <c r="F11" s="5">
        <f>Input!H16</f>
        <v>0</v>
      </c>
      <c r="M11" s="65"/>
      <c r="N11" s="5"/>
    </row>
    <row r="12" spans="2:16" ht="13.15" customHeight="1" x14ac:dyDescent="0.25">
      <c r="E12" s="65">
        <v>8</v>
      </c>
      <c r="F12" s="5">
        <f>Input!H17</f>
        <v>0</v>
      </c>
      <c r="M12" s="65"/>
      <c r="N12" s="5"/>
    </row>
    <row r="13" spans="2:16" ht="13.15" customHeight="1" x14ac:dyDescent="0.25">
      <c r="E13" s="65">
        <v>9</v>
      </c>
      <c r="F13" s="5">
        <f>Input!H18</f>
        <v>0</v>
      </c>
      <c r="M13" s="65"/>
      <c r="N13" s="5"/>
    </row>
    <row r="14" spans="2:16" ht="13.15" customHeight="1" x14ac:dyDescent="0.25">
      <c r="E14" s="65">
        <v>10</v>
      </c>
      <c r="F14" s="5">
        <f>Input!H19</f>
        <v>0</v>
      </c>
      <c r="M14" s="65"/>
      <c r="N14" s="5"/>
    </row>
    <row r="15" spans="2:16" ht="13.15" customHeight="1" x14ac:dyDescent="0.25">
      <c r="E15" s="65">
        <v>11</v>
      </c>
      <c r="F15" s="5">
        <f>Input!H20</f>
        <v>0</v>
      </c>
      <c r="M15" s="65"/>
      <c r="N15" s="5"/>
    </row>
    <row r="16" spans="2:16" ht="13.15" customHeight="1" x14ac:dyDescent="0.25"/>
    <row r="17" spans="2:16" ht="13.15" customHeight="1" x14ac:dyDescent="0.25">
      <c r="B17" s="9"/>
      <c r="C17" s="9"/>
      <c r="D17" s="9"/>
      <c r="E17" s="9"/>
      <c r="F17" s="9"/>
      <c r="G17" s="9" t="s">
        <v>66</v>
      </c>
      <c r="H17" s="9"/>
      <c r="J17" s="9"/>
      <c r="K17" s="9"/>
      <c r="L17" s="9"/>
      <c r="M17" s="9"/>
      <c r="N17" s="9"/>
      <c r="O17" s="9" t="s">
        <v>66</v>
      </c>
      <c r="P17" s="9"/>
    </row>
    <row r="18" spans="2:16" s="1" customFormat="1" ht="13.15" customHeight="1" x14ac:dyDescent="0.4">
      <c r="B18" s="3" t="s">
        <v>31</v>
      </c>
      <c r="C18" s="3"/>
      <c r="D18" s="2" t="s">
        <v>15</v>
      </c>
      <c r="E18" s="2" t="s">
        <v>0</v>
      </c>
      <c r="F18" s="3" t="s">
        <v>34</v>
      </c>
      <c r="G18" s="2" t="s">
        <v>65</v>
      </c>
      <c r="H18" s="2" t="s">
        <v>87</v>
      </c>
      <c r="J18" s="3" t="s">
        <v>31</v>
      </c>
      <c r="K18" s="3"/>
      <c r="L18" s="2" t="s">
        <v>15</v>
      </c>
      <c r="M18" s="2" t="s">
        <v>0</v>
      </c>
      <c r="N18" s="3" t="s">
        <v>34</v>
      </c>
      <c r="O18" s="2" t="s">
        <v>65</v>
      </c>
      <c r="P18" s="2" t="s">
        <v>87</v>
      </c>
    </row>
    <row r="19" spans="2:16" s="1" customFormat="1" ht="13.15" customHeight="1" x14ac:dyDescent="0.25">
      <c r="B19" s="1" t="s">
        <v>32</v>
      </c>
      <c r="C19" s="80" t="e">
        <f>Input!D15*PMT(Input!$D$13/Input!D15,Input!$D$14*Input!D15,-1)</f>
        <v>#DIV/0!</v>
      </c>
      <c r="D19" s="1">
        <v>1</v>
      </c>
      <c r="E19" s="67">
        <f>1/(1+Input!$D$12)^D19</f>
        <v>1</v>
      </c>
      <c r="F19" s="5">
        <f t="shared" ref="F19:F28" si="0">F5</f>
        <v>0</v>
      </c>
      <c r="G19" s="7">
        <f>E19*F19</f>
        <v>0</v>
      </c>
      <c r="H19" s="81" t="e">
        <f>$C$19*Input!$D$25*E19</f>
        <v>#DIV/0!</v>
      </c>
      <c r="J19" s="1" t="s">
        <v>32</v>
      </c>
      <c r="K19" s="80" t="e">
        <f>Input!E15*PMT(Input!$E$13/Input!E15,Input!$E$14*Input!E15,-1)</f>
        <v>#DIV/0!</v>
      </c>
      <c r="L19" s="1">
        <v>1</v>
      </c>
      <c r="M19" s="67">
        <f>1/(1+Input!$E$12)^L19</f>
        <v>1</v>
      </c>
      <c r="N19" s="5">
        <f>+N5</f>
        <v>0</v>
      </c>
      <c r="O19" s="7">
        <f>M19*N19</f>
        <v>0</v>
      </c>
      <c r="P19" s="81" t="e">
        <f>$K$19*Input!$E$25*M19</f>
        <v>#DIV/0!</v>
      </c>
    </row>
    <row r="20" spans="2:16" s="1" customFormat="1" ht="13.15" customHeight="1" x14ac:dyDescent="0.25">
      <c r="B20" s="1" t="s">
        <v>72</v>
      </c>
      <c r="C20" s="80" t="e">
        <f>1+FV(Input!D13/Input!D15,10*Input!D15,-C19/Input!D15,1)</f>
        <v>#DIV/0!</v>
      </c>
      <c r="D20" s="1">
        <v>2</v>
      </c>
      <c r="E20" s="67">
        <f>1/(1+Input!$D$12)^D20</f>
        <v>1</v>
      </c>
      <c r="F20" s="5">
        <f t="shared" si="0"/>
        <v>0</v>
      </c>
      <c r="G20" s="7">
        <f t="shared" ref="G20:G28" si="1">E20*F20</f>
        <v>0</v>
      </c>
      <c r="H20" s="81" t="e">
        <f>$C$19*Input!$D$25*E20</f>
        <v>#DIV/0!</v>
      </c>
      <c r="J20" s="1" t="s">
        <v>123</v>
      </c>
      <c r="K20" s="80" t="e">
        <f>1+FV(Input!E13/Input!E15,5*Input!E15,-K19/Input!E15,1)</f>
        <v>#DIV/0!</v>
      </c>
      <c r="L20" s="1">
        <v>2</v>
      </c>
      <c r="M20" s="67">
        <f>1/(1+Input!$E$12)^L20</f>
        <v>1</v>
      </c>
      <c r="N20" s="5">
        <f t="shared" ref="N20:N23" si="2">+N6</f>
        <v>0</v>
      </c>
      <c r="O20" s="7">
        <f t="shared" ref="O20:O23" si="3">M20*N20</f>
        <v>0</v>
      </c>
      <c r="P20" s="81" t="e">
        <f>$K$19*Input!$E$25*M20</f>
        <v>#DIV/0!</v>
      </c>
    </row>
    <row r="21" spans="2:16" s="1" customFormat="1" ht="13.15" customHeight="1" x14ac:dyDescent="0.25">
      <c r="B21" s="1" t="s">
        <v>71</v>
      </c>
      <c r="C21" s="5" t="e">
        <f>F15/Input!D16*(1-Input!D17)</f>
        <v>#DIV/0!</v>
      </c>
      <c r="D21" s="1">
        <v>3</v>
      </c>
      <c r="E21" s="67">
        <f>1/(1+Input!$D$12)^D21</f>
        <v>1</v>
      </c>
      <c r="F21" s="5">
        <f t="shared" si="0"/>
        <v>0</v>
      </c>
      <c r="G21" s="7">
        <f t="shared" si="1"/>
        <v>0</v>
      </c>
      <c r="H21" s="81" t="e">
        <f>$C$19*Input!$D$25*E21</f>
        <v>#DIV/0!</v>
      </c>
      <c r="J21" s="1" t="s">
        <v>71</v>
      </c>
      <c r="K21" s="5" t="e">
        <f>N10/Input!E16*(1-Input!E17)</f>
        <v>#DIV/0!</v>
      </c>
      <c r="L21" s="1">
        <v>3</v>
      </c>
      <c r="M21" s="67">
        <f>1/(1+Input!$E$12)^L21</f>
        <v>1</v>
      </c>
      <c r="N21" s="5">
        <f t="shared" si="2"/>
        <v>0</v>
      </c>
      <c r="O21" s="7">
        <f t="shared" si="3"/>
        <v>0</v>
      </c>
      <c r="P21" s="81" t="e">
        <f>$K$19*Input!$E$25*M21</f>
        <v>#DIV/0!</v>
      </c>
    </row>
    <row r="22" spans="2:16" s="1" customFormat="1" ht="13.15" customHeight="1" x14ac:dyDescent="0.25">
      <c r="B22" s="1" t="s">
        <v>8</v>
      </c>
      <c r="C22" s="5" t="e">
        <f>Calcs!C35*(1-Calcs!C20)</f>
        <v>#DIV/0!</v>
      </c>
      <c r="D22" s="1">
        <v>4</v>
      </c>
      <c r="E22" s="67">
        <f>1/(1+Input!$D$12)^D22</f>
        <v>1</v>
      </c>
      <c r="F22" s="5">
        <f t="shared" si="0"/>
        <v>0</v>
      </c>
      <c r="G22" s="7">
        <f t="shared" si="1"/>
        <v>0</v>
      </c>
      <c r="H22" s="81" t="e">
        <f>$C$19*Input!$D$25*E22</f>
        <v>#DIV/0!</v>
      </c>
      <c r="J22" s="1" t="s">
        <v>8</v>
      </c>
      <c r="K22" s="5" t="e">
        <f>Calcs!K35*(1-Calcs!K20)</f>
        <v>#DIV/0!</v>
      </c>
      <c r="L22" s="1">
        <v>4</v>
      </c>
      <c r="M22" s="67">
        <f>1/(1+Input!$E$12)^L22</f>
        <v>1</v>
      </c>
      <c r="N22" s="5">
        <f t="shared" si="2"/>
        <v>0</v>
      </c>
      <c r="O22" s="7">
        <f t="shared" si="3"/>
        <v>0</v>
      </c>
      <c r="P22" s="81" t="e">
        <f>$K$19*Input!$E$25*M22</f>
        <v>#DIV/0!</v>
      </c>
    </row>
    <row r="23" spans="2:16" s="1" customFormat="1" ht="13.15" customHeight="1" x14ac:dyDescent="0.25">
      <c r="B23" s="1" t="s">
        <v>13</v>
      </c>
      <c r="C23" s="82" t="e">
        <f>1-Calcs!C20</f>
        <v>#DIV/0!</v>
      </c>
      <c r="D23" s="1">
        <v>5</v>
      </c>
      <c r="E23" s="67">
        <f>1/(1+Input!$D$12)^D23</f>
        <v>1</v>
      </c>
      <c r="F23" s="5">
        <f t="shared" si="0"/>
        <v>0</v>
      </c>
      <c r="G23" s="7">
        <f t="shared" si="1"/>
        <v>0</v>
      </c>
      <c r="H23" s="81" t="e">
        <f>$C$19*Input!$D$25*E23</f>
        <v>#DIV/0!</v>
      </c>
      <c r="J23" s="1" t="s">
        <v>13</v>
      </c>
      <c r="K23" s="82" t="e">
        <f>1-Calcs!K20</f>
        <v>#DIV/0!</v>
      </c>
      <c r="L23" s="1">
        <v>5</v>
      </c>
      <c r="M23" s="67">
        <f>1/(1+Input!$E$12)^L23</f>
        <v>1</v>
      </c>
      <c r="N23" s="5">
        <f t="shared" si="2"/>
        <v>0</v>
      </c>
      <c r="O23" s="7">
        <f t="shared" si="3"/>
        <v>0</v>
      </c>
      <c r="P23" s="81" t="e">
        <f>$K$19*Input!$E$25*M23</f>
        <v>#DIV/0!</v>
      </c>
    </row>
    <row r="24" spans="2:16" s="1" customFormat="1" ht="13.15" customHeight="1" x14ac:dyDescent="0.25">
      <c r="B24" s="1" t="s">
        <v>14</v>
      </c>
      <c r="C24" s="83" t="str">
        <f>IF(Input!D15=12,Calcs!C19/12," Not Applicable")</f>
        <v xml:space="preserve"> Not Applicable</v>
      </c>
      <c r="D24" s="1">
        <v>6</v>
      </c>
      <c r="E24" s="67">
        <f>1/(1+Input!$D$12)^D24</f>
        <v>1</v>
      </c>
      <c r="F24" s="5">
        <f t="shared" si="0"/>
        <v>0</v>
      </c>
      <c r="G24" s="7">
        <f t="shared" si="1"/>
        <v>0</v>
      </c>
      <c r="H24" s="81" t="e">
        <f>$C$19*Input!$D$25*E24</f>
        <v>#DIV/0!</v>
      </c>
      <c r="J24" s="1" t="s">
        <v>14</v>
      </c>
      <c r="K24" s="83" t="str">
        <f>IF(Input!E15=12,Calcs!K19/12," Not Applicable")</f>
        <v xml:space="preserve"> Not Applicable</v>
      </c>
      <c r="M24" s="67"/>
      <c r="N24" s="5"/>
      <c r="O24" s="7"/>
      <c r="P24" s="81"/>
    </row>
    <row r="25" spans="2:16" s="1" customFormat="1" ht="13.15" customHeight="1" x14ac:dyDescent="0.25">
      <c r="D25" s="1">
        <v>7</v>
      </c>
      <c r="E25" s="67">
        <f>1/(1+Input!$D$12)^D25</f>
        <v>1</v>
      </c>
      <c r="F25" s="5">
        <f t="shared" si="0"/>
        <v>0</v>
      </c>
      <c r="G25" s="7">
        <f t="shared" si="1"/>
        <v>0</v>
      </c>
      <c r="H25" s="81" t="e">
        <f>$C$19*Input!$D$25*E25</f>
        <v>#DIV/0!</v>
      </c>
      <c r="M25" s="67"/>
      <c r="N25" s="5"/>
      <c r="O25" s="7"/>
      <c r="P25" s="81"/>
    </row>
    <row r="26" spans="2:16" s="1" customFormat="1" ht="13.15" customHeight="1" x14ac:dyDescent="0.25">
      <c r="D26" s="1">
        <v>8</v>
      </c>
      <c r="E26" s="67">
        <f>1/(1+Input!$D$12)^D26</f>
        <v>1</v>
      </c>
      <c r="F26" s="5">
        <f t="shared" si="0"/>
        <v>0</v>
      </c>
      <c r="G26" s="7">
        <f t="shared" si="1"/>
        <v>0</v>
      </c>
      <c r="H26" s="81" t="e">
        <f>$C$19*Input!$D$25*E26</f>
        <v>#DIV/0!</v>
      </c>
      <c r="M26" s="67"/>
      <c r="N26" s="5"/>
      <c r="O26" s="7"/>
      <c r="P26" s="81"/>
    </row>
    <row r="27" spans="2:16" s="1" customFormat="1" ht="13.15" customHeight="1" x14ac:dyDescent="0.25">
      <c r="D27" s="1">
        <v>9</v>
      </c>
      <c r="E27" s="67">
        <f>1/(1+Input!$D$12)^D27</f>
        <v>1</v>
      </c>
      <c r="F27" s="5">
        <f t="shared" si="0"/>
        <v>0</v>
      </c>
      <c r="G27" s="7">
        <f t="shared" si="1"/>
        <v>0</v>
      </c>
      <c r="H27" s="81" t="e">
        <f>$C$19*Input!$D$25*E27</f>
        <v>#DIV/0!</v>
      </c>
      <c r="M27" s="67"/>
      <c r="N27" s="5"/>
      <c r="O27" s="7"/>
      <c r="P27" s="81"/>
    </row>
    <row r="28" spans="2:16" s="1" customFormat="1" ht="13.15" customHeight="1" x14ac:dyDescent="0.25">
      <c r="D28" s="1">
        <v>10</v>
      </c>
      <c r="E28" s="67">
        <f>1/(1+Input!$D$12)^D28</f>
        <v>1</v>
      </c>
      <c r="F28" s="5">
        <f t="shared" si="0"/>
        <v>0</v>
      </c>
      <c r="G28" s="7">
        <f t="shared" si="1"/>
        <v>0</v>
      </c>
      <c r="H28" s="81" t="e">
        <f>$C$19*Input!$D$25*E28</f>
        <v>#DIV/0!</v>
      </c>
      <c r="M28" s="67"/>
      <c r="N28" s="5"/>
      <c r="O28" s="7"/>
      <c r="P28" s="81"/>
    </row>
    <row r="29" spans="2:16" s="1" customFormat="1" ht="13.15" customHeight="1" x14ac:dyDescent="0.25">
      <c r="F29" s="84"/>
      <c r="N29" s="84"/>
    </row>
    <row r="30" spans="2:16" s="1" customFormat="1" ht="13.15" customHeight="1" x14ac:dyDescent="0.25">
      <c r="B30" s="6" t="s">
        <v>92</v>
      </c>
      <c r="C30" s="6"/>
      <c r="D30" s="6"/>
      <c r="E30"/>
      <c r="J30" s="6" t="s">
        <v>92</v>
      </c>
      <c r="K30" s="6"/>
      <c r="L30" s="6"/>
      <c r="M30"/>
    </row>
    <row r="31" spans="2:16" s="1" customFormat="1" ht="13.15" customHeight="1" x14ac:dyDescent="0.25">
      <c r="B31" s="1" t="s">
        <v>82</v>
      </c>
      <c r="C31" s="7" t="e">
        <f>SUM(G19:G28)+C21*E28</f>
        <v>#DIV/0!</v>
      </c>
      <c r="J31" s="1" t="s">
        <v>82</v>
      </c>
      <c r="K31" s="7" t="e">
        <f>SUM(O19:O23)+K21*M23</f>
        <v>#DIV/0!</v>
      </c>
    </row>
    <row r="32" spans="2:16" s="1" customFormat="1" ht="13.15" customHeight="1" x14ac:dyDescent="0.25">
      <c r="B32" s="1" t="s">
        <v>83</v>
      </c>
      <c r="C32" s="85" t="e">
        <f>SUM(H19:H28)+C23*Input!D25*E28</f>
        <v>#DIV/0!</v>
      </c>
      <c r="D32" s="1" t="s">
        <v>84</v>
      </c>
      <c r="J32" s="1" t="s">
        <v>83</v>
      </c>
      <c r="K32" s="85" t="e">
        <f>SUM(P19:P23)+K23*Input!E25*M23</f>
        <v>#DIV/0!</v>
      </c>
      <c r="L32" s="1" t="s">
        <v>84</v>
      </c>
    </row>
    <row r="33" spans="2:14" s="1" customFormat="1" ht="13.15" customHeight="1" x14ac:dyDescent="0.25">
      <c r="B33" s="6" t="s">
        <v>85</v>
      </c>
      <c r="C33" s="86">
        <f>1-Input!D25</f>
        <v>1</v>
      </c>
      <c r="D33" s="1" t="s">
        <v>84</v>
      </c>
      <c r="J33" s="6" t="s">
        <v>85</v>
      </c>
      <c r="K33" s="87">
        <f>1-Input!E25</f>
        <v>1</v>
      </c>
      <c r="L33" s="1" t="s">
        <v>84</v>
      </c>
    </row>
    <row r="34" spans="2:14" s="1" customFormat="1" ht="13.15" customHeight="1" x14ac:dyDescent="0.25">
      <c r="B34" s="1" t="s">
        <v>86</v>
      </c>
      <c r="C34" s="88" t="e">
        <f>C31/(C32+C33)</f>
        <v>#DIV/0!</v>
      </c>
      <c r="J34" s="1" t="s">
        <v>86</v>
      </c>
      <c r="K34" s="73" t="e">
        <f>K31/(K32+K33)</f>
        <v>#DIV/0!</v>
      </c>
    </row>
    <row r="35" spans="2:14" s="1" customFormat="1" ht="13.15" customHeight="1" x14ac:dyDescent="0.25">
      <c r="B35" s="1" t="s">
        <v>88</v>
      </c>
      <c r="C35" s="89" t="e">
        <f>C34*Input!D25</f>
        <v>#DIV/0!</v>
      </c>
      <c r="J35" s="1" t="s">
        <v>88</v>
      </c>
      <c r="K35" s="90" t="e">
        <f>K34*Input!E25</f>
        <v>#DIV/0!</v>
      </c>
    </row>
    <row r="36" spans="2:14" s="1" customFormat="1" ht="13.15" customHeight="1" x14ac:dyDescent="0.25"/>
    <row r="37" spans="2:14" s="1" customFormat="1" ht="13.15" customHeight="1" x14ac:dyDescent="0.25"/>
    <row r="38" spans="2:14" s="1" customFormat="1" ht="13.15" customHeight="1" x14ac:dyDescent="0.25">
      <c r="B38" s="3" t="s">
        <v>29</v>
      </c>
      <c r="C38" s="6"/>
      <c r="D38" s="6" t="s">
        <v>15</v>
      </c>
      <c r="E38" s="6" t="s">
        <v>34</v>
      </c>
      <c r="F38"/>
      <c r="J38" s="3" t="s">
        <v>29</v>
      </c>
      <c r="K38" s="6"/>
      <c r="L38" s="6" t="s">
        <v>15</v>
      </c>
      <c r="M38" s="6" t="s">
        <v>34</v>
      </c>
      <c r="N38"/>
    </row>
    <row r="39" spans="2:14" s="1" customFormat="1" ht="13.15" customHeight="1" x14ac:dyDescent="0.25">
      <c r="B39" s="1" t="s">
        <v>32</v>
      </c>
      <c r="C39" s="80" t="e">
        <f>C19</f>
        <v>#DIV/0!</v>
      </c>
      <c r="D39" s="1">
        <v>1</v>
      </c>
      <c r="E39" s="5">
        <f t="shared" ref="E39:E49" si="4">F5</f>
        <v>0</v>
      </c>
      <c r="J39" s="1" t="s">
        <v>32</v>
      </c>
      <c r="K39" s="80" t="e">
        <f>K19</f>
        <v>#DIV/0!</v>
      </c>
      <c r="L39" s="1">
        <v>1</v>
      </c>
      <c r="M39" s="5">
        <f>+N5</f>
        <v>0</v>
      </c>
    </row>
    <row r="40" spans="2:14" s="1" customFormat="1" ht="13.15" customHeight="1" x14ac:dyDescent="0.25">
      <c r="B40" s="1" t="s">
        <v>33</v>
      </c>
      <c r="C40" s="80" t="e">
        <f>C20</f>
        <v>#DIV/0!</v>
      </c>
      <c r="D40" s="1">
        <v>2</v>
      </c>
      <c r="E40" s="5">
        <f t="shared" si="4"/>
        <v>0</v>
      </c>
      <c r="J40" s="1" t="s">
        <v>33</v>
      </c>
      <c r="K40" s="80" t="e">
        <f>K20</f>
        <v>#DIV/0!</v>
      </c>
      <c r="L40" s="1">
        <v>2</v>
      </c>
      <c r="M40" s="5">
        <f t="shared" ref="M40:M44" si="5">+N6</f>
        <v>0</v>
      </c>
    </row>
    <row r="41" spans="2:14" s="1" customFormat="1" ht="13.15" customHeight="1" x14ac:dyDescent="0.25">
      <c r="B41" s="1" t="s">
        <v>71</v>
      </c>
      <c r="C41" s="5" t="e">
        <f>C21</f>
        <v>#DIV/0!</v>
      </c>
      <c r="D41" s="1">
        <v>3</v>
      </c>
      <c r="E41" s="5">
        <f t="shared" si="4"/>
        <v>0</v>
      </c>
      <c r="J41" s="1" t="s">
        <v>71</v>
      </c>
      <c r="K41" s="5" t="e">
        <f>K21</f>
        <v>#DIV/0!</v>
      </c>
      <c r="L41" s="1">
        <v>3</v>
      </c>
      <c r="M41" s="5">
        <f t="shared" si="5"/>
        <v>0</v>
      </c>
    </row>
    <row r="42" spans="2:14" s="1" customFormat="1" ht="13.15" customHeight="1" x14ac:dyDescent="0.25">
      <c r="B42" s="1" t="s">
        <v>8</v>
      </c>
      <c r="C42" s="7" t="e">
        <f>C47*C43</f>
        <v>#N/A</v>
      </c>
      <c r="D42" s="1">
        <v>4</v>
      </c>
      <c r="E42" s="5">
        <f t="shared" si="4"/>
        <v>0</v>
      </c>
      <c r="J42" s="1" t="s">
        <v>8</v>
      </c>
      <c r="K42" s="7" t="e">
        <f>K47*K43</f>
        <v>#N/A</v>
      </c>
      <c r="L42" s="1">
        <v>4</v>
      </c>
      <c r="M42" s="5">
        <f t="shared" si="5"/>
        <v>0</v>
      </c>
    </row>
    <row r="43" spans="2:14" s="1" customFormat="1" ht="13.15" customHeight="1" x14ac:dyDescent="0.25">
      <c r="B43" s="1" t="s">
        <v>30</v>
      </c>
      <c r="C43" s="82" t="e">
        <f>1-Calcs!C40</f>
        <v>#DIV/0!</v>
      </c>
      <c r="D43" s="1">
        <v>5</v>
      </c>
      <c r="E43" s="5">
        <f t="shared" si="4"/>
        <v>0</v>
      </c>
      <c r="J43" s="1" t="s">
        <v>30</v>
      </c>
      <c r="K43" s="82" t="e">
        <f>1-Calcs!K40</f>
        <v>#DIV/0!</v>
      </c>
      <c r="L43" s="1">
        <v>5</v>
      </c>
      <c r="M43" s="5">
        <f t="shared" si="5"/>
        <v>0</v>
      </c>
    </row>
    <row r="44" spans="2:14" s="1" customFormat="1" ht="13.15" customHeight="1" x14ac:dyDescent="0.25">
      <c r="B44" s="1" t="s">
        <v>97</v>
      </c>
      <c r="C44" s="5" t="e">
        <f>Input!D30</f>
        <v>#N/A</v>
      </c>
      <c r="D44" s="1">
        <v>6</v>
      </c>
      <c r="E44" s="5">
        <f t="shared" si="4"/>
        <v>0</v>
      </c>
      <c r="J44" s="1" t="s">
        <v>97</v>
      </c>
      <c r="K44" s="5" t="e">
        <f>Input!E30</f>
        <v>#N/A</v>
      </c>
      <c r="L44" s="1">
        <v>6</v>
      </c>
      <c r="M44" s="5">
        <f t="shared" si="5"/>
        <v>0</v>
      </c>
    </row>
    <row r="45" spans="2:14" ht="13.15" customHeight="1" x14ac:dyDescent="0.25">
      <c r="B45" s="1"/>
      <c r="C45" s="1"/>
      <c r="D45" s="1">
        <v>7</v>
      </c>
      <c r="E45" s="5">
        <f t="shared" si="4"/>
        <v>0</v>
      </c>
      <c r="F45" s="1"/>
      <c r="J45" s="1"/>
      <c r="K45" s="1"/>
      <c r="L45" s="1"/>
      <c r="M45" s="5"/>
      <c r="N45" s="1"/>
    </row>
    <row r="46" spans="2:14" ht="13.15" customHeight="1" x14ac:dyDescent="0.25">
      <c r="B46" s="6" t="s">
        <v>35</v>
      </c>
      <c r="C46" s="91" t="e">
        <f>C51</f>
        <v>#N/A</v>
      </c>
      <c r="D46" s="1">
        <v>8</v>
      </c>
      <c r="E46" s="5">
        <f t="shared" si="4"/>
        <v>0</v>
      </c>
      <c r="F46" s="1"/>
      <c r="J46" s="6" t="s">
        <v>35</v>
      </c>
      <c r="K46" s="91" t="e">
        <f>K51</f>
        <v>#N/A</v>
      </c>
      <c r="L46" s="1"/>
      <c r="M46" s="5"/>
      <c r="N46" s="1"/>
    </row>
    <row r="47" spans="2:14" ht="13.15" customHeight="1" x14ac:dyDescent="0.25">
      <c r="B47" s="1" t="s">
        <v>7</v>
      </c>
      <c r="C47" s="84" t="e">
        <f>C44/(Input!D28*C39)</f>
        <v>#N/A</v>
      </c>
      <c r="D47" s="1">
        <v>9</v>
      </c>
      <c r="E47" s="5">
        <f t="shared" si="4"/>
        <v>0</v>
      </c>
      <c r="F47" s="1"/>
      <c r="J47" s="1" t="s">
        <v>7</v>
      </c>
      <c r="K47" s="84" t="e">
        <f>K44/(Input!E28*K39)</f>
        <v>#N/A</v>
      </c>
      <c r="L47" s="1"/>
      <c r="M47" s="5"/>
      <c r="N47" s="1"/>
    </row>
    <row r="48" spans="2:14" ht="13.15" customHeight="1" x14ac:dyDescent="0.25">
      <c r="B48" s="1" t="s">
        <v>9</v>
      </c>
      <c r="C48" s="92">
        <f>SUM(G19:G28)</f>
        <v>0</v>
      </c>
      <c r="D48" s="1">
        <v>10</v>
      </c>
      <c r="E48" s="5">
        <f t="shared" si="4"/>
        <v>0</v>
      </c>
      <c r="F48" s="1"/>
      <c r="J48" s="1" t="s">
        <v>9</v>
      </c>
      <c r="K48" s="92">
        <f>SUM(O19:O23)</f>
        <v>0</v>
      </c>
      <c r="L48" s="1"/>
      <c r="M48" s="5"/>
      <c r="N48" s="1"/>
    </row>
    <row r="49" spans="2:14" ht="13.15" customHeight="1" x14ac:dyDescent="0.25">
      <c r="B49" s="1" t="s">
        <v>10</v>
      </c>
      <c r="C49" s="92" t="e">
        <f>-PV(Input!D12,10,C44/Input!D28)</f>
        <v>#N/A</v>
      </c>
      <c r="D49" s="1">
        <v>11</v>
      </c>
      <c r="E49" s="5">
        <f t="shared" si="4"/>
        <v>0</v>
      </c>
      <c r="F49" s="1"/>
      <c r="J49" s="1" t="s">
        <v>10</v>
      </c>
      <c r="K49" s="92" t="e">
        <f>-PV(Input!E12,5,K44/Input!E28)</f>
        <v>#N/A</v>
      </c>
      <c r="L49" s="1"/>
      <c r="M49" s="5"/>
      <c r="N49" s="1"/>
    </row>
    <row r="50" spans="2:14" ht="13.15" customHeight="1" x14ac:dyDescent="0.25">
      <c r="B50" s="6" t="s">
        <v>11</v>
      </c>
      <c r="C50" s="91" t="e">
        <f>(C41-C42)*E28</f>
        <v>#DIV/0!</v>
      </c>
      <c r="D50" s="1"/>
      <c r="E50" s="1"/>
      <c r="F50" s="1"/>
      <c r="J50" s="6" t="s">
        <v>11</v>
      </c>
      <c r="K50" s="91" t="e">
        <f>(K41-K42)*M23</f>
        <v>#DIV/0!</v>
      </c>
      <c r="L50" s="1"/>
      <c r="M50" s="1"/>
      <c r="N50" s="1"/>
    </row>
    <row r="51" spans="2:14" ht="13.15" customHeight="1" x14ac:dyDescent="0.25">
      <c r="B51" s="1" t="s">
        <v>12</v>
      </c>
      <c r="C51" s="84" t="e">
        <f>C47+C48-C49+C50</f>
        <v>#N/A</v>
      </c>
      <c r="D51" s="1"/>
      <c r="E51" s="1"/>
      <c r="F51" s="1"/>
      <c r="J51" s="1" t="s">
        <v>12</v>
      </c>
      <c r="K51" s="84" t="e">
        <f>K47+K48-K49+K50</f>
        <v>#N/A</v>
      </c>
      <c r="L51" s="1"/>
      <c r="M51" s="1"/>
      <c r="N51" s="1"/>
    </row>
    <row r="52" spans="2:14" ht="13.15" customHeight="1" x14ac:dyDescent="0.25"/>
    <row r="53" spans="2:14" ht="13.15" customHeight="1" x14ac:dyDescent="0.25"/>
    <row r="54" spans="2:14" ht="13.15" customHeight="1" x14ac:dyDescent="0.25">
      <c r="B54" s="3" t="s">
        <v>93</v>
      </c>
      <c r="C54" s="6"/>
      <c r="D54" s="6" t="s">
        <v>15</v>
      </c>
      <c r="E54" s="6" t="s">
        <v>34</v>
      </c>
      <c r="J54" s="3" t="s">
        <v>93</v>
      </c>
      <c r="K54" s="6"/>
      <c r="L54" s="6" t="s">
        <v>15</v>
      </c>
      <c r="M54" s="6" t="s">
        <v>34</v>
      </c>
    </row>
    <row r="55" spans="2:14" ht="13.15" customHeight="1" x14ac:dyDescent="0.25">
      <c r="B55" s="1" t="s">
        <v>32</v>
      </c>
      <c r="C55" s="80" t="e">
        <f>C19</f>
        <v>#DIV/0!</v>
      </c>
      <c r="D55" s="1">
        <v>1</v>
      </c>
      <c r="E55" s="5">
        <f>F5</f>
        <v>0</v>
      </c>
      <c r="J55" s="1" t="s">
        <v>32</v>
      </c>
      <c r="K55" s="80" t="e">
        <f>K19</f>
        <v>#DIV/0!</v>
      </c>
      <c r="L55" s="1">
        <v>1</v>
      </c>
      <c r="M55" s="5">
        <f>+N5</f>
        <v>0</v>
      </c>
    </row>
    <row r="56" spans="2:14" ht="13.15" customHeight="1" x14ac:dyDescent="0.25">
      <c r="B56" s="1" t="s">
        <v>33</v>
      </c>
      <c r="C56" s="80" t="e">
        <f>C20</f>
        <v>#DIV/0!</v>
      </c>
      <c r="D56" s="1">
        <v>2</v>
      </c>
      <c r="E56" s="5">
        <f t="shared" ref="E56:E65" si="6">F6</f>
        <v>0</v>
      </c>
      <c r="J56" s="1" t="s">
        <v>33</v>
      </c>
      <c r="K56" s="80" t="e">
        <f>K20</f>
        <v>#DIV/0!</v>
      </c>
      <c r="L56" s="1">
        <v>2</v>
      </c>
      <c r="M56" s="5">
        <f t="shared" ref="M56:M60" si="7">+N6</f>
        <v>0</v>
      </c>
    </row>
    <row r="57" spans="2:14" ht="13.15" customHeight="1" x14ac:dyDescent="0.25">
      <c r="B57" s="1" t="s">
        <v>71</v>
      </c>
      <c r="C57" s="5" t="e">
        <f>C21</f>
        <v>#DIV/0!</v>
      </c>
      <c r="D57" s="1">
        <v>3</v>
      </c>
      <c r="E57" s="5">
        <f t="shared" si="6"/>
        <v>0</v>
      </c>
      <c r="J57" s="1" t="s">
        <v>71</v>
      </c>
      <c r="K57" s="5" t="e">
        <f>K21</f>
        <v>#DIV/0!</v>
      </c>
      <c r="L57" s="1">
        <v>3</v>
      </c>
      <c r="M57" s="5">
        <f t="shared" si="7"/>
        <v>0</v>
      </c>
    </row>
    <row r="58" spans="2:14" ht="13.15" customHeight="1" x14ac:dyDescent="0.25">
      <c r="B58" s="1" t="s">
        <v>8</v>
      </c>
      <c r="C58" s="7" t="e">
        <f>C63*C59</f>
        <v>#N/A</v>
      </c>
      <c r="D58" s="1">
        <v>4</v>
      </c>
      <c r="E58" s="5">
        <f t="shared" si="6"/>
        <v>0</v>
      </c>
      <c r="J58" s="1" t="s">
        <v>8</v>
      </c>
      <c r="K58" s="7" t="e">
        <f>K63*K59</f>
        <v>#N/A</v>
      </c>
      <c r="L58" s="1">
        <v>4</v>
      </c>
      <c r="M58" s="5">
        <f t="shared" si="7"/>
        <v>0</v>
      </c>
    </row>
    <row r="59" spans="2:14" ht="13.15" customHeight="1" x14ac:dyDescent="0.25">
      <c r="B59" s="1" t="s">
        <v>30</v>
      </c>
      <c r="C59" s="82" t="e">
        <f>1-Calcs!C56</f>
        <v>#DIV/0!</v>
      </c>
      <c r="D59" s="1">
        <v>5</v>
      </c>
      <c r="E59" s="5">
        <f t="shared" si="6"/>
        <v>0</v>
      </c>
      <c r="J59" s="1" t="s">
        <v>30</v>
      </c>
      <c r="K59" s="82" t="e">
        <f>1-Calcs!K56</f>
        <v>#DIV/0!</v>
      </c>
      <c r="L59" s="1">
        <v>5</v>
      </c>
      <c r="M59" s="5">
        <f t="shared" si="7"/>
        <v>0</v>
      </c>
    </row>
    <row r="60" spans="2:14" ht="13.15" customHeight="1" x14ac:dyDescent="0.25">
      <c r="B60" s="1" t="s">
        <v>158</v>
      </c>
      <c r="C60" s="5" t="e">
        <f>Input!D35</f>
        <v>#N/A</v>
      </c>
      <c r="D60" s="1">
        <v>6</v>
      </c>
      <c r="E60" s="5">
        <f t="shared" si="6"/>
        <v>0</v>
      </c>
      <c r="J60" s="1" t="s">
        <v>158</v>
      </c>
      <c r="K60" s="5" t="e">
        <f>Input!E35</f>
        <v>#N/A</v>
      </c>
      <c r="L60" s="1">
        <v>6</v>
      </c>
      <c r="M60" s="5">
        <f t="shared" si="7"/>
        <v>0</v>
      </c>
    </row>
    <row r="61" spans="2:14" ht="13.15" customHeight="1" x14ac:dyDescent="0.25">
      <c r="B61" s="1"/>
      <c r="C61" s="1"/>
      <c r="D61" s="1">
        <v>7</v>
      </c>
      <c r="E61" s="5">
        <f t="shared" si="6"/>
        <v>0</v>
      </c>
      <c r="J61" s="1"/>
      <c r="K61" s="1"/>
      <c r="L61" s="1"/>
      <c r="M61" s="5"/>
    </row>
    <row r="62" spans="2:14" ht="13.15" customHeight="1" x14ac:dyDescent="0.25">
      <c r="B62" s="6" t="s">
        <v>94</v>
      </c>
      <c r="C62" s="91" t="e">
        <f>C67</f>
        <v>#N/A</v>
      </c>
      <c r="D62" s="1">
        <v>8</v>
      </c>
      <c r="E62" s="5">
        <f t="shared" si="6"/>
        <v>0</v>
      </c>
      <c r="J62" s="6" t="s">
        <v>94</v>
      </c>
      <c r="K62" s="91" t="e">
        <f>K67</f>
        <v>#N/A</v>
      </c>
      <c r="L62" s="1"/>
      <c r="M62" s="5"/>
    </row>
    <row r="63" spans="2:14" ht="13.15" customHeight="1" x14ac:dyDescent="0.25">
      <c r="B63" s="1" t="s">
        <v>7</v>
      </c>
      <c r="C63" s="84" t="e">
        <f>C60/Input!D33</f>
        <v>#N/A</v>
      </c>
      <c r="D63" s="1">
        <v>9</v>
      </c>
      <c r="E63" s="5">
        <f t="shared" si="6"/>
        <v>0</v>
      </c>
      <c r="J63" s="1" t="s">
        <v>7</v>
      </c>
      <c r="K63" s="84" t="e">
        <f>K60/Input!E33</f>
        <v>#N/A</v>
      </c>
      <c r="L63" s="1"/>
      <c r="M63" s="5"/>
    </row>
    <row r="64" spans="2:14" ht="13.15" customHeight="1" x14ac:dyDescent="0.25">
      <c r="B64" s="1" t="s">
        <v>9</v>
      </c>
      <c r="C64" s="92">
        <f>SUM(G19:G28)</f>
        <v>0</v>
      </c>
      <c r="D64" s="1">
        <v>10</v>
      </c>
      <c r="E64" s="5">
        <f t="shared" si="6"/>
        <v>0</v>
      </c>
      <c r="J64" s="1" t="s">
        <v>9</v>
      </c>
      <c r="K64" s="92">
        <f>SUM(O19:O23)</f>
        <v>0</v>
      </c>
      <c r="L64" s="1"/>
      <c r="M64" s="5"/>
    </row>
    <row r="65" spans="2:13" x14ac:dyDescent="0.25">
      <c r="B65" s="1" t="s">
        <v>10</v>
      </c>
      <c r="C65" s="92" t="e">
        <f>-PV(Input!D12,10,C63*C55)</f>
        <v>#N/A</v>
      </c>
      <c r="D65" s="1">
        <v>11</v>
      </c>
      <c r="E65" s="5">
        <f t="shared" si="6"/>
        <v>0</v>
      </c>
      <c r="J65" s="1" t="s">
        <v>10</v>
      </c>
      <c r="K65" s="92" t="e">
        <f>-PV(Input!E12,5,K63*K55)</f>
        <v>#N/A</v>
      </c>
      <c r="L65" s="1"/>
      <c r="M65" s="5"/>
    </row>
    <row r="66" spans="2:13" x14ac:dyDescent="0.25">
      <c r="B66" s="6" t="s">
        <v>11</v>
      </c>
      <c r="C66" s="91" t="e">
        <f>(C57-C58)*E28</f>
        <v>#DIV/0!</v>
      </c>
      <c r="D66" s="1"/>
      <c r="E66" s="1"/>
      <c r="J66" s="6" t="s">
        <v>11</v>
      </c>
      <c r="K66" s="91" t="e">
        <f>(K57-K58)*M23</f>
        <v>#DIV/0!</v>
      </c>
      <c r="L66" s="1"/>
      <c r="M66" s="1"/>
    </row>
    <row r="67" spans="2:13" x14ac:dyDescent="0.25">
      <c r="B67" s="1" t="s">
        <v>12</v>
      </c>
      <c r="C67" s="84" t="e">
        <f>C63+C64-C65+C66</f>
        <v>#N/A</v>
      </c>
      <c r="D67" s="1"/>
      <c r="E67" s="1"/>
      <c r="J67" s="1" t="s">
        <v>12</v>
      </c>
      <c r="K67" s="84" t="e">
        <f>K63+K64-K65+K66</f>
        <v>#N/A</v>
      </c>
      <c r="L67" s="1"/>
      <c r="M67" s="1"/>
    </row>
  </sheetData>
  <mergeCells count="2">
    <mergeCell ref="B3:H3"/>
    <mergeCell ref="J3:P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Intro</vt:lpstr>
      <vt:lpstr>Input</vt:lpstr>
      <vt:lpstr>10 Yr Output-LTV</vt:lpstr>
      <vt:lpstr>10 Yr Output-DCR</vt:lpstr>
      <vt:lpstr>10 Yr Output-DY</vt:lpstr>
      <vt:lpstr>5 Yr Output-LTV</vt:lpstr>
      <vt:lpstr>5 Yr Output-DCR</vt:lpstr>
      <vt:lpstr>5 Yr Output-DY</vt:lpstr>
      <vt:lpstr>Calcs</vt:lpstr>
      <vt:lpstr>License</vt:lpstr>
      <vt:lpstr>'10 Yr Output-LTV'!Print_Area</vt:lpstr>
      <vt:lpstr>Input!Print_Area</vt:lpstr>
    </vt:vector>
  </TitlesOfParts>
  <Company>Cornell University -  Hotel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FixVar</dc:title>
  <dc:creator>Jan deRoos</dc:creator>
  <cp:lastModifiedBy>Steve Rushmore</cp:lastModifiedBy>
  <cp:lastPrinted>1999-07-14T22:45:45Z</cp:lastPrinted>
  <dcterms:created xsi:type="dcterms:W3CDTF">1998-11-27T21:01:16Z</dcterms:created>
  <dcterms:modified xsi:type="dcterms:W3CDTF">2019-03-11T00:59:34Z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{DD8266A6-1D5A-427B-9E0F-227248070B4B}</vt:lpwstr>
  </property>
</Properties>
</file>