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filterPrivacy="1"/>
  <xr:revisionPtr revIDLastSave="0" documentId="13_ncr:1_{6000060B-7EEF-114E-8B01-5A5C97D2CEE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Annual Budget" sheetId="14" r:id="rId1"/>
    <sheet name="January Budget" sheetId="13" r:id="rId2"/>
    <sheet name="February Budget " sheetId="12" r:id="rId3"/>
    <sheet name="March Budget" sheetId="11" r:id="rId4"/>
    <sheet name="April Budget" sheetId="10" r:id="rId5"/>
    <sheet name="May Budget" sheetId="9" r:id="rId6"/>
    <sheet name="June Budget" sheetId="8" r:id="rId7"/>
    <sheet name="July Budget" sheetId="7" r:id="rId8"/>
    <sheet name="August Budget" sheetId="6" r:id="rId9"/>
    <sheet name="September Budget" sheetId="5" r:id="rId10"/>
    <sheet name="October Budget" sheetId="4" r:id="rId11"/>
    <sheet name="November Budget" sheetId="3" r:id="rId12"/>
    <sheet name="December Budget" sheetId="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8" l="1"/>
  <c r="I41" i="10"/>
  <c r="C66" i="6"/>
  <c r="C50" i="3"/>
  <c r="E65" i="13"/>
  <c r="D46" i="14"/>
  <c r="D48" i="14"/>
  <c r="D54" i="14"/>
  <c r="D55" i="14"/>
  <c r="C61" i="14"/>
  <c r="C63" i="14"/>
  <c r="D61" i="14"/>
  <c r="D63" i="14"/>
  <c r="H61" i="14"/>
  <c r="H62" i="14"/>
  <c r="I62" i="14"/>
  <c r="D71" i="14"/>
  <c r="D73" i="14"/>
  <c r="D74" i="14"/>
  <c r="C70" i="14"/>
  <c r="D70" i="14"/>
  <c r="C71" i="14"/>
  <c r="C72" i="14"/>
  <c r="D72" i="14"/>
  <c r="C73" i="14"/>
  <c r="C74" i="14"/>
  <c r="C75" i="14"/>
  <c r="D75" i="14"/>
  <c r="C76" i="14"/>
  <c r="D76" i="14"/>
  <c r="H50" i="12"/>
  <c r="J49" i="12"/>
  <c r="I61" i="14"/>
  <c r="I63" i="14"/>
  <c r="I64" i="14"/>
  <c r="H63" i="14"/>
  <c r="H64" i="14"/>
  <c r="D62" i="14"/>
  <c r="D64" i="14"/>
  <c r="D65" i="14"/>
  <c r="C62" i="14"/>
  <c r="C64" i="14"/>
  <c r="C65" i="14"/>
  <c r="I54" i="14"/>
  <c r="I55" i="14"/>
  <c r="I56" i="14"/>
  <c r="H55" i="14"/>
  <c r="H56" i="14"/>
  <c r="H54" i="14"/>
  <c r="D56" i="14"/>
  <c r="C55" i="14"/>
  <c r="C56" i="14"/>
  <c r="C54" i="14"/>
  <c r="I46" i="14"/>
  <c r="J46" i="14" s="1"/>
  <c r="I47" i="14"/>
  <c r="I48" i="14"/>
  <c r="H47" i="14"/>
  <c r="H48" i="14"/>
  <c r="H46" i="14"/>
  <c r="H49" i="14" s="1"/>
  <c r="D47" i="14"/>
  <c r="D49" i="14"/>
  <c r="C47" i="14"/>
  <c r="C48" i="14"/>
  <c r="C49" i="14"/>
  <c r="C46" i="14"/>
  <c r="I35" i="14"/>
  <c r="I36" i="14"/>
  <c r="I37" i="14"/>
  <c r="I38" i="14"/>
  <c r="I39" i="14"/>
  <c r="I40" i="14"/>
  <c r="H36" i="14"/>
  <c r="H37" i="14"/>
  <c r="H38" i="14"/>
  <c r="H39" i="14"/>
  <c r="H40" i="14"/>
  <c r="H35" i="14"/>
  <c r="D35" i="14"/>
  <c r="D36" i="14"/>
  <c r="D37" i="14"/>
  <c r="D38" i="14"/>
  <c r="D39" i="14"/>
  <c r="D40" i="14"/>
  <c r="D41" i="14"/>
  <c r="C36" i="14"/>
  <c r="C37" i="14"/>
  <c r="C38" i="14"/>
  <c r="C39" i="14"/>
  <c r="C40" i="14"/>
  <c r="C41" i="14"/>
  <c r="C35" i="14"/>
  <c r="I21" i="14"/>
  <c r="I22" i="14"/>
  <c r="I23" i="14"/>
  <c r="I24" i="14"/>
  <c r="I25" i="14"/>
  <c r="I26" i="14"/>
  <c r="I27" i="14"/>
  <c r="I28" i="14"/>
  <c r="I29" i="14"/>
  <c r="H22" i="14"/>
  <c r="H23" i="14"/>
  <c r="H24" i="14"/>
  <c r="H25" i="14"/>
  <c r="H26" i="14"/>
  <c r="H27" i="14"/>
  <c r="H28" i="14"/>
  <c r="H29" i="14"/>
  <c r="H21" i="14"/>
  <c r="C21" i="14"/>
  <c r="J49" i="13"/>
  <c r="D21" i="14"/>
  <c r="D22" i="14"/>
  <c r="D23" i="14"/>
  <c r="D24" i="14"/>
  <c r="D25" i="14"/>
  <c r="D26" i="14"/>
  <c r="D27" i="14"/>
  <c r="D28" i="14"/>
  <c r="D29" i="14"/>
  <c r="D30" i="14"/>
  <c r="C22" i="14"/>
  <c r="C23" i="14"/>
  <c r="C24" i="14"/>
  <c r="C25" i="14"/>
  <c r="C26" i="14"/>
  <c r="C27" i="14"/>
  <c r="C28" i="14"/>
  <c r="C29" i="14"/>
  <c r="C30" i="14"/>
  <c r="D77" i="13"/>
  <c r="C77" i="13"/>
  <c r="E76" i="13"/>
  <c r="E75" i="13"/>
  <c r="E74" i="13"/>
  <c r="E73" i="13"/>
  <c r="E72" i="13"/>
  <c r="E71" i="13"/>
  <c r="E70" i="13"/>
  <c r="D66" i="13"/>
  <c r="C66" i="13"/>
  <c r="I65" i="13"/>
  <c r="H65" i="13"/>
  <c r="J64" i="13"/>
  <c r="E64" i="13"/>
  <c r="J63" i="13"/>
  <c r="E63" i="13"/>
  <c r="J62" i="13"/>
  <c r="E62" i="13"/>
  <c r="J61" i="13"/>
  <c r="E61" i="13"/>
  <c r="I57" i="13"/>
  <c r="H57" i="13"/>
  <c r="D57" i="13"/>
  <c r="C57" i="13"/>
  <c r="J56" i="13"/>
  <c r="E56" i="13"/>
  <c r="E57" i="13" s="1"/>
  <c r="J55" i="13"/>
  <c r="E55" i="13"/>
  <c r="J54" i="13"/>
  <c r="E54" i="13"/>
  <c r="D50" i="13"/>
  <c r="C50" i="13"/>
  <c r="I50" i="13"/>
  <c r="H50" i="13"/>
  <c r="E49" i="13"/>
  <c r="J48" i="13"/>
  <c r="E48" i="13"/>
  <c r="J47" i="13"/>
  <c r="E47" i="13"/>
  <c r="J46" i="13"/>
  <c r="E46" i="13"/>
  <c r="D42" i="13"/>
  <c r="C42" i="13"/>
  <c r="I41" i="13"/>
  <c r="H41" i="13"/>
  <c r="E41" i="13"/>
  <c r="J40" i="13"/>
  <c r="E40" i="13"/>
  <c r="J39" i="13"/>
  <c r="E39" i="13"/>
  <c r="J38" i="13"/>
  <c r="E38" i="13"/>
  <c r="J37" i="13"/>
  <c r="E37" i="13"/>
  <c r="J36" i="13"/>
  <c r="E36" i="13"/>
  <c r="J35" i="13"/>
  <c r="E35" i="13"/>
  <c r="D31" i="13"/>
  <c r="C31" i="13"/>
  <c r="I30" i="13"/>
  <c r="H30" i="13"/>
  <c r="E30" i="13"/>
  <c r="J29" i="13"/>
  <c r="E29" i="13"/>
  <c r="J28" i="13"/>
  <c r="E28" i="13"/>
  <c r="J27" i="13"/>
  <c r="E27" i="13"/>
  <c r="J26" i="13"/>
  <c r="E26" i="13"/>
  <c r="J25" i="13"/>
  <c r="E25" i="13"/>
  <c r="J24" i="13"/>
  <c r="E24" i="13"/>
  <c r="J23" i="13"/>
  <c r="E23" i="13"/>
  <c r="J22" i="13"/>
  <c r="E22" i="13"/>
  <c r="J21" i="13"/>
  <c r="E21" i="13"/>
  <c r="C17" i="13"/>
  <c r="C9" i="13"/>
  <c r="D77" i="12"/>
  <c r="C77" i="12"/>
  <c r="E76" i="12"/>
  <c r="E75" i="12"/>
  <c r="E74" i="12"/>
  <c r="E73" i="12"/>
  <c r="E72" i="12"/>
  <c r="E71" i="12"/>
  <c r="E70" i="12"/>
  <c r="D66" i="12"/>
  <c r="C66" i="12"/>
  <c r="I65" i="12"/>
  <c r="H65" i="12"/>
  <c r="E65" i="12"/>
  <c r="J64" i="12"/>
  <c r="E64" i="12"/>
  <c r="J63" i="12"/>
  <c r="E63" i="12"/>
  <c r="J62" i="12"/>
  <c r="E62" i="12"/>
  <c r="J61" i="12"/>
  <c r="E61" i="12"/>
  <c r="I57" i="12"/>
  <c r="H57" i="12"/>
  <c r="D57" i="12"/>
  <c r="C57" i="12"/>
  <c r="J56" i="12"/>
  <c r="E56" i="12"/>
  <c r="J55" i="12"/>
  <c r="E55" i="12"/>
  <c r="J54" i="12"/>
  <c r="E54" i="12"/>
  <c r="D50" i="12"/>
  <c r="C50" i="12"/>
  <c r="I50" i="12"/>
  <c r="E49" i="12"/>
  <c r="J48" i="12"/>
  <c r="E48" i="12"/>
  <c r="J47" i="12"/>
  <c r="E47" i="12"/>
  <c r="J46" i="12"/>
  <c r="E46" i="12"/>
  <c r="D42" i="12"/>
  <c r="C42" i="12"/>
  <c r="I41" i="12"/>
  <c r="H41" i="12"/>
  <c r="E41" i="12"/>
  <c r="J40" i="12"/>
  <c r="E40" i="12"/>
  <c r="J39" i="12"/>
  <c r="E39" i="12"/>
  <c r="J38" i="12"/>
  <c r="E38" i="12"/>
  <c r="J37" i="12"/>
  <c r="E37" i="12"/>
  <c r="J36" i="12"/>
  <c r="E36" i="12"/>
  <c r="J35" i="12"/>
  <c r="E35" i="12"/>
  <c r="D31" i="12"/>
  <c r="C31" i="12"/>
  <c r="I30" i="12"/>
  <c r="H30" i="12"/>
  <c r="E30" i="12"/>
  <c r="J29" i="12"/>
  <c r="E29" i="12"/>
  <c r="J28" i="12"/>
  <c r="E28" i="12"/>
  <c r="J27" i="12"/>
  <c r="E27" i="12"/>
  <c r="J26" i="12"/>
  <c r="E26" i="12"/>
  <c r="J25" i="12"/>
  <c r="E25" i="12"/>
  <c r="J24" i="12"/>
  <c r="E24" i="12"/>
  <c r="J23" i="12"/>
  <c r="E23" i="12"/>
  <c r="J22" i="12"/>
  <c r="E22" i="12"/>
  <c r="J21" i="12"/>
  <c r="E21" i="12"/>
  <c r="C17" i="12"/>
  <c r="C9" i="12"/>
  <c r="D77" i="11"/>
  <c r="C77" i="11"/>
  <c r="E76" i="11"/>
  <c r="E75" i="11"/>
  <c r="E74" i="11"/>
  <c r="E73" i="11"/>
  <c r="E72" i="11"/>
  <c r="E71" i="11"/>
  <c r="E70" i="11"/>
  <c r="D66" i="11"/>
  <c r="C66" i="11"/>
  <c r="I65" i="11"/>
  <c r="H65" i="11"/>
  <c r="E65" i="11"/>
  <c r="J64" i="11"/>
  <c r="E64" i="11"/>
  <c r="J63" i="11"/>
  <c r="E63" i="11"/>
  <c r="J62" i="11"/>
  <c r="E62" i="11"/>
  <c r="J61" i="11"/>
  <c r="E61" i="11"/>
  <c r="I57" i="11"/>
  <c r="H57" i="11"/>
  <c r="D57" i="11"/>
  <c r="C57" i="11"/>
  <c r="J56" i="11"/>
  <c r="E56" i="11"/>
  <c r="J55" i="11"/>
  <c r="E55" i="11"/>
  <c r="J54" i="11"/>
  <c r="E54" i="11"/>
  <c r="D50" i="11"/>
  <c r="C50" i="11"/>
  <c r="I49" i="11"/>
  <c r="H49" i="11"/>
  <c r="E49" i="11"/>
  <c r="J48" i="11"/>
  <c r="J49" i="11" s="1"/>
  <c r="E48" i="11"/>
  <c r="J47" i="11"/>
  <c r="E47" i="11"/>
  <c r="J46" i="11"/>
  <c r="E46" i="11"/>
  <c r="D42" i="11"/>
  <c r="C42" i="11"/>
  <c r="I41" i="11"/>
  <c r="H41" i="11"/>
  <c r="E41" i="11"/>
  <c r="J40" i="11"/>
  <c r="E40" i="11"/>
  <c r="J39" i="11"/>
  <c r="E39" i="11"/>
  <c r="J38" i="11"/>
  <c r="E38" i="11"/>
  <c r="J37" i="11"/>
  <c r="E37" i="11"/>
  <c r="J36" i="11"/>
  <c r="E36" i="11"/>
  <c r="J35" i="11"/>
  <c r="E35" i="11"/>
  <c r="D31" i="11"/>
  <c r="C31" i="11"/>
  <c r="I30" i="11"/>
  <c r="H30" i="11"/>
  <c r="E30" i="11"/>
  <c r="J29" i="11"/>
  <c r="E29" i="11"/>
  <c r="J28" i="11"/>
  <c r="E28" i="11"/>
  <c r="J27" i="11"/>
  <c r="E27" i="11"/>
  <c r="J26" i="11"/>
  <c r="E26" i="11"/>
  <c r="J25" i="11"/>
  <c r="E25" i="11"/>
  <c r="J24" i="11"/>
  <c r="E24" i="11"/>
  <c r="J23" i="11"/>
  <c r="E23" i="11"/>
  <c r="J22" i="11"/>
  <c r="E22" i="11"/>
  <c r="J21" i="11"/>
  <c r="E21" i="11"/>
  <c r="C17" i="11"/>
  <c r="C9" i="11"/>
  <c r="D77" i="10"/>
  <c r="C77" i="10"/>
  <c r="E76" i="10"/>
  <c r="E75" i="10"/>
  <c r="E74" i="10"/>
  <c r="E73" i="10"/>
  <c r="E72" i="10"/>
  <c r="E71" i="10"/>
  <c r="E70" i="10"/>
  <c r="D66" i="10"/>
  <c r="C66" i="10"/>
  <c r="I65" i="10"/>
  <c r="H65" i="10"/>
  <c r="E65" i="10"/>
  <c r="J64" i="10"/>
  <c r="E64" i="10"/>
  <c r="J63" i="10"/>
  <c r="E63" i="10"/>
  <c r="J62" i="10"/>
  <c r="E62" i="10"/>
  <c r="J61" i="10"/>
  <c r="E61" i="10"/>
  <c r="I57" i="10"/>
  <c r="H57" i="10"/>
  <c r="D57" i="10"/>
  <c r="C57" i="10"/>
  <c r="J56" i="10"/>
  <c r="E56" i="10"/>
  <c r="J55" i="10"/>
  <c r="E55" i="10"/>
  <c r="J54" i="10"/>
  <c r="E54" i="10"/>
  <c r="D50" i="10"/>
  <c r="C50" i="10"/>
  <c r="I49" i="10"/>
  <c r="H49" i="10"/>
  <c r="E49" i="10"/>
  <c r="J48" i="10"/>
  <c r="J49" i="10" s="1"/>
  <c r="E48" i="10"/>
  <c r="J47" i="10"/>
  <c r="E47" i="10"/>
  <c r="J46" i="10"/>
  <c r="E46" i="10"/>
  <c r="D42" i="10"/>
  <c r="C42" i="10"/>
  <c r="H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D31" i="10"/>
  <c r="C31" i="10"/>
  <c r="I30" i="10"/>
  <c r="H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C17" i="10"/>
  <c r="C9" i="10"/>
  <c r="D77" i="9"/>
  <c r="C77" i="9"/>
  <c r="E76" i="9"/>
  <c r="E75" i="9"/>
  <c r="E74" i="9"/>
  <c r="E73" i="9"/>
  <c r="E72" i="9"/>
  <c r="E71" i="9"/>
  <c r="E70" i="9"/>
  <c r="D66" i="9"/>
  <c r="C66" i="9"/>
  <c r="I65" i="9"/>
  <c r="H65" i="9"/>
  <c r="E65" i="9"/>
  <c r="J64" i="9"/>
  <c r="E64" i="9"/>
  <c r="J63" i="9"/>
  <c r="E63" i="9"/>
  <c r="J62" i="9"/>
  <c r="E62" i="9"/>
  <c r="J61" i="9"/>
  <c r="E61" i="9"/>
  <c r="I57" i="9"/>
  <c r="H57" i="9"/>
  <c r="D57" i="9"/>
  <c r="C57" i="9"/>
  <c r="J56" i="9"/>
  <c r="E56" i="9"/>
  <c r="J55" i="9"/>
  <c r="E55" i="9"/>
  <c r="J54" i="9"/>
  <c r="E54" i="9"/>
  <c r="D50" i="9"/>
  <c r="C50" i="9"/>
  <c r="I49" i="9"/>
  <c r="H49" i="9"/>
  <c r="E49" i="9"/>
  <c r="J48" i="9"/>
  <c r="J49" i="9" s="1"/>
  <c r="E48" i="9"/>
  <c r="J47" i="9"/>
  <c r="E47" i="9"/>
  <c r="J46" i="9"/>
  <c r="E46" i="9"/>
  <c r="D42" i="9"/>
  <c r="C42" i="9"/>
  <c r="I41" i="9"/>
  <c r="H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D31" i="9"/>
  <c r="C31" i="9"/>
  <c r="I30" i="9"/>
  <c r="H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C17" i="9"/>
  <c r="C9" i="9"/>
  <c r="D77" i="8"/>
  <c r="C77" i="8"/>
  <c r="E76" i="8"/>
  <c r="E75" i="8"/>
  <c r="E74" i="8"/>
  <c r="E73" i="8"/>
  <c r="E72" i="8"/>
  <c r="E71" i="8"/>
  <c r="E70" i="8"/>
  <c r="D66" i="8"/>
  <c r="C66" i="8"/>
  <c r="I65" i="8"/>
  <c r="H65" i="8"/>
  <c r="E65" i="8"/>
  <c r="J64" i="8"/>
  <c r="E64" i="8"/>
  <c r="J63" i="8"/>
  <c r="E63" i="8"/>
  <c r="J62" i="8"/>
  <c r="E62" i="8"/>
  <c r="J61" i="8"/>
  <c r="E61" i="8"/>
  <c r="I57" i="8"/>
  <c r="H57" i="8"/>
  <c r="D57" i="8"/>
  <c r="C57" i="8"/>
  <c r="J56" i="8"/>
  <c r="E56" i="8"/>
  <c r="E57" i="8" s="1"/>
  <c r="J55" i="8"/>
  <c r="E55" i="8"/>
  <c r="J54" i="8"/>
  <c r="E54" i="8"/>
  <c r="D50" i="8"/>
  <c r="C50" i="8"/>
  <c r="I49" i="8"/>
  <c r="H49" i="8"/>
  <c r="E49" i="8"/>
  <c r="J48" i="8"/>
  <c r="J49" i="8" s="1"/>
  <c r="E48" i="8"/>
  <c r="J47" i="8"/>
  <c r="E47" i="8"/>
  <c r="J46" i="8"/>
  <c r="E46" i="8"/>
  <c r="C42" i="8"/>
  <c r="I41" i="8"/>
  <c r="H41" i="8"/>
  <c r="E41" i="8"/>
  <c r="J40" i="8"/>
  <c r="E40" i="8"/>
  <c r="J39" i="8"/>
  <c r="E39" i="8"/>
  <c r="J38" i="8"/>
  <c r="E38" i="8"/>
  <c r="J37" i="8"/>
  <c r="E37" i="8"/>
  <c r="J36" i="8"/>
  <c r="E36" i="8"/>
  <c r="J35" i="8"/>
  <c r="E35" i="8"/>
  <c r="D31" i="8"/>
  <c r="C31" i="8"/>
  <c r="I30" i="8"/>
  <c r="H30" i="8"/>
  <c r="E30" i="8"/>
  <c r="J29" i="8"/>
  <c r="E29" i="8"/>
  <c r="J28" i="8"/>
  <c r="E28" i="8"/>
  <c r="J27" i="8"/>
  <c r="E27" i="8"/>
  <c r="J26" i="8"/>
  <c r="E26" i="8"/>
  <c r="J25" i="8"/>
  <c r="E25" i="8"/>
  <c r="J24" i="8"/>
  <c r="E24" i="8"/>
  <c r="J23" i="8"/>
  <c r="E23" i="8"/>
  <c r="J22" i="8"/>
  <c r="E22" i="8"/>
  <c r="J21" i="8"/>
  <c r="E21" i="8"/>
  <c r="C17" i="8"/>
  <c r="C9" i="8"/>
  <c r="D77" i="7"/>
  <c r="C77" i="7"/>
  <c r="E76" i="7"/>
  <c r="E75" i="7"/>
  <c r="E74" i="7"/>
  <c r="E73" i="7"/>
  <c r="E72" i="7"/>
  <c r="E71" i="7"/>
  <c r="E70" i="7"/>
  <c r="D66" i="7"/>
  <c r="C66" i="7"/>
  <c r="I65" i="7"/>
  <c r="H65" i="7"/>
  <c r="E65" i="7"/>
  <c r="J64" i="7"/>
  <c r="E64" i="7"/>
  <c r="J63" i="7"/>
  <c r="E63" i="7"/>
  <c r="J62" i="7"/>
  <c r="E62" i="7"/>
  <c r="J61" i="7"/>
  <c r="E61" i="7"/>
  <c r="I57" i="7"/>
  <c r="H57" i="7"/>
  <c r="D57" i="7"/>
  <c r="C57" i="7"/>
  <c r="J56" i="7"/>
  <c r="E56" i="7"/>
  <c r="J55" i="7"/>
  <c r="E55" i="7"/>
  <c r="J54" i="7"/>
  <c r="E54" i="7"/>
  <c r="D50" i="7"/>
  <c r="C50" i="7"/>
  <c r="I49" i="7"/>
  <c r="H49" i="7"/>
  <c r="E49" i="7"/>
  <c r="J48" i="7"/>
  <c r="J49" i="7" s="1"/>
  <c r="E48" i="7"/>
  <c r="J47" i="7"/>
  <c r="E47" i="7"/>
  <c r="J46" i="7"/>
  <c r="E46" i="7"/>
  <c r="D42" i="7"/>
  <c r="C42" i="7"/>
  <c r="I41" i="7"/>
  <c r="H41" i="7"/>
  <c r="E41" i="7"/>
  <c r="J40" i="7"/>
  <c r="E40" i="7"/>
  <c r="J39" i="7"/>
  <c r="E39" i="7"/>
  <c r="J38" i="7"/>
  <c r="E38" i="7"/>
  <c r="J37" i="7"/>
  <c r="E37" i="7"/>
  <c r="J36" i="7"/>
  <c r="E36" i="7"/>
  <c r="J35" i="7"/>
  <c r="E35" i="7"/>
  <c r="D31" i="7"/>
  <c r="C31" i="7"/>
  <c r="I30" i="7"/>
  <c r="H30" i="7"/>
  <c r="E30" i="7"/>
  <c r="J29" i="7"/>
  <c r="E29" i="7"/>
  <c r="J28" i="7"/>
  <c r="E28" i="7"/>
  <c r="J27" i="7"/>
  <c r="E27" i="7"/>
  <c r="J26" i="7"/>
  <c r="E26" i="7"/>
  <c r="J25" i="7"/>
  <c r="E25" i="7"/>
  <c r="J24" i="7"/>
  <c r="E24" i="7"/>
  <c r="J23" i="7"/>
  <c r="E23" i="7"/>
  <c r="J22" i="7"/>
  <c r="E22" i="7"/>
  <c r="J21" i="7"/>
  <c r="E21" i="7"/>
  <c r="C17" i="7"/>
  <c r="C9" i="7"/>
  <c r="D77" i="6"/>
  <c r="C77" i="6"/>
  <c r="E76" i="6"/>
  <c r="E75" i="6"/>
  <c r="E74" i="6"/>
  <c r="E73" i="6"/>
  <c r="E72" i="6"/>
  <c r="E71" i="6"/>
  <c r="E70" i="6"/>
  <c r="D66" i="6"/>
  <c r="I65" i="6"/>
  <c r="H65" i="6"/>
  <c r="E65" i="6"/>
  <c r="J64" i="6"/>
  <c r="E64" i="6"/>
  <c r="J63" i="6"/>
  <c r="E63" i="6"/>
  <c r="J62" i="6"/>
  <c r="E62" i="6"/>
  <c r="J61" i="6"/>
  <c r="E61" i="6"/>
  <c r="I57" i="6"/>
  <c r="H57" i="6"/>
  <c r="D57" i="6"/>
  <c r="C57" i="6"/>
  <c r="J56" i="6"/>
  <c r="E56" i="6"/>
  <c r="J55" i="6"/>
  <c r="E55" i="6"/>
  <c r="J54" i="6"/>
  <c r="E54" i="6"/>
  <c r="D50" i="6"/>
  <c r="C50" i="6"/>
  <c r="I49" i="6"/>
  <c r="H49" i="6"/>
  <c r="E49" i="6"/>
  <c r="J48" i="6"/>
  <c r="J49" i="6" s="1"/>
  <c r="E48" i="6"/>
  <c r="J47" i="6"/>
  <c r="E47" i="6"/>
  <c r="J46" i="6"/>
  <c r="E46" i="6"/>
  <c r="D42" i="6"/>
  <c r="C42" i="6"/>
  <c r="I41" i="6"/>
  <c r="H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D31" i="6"/>
  <c r="C31" i="6"/>
  <c r="I30" i="6"/>
  <c r="H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C17" i="6"/>
  <c r="C9" i="6"/>
  <c r="D77" i="5"/>
  <c r="C77" i="5"/>
  <c r="E76" i="5"/>
  <c r="E75" i="5"/>
  <c r="E74" i="5"/>
  <c r="E73" i="5"/>
  <c r="E72" i="5"/>
  <c r="E71" i="5"/>
  <c r="E70" i="5"/>
  <c r="D66" i="5"/>
  <c r="C66" i="5"/>
  <c r="I65" i="5"/>
  <c r="H65" i="5"/>
  <c r="E65" i="5"/>
  <c r="J64" i="5"/>
  <c r="E64" i="5"/>
  <c r="J63" i="5"/>
  <c r="J65" i="5" s="1"/>
  <c r="E63" i="5"/>
  <c r="J62" i="5"/>
  <c r="E62" i="5"/>
  <c r="J61" i="5"/>
  <c r="E61" i="5"/>
  <c r="I57" i="5"/>
  <c r="H57" i="5"/>
  <c r="D57" i="5"/>
  <c r="C57" i="5"/>
  <c r="J56" i="5"/>
  <c r="E56" i="5"/>
  <c r="J55" i="5"/>
  <c r="E55" i="5"/>
  <c r="J54" i="5"/>
  <c r="E54" i="5"/>
  <c r="D50" i="5"/>
  <c r="C50" i="5"/>
  <c r="I49" i="5"/>
  <c r="H49" i="5"/>
  <c r="E49" i="5"/>
  <c r="J48" i="5"/>
  <c r="J49" i="5" s="1"/>
  <c r="E48" i="5"/>
  <c r="J47" i="5"/>
  <c r="E47" i="5"/>
  <c r="J46" i="5"/>
  <c r="E46" i="5"/>
  <c r="D42" i="5"/>
  <c r="C42" i="5"/>
  <c r="I41" i="5"/>
  <c r="H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D31" i="5"/>
  <c r="C31" i="5"/>
  <c r="I30" i="5"/>
  <c r="H30" i="5"/>
  <c r="E30" i="5"/>
  <c r="J29" i="5"/>
  <c r="E29" i="5"/>
  <c r="J28" i="5"/>
  <c r="E28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C17" i="5"/>
  <c r="C9" i="5"/>
  <c r="D77" i="4"/>
  <c r="C77" i="4"/>
  <c r="E76" i="4"/>
  <c r="E75" i="4"/>
  <c r="E74" i="4"/>
  <c r="E73" i="4"/>
  <c r="E72" i="4"/>
  <c r="E71" i="4"/>
  <c r="E70" i="4"/>
  <c r="D66" i="4"/>
  <c r="C66" i="4"/>
  <c r="I65" i="4"/>
  <c r="H65" i="4"/>
  <c r="E65" i="4"/>
  <c r="J64" i="4"/>
  <c r="E64" i="4"/>
  <c r="J63" i="4"/>
  <c r="E63" i="4"/>
  <c r="J62" i="4"/>
  <c r="E62" i="4"/>
  <c r="J61" i="4"/>
  <c r="E61" i="4"/>
  <c r="I57" i="4"/>
  <c r="H57" i="4"/>
  <c r="D57" i="4"/>
  <c r="C57" i="4"/>
  <c r="J56" i="4"/>
  <c r="J57" i="4" s="1"/>
  <c r="E56" i="4"/>
  <c r="J55" i="4"/>
  <c r="E55" i="4"/>
  <c r="J54" i="4"/>
  <c r="E54" i="4"/>
  <c r="D50" i="4"/>
  <c r="C50" i="4"/>
  <c r="I49" i="4"/>
  <c r="H49" i="4"/>
  <c r="E49" i="4"/>
  <c r="J48" i="4"/>
  <c r="J49" i="4" s="1"/>
  <c r="E48" i="4"/>
  <c r="J47" i="4"/>
  <c r="E47" i="4"/>
  <c r="J46" i="4"/>
  <c r="E46" i="4"/>
  <c r="E50" i="4" s="1"/>
  <c r="D42" i="4"/>
  <c r="C42" i="4"/>
  <c r="I41" i="4"/>
  <c r="H41" i="4"/>
  <c r="E41" i="4"/>
  <c r="J40" i="4"/>
  <c r="E40" i="4"/>
  <c r="J39" i="4"/>
  <c r="E39" i="4"/>
  <c r="J38" i="4"/>
  <c r="E38" i="4"/>
  <c r="J37" i="4"/>
  <c r="E37" i="4"/>
  <c r="J36" i="4"/>
  <c r="E36" i="4"/>
  <c r="J35" i="4"/>
  <c r="E35" i="4"/>
  <c r="D31" i="4"/>
  <c r="C31" i="4"/>
  <c r="I30" i="4"/>
  <c r="H30" i="4"/>
  <c r="E30" i="4"/>
  <c r="J29" i="4"/>
  <c r="E29" i="4"/>
  <c r="J28" i="4"/>
  <c r="E28" i="4"/>
  <c r="J27" i="4"/>
  <c r="E27" i="4"/>
  <c r="J26" i="4"/>
  <c r="E26" i="4"/>
  <c r="J25" i="4"/>
  <c r="E25" i="4"/>
  <c r="J24" i="4"/>
  <c r="E24" i="4"/>
  <c r="J23" i="4"/>
  <c r="E23" i="4"/>
  <c r="J22" i="4"/>
  <c r="E22" i="4"/>
  <c r="J21" i="4"/>
  <c r="E21" i="4"/>
  <c r="C17" i="4"/>
  <c r="C9" i="4"/>
  <c r="D77" i="3"/>
  <c r="C77" i="3"/>
  <c r="E76" i="3"/>
  <c r="E75" i="3"/>
  <c r="E74" i="3"/>
  <c r="E73" i="3"/>
  <c r="E72" i="3"/>
  <c r="E71" i="3"/>
  <c r="E70" i="3"/>
  <c r="D66" i="3"/>
  <c r="C66" i="3"/>
  <c r="I65" i="3"/>
  <c r="H65" i="3"/>
  <c r="E65" i="3"/>
  <c r="J64" i="3"/>
  <c r="E64" i="3"/>
  <c r="J63" i="3"/>
  <c r="E63" i="3"/>
  <c r="J62" i="3"/>
  <c r="E62" i="3"/>
  <c r="J61" i="3"/>
  <c r="E61" i="3"/>
  <c r="I57" i="3"/>
  <c r="H57" i="3"/>
  <c r="D57" i="3"/>
  <c r="C57" i="3"/>
  <c r="J56" i="3"/>
  <c r="E56" i="3"/>
  <c r="J55" i="3"/>
  <c r="E55" i="3"/>
  <c r="J54" i="3"/>
  <c r="E54" i="3"/>
  <c r="D50" i="3"/>
  <c r="I49" i="3"/>
  <c r="H49" i="3"/>
  <c r="E49" i="3"/>
  <c r="J48" i="3"/>
  <c r="J49" i="3" s="1"/>
  <c r="E48" i="3"/>
  <c r="J47" i="3"/>
  <c r="E47" i="3"/>
  <c r="J46" i="3"/>
  <c r="E46" i="3"/>
  <c r="D42" i="3"/>
  <c r="C42" i="3"/>
  <c r="I41" i="3"/>
  <c r="H41" i="3"/>
  <c r="E41" i="3"/>
  <c r="J40" i="3"/>
  <c r="E40" i="3"/>
  <c r="J39" i="3"/>
  <c r="E39" i="3"/>
  <c r="J38" i="3"/>
  <c r="E38" i="3"/>
  <c r="J37" i="3"/>
  <c r="E37" i="3"/>
  <c r="J36" i="3"/>
  <c r="E36" i="3"/>
  <c r="J35" i="3"/>
  <c r="E35" i="3"/>
  <c r="D31" i="3"/>
  <c r="C31" i="3"/>
  <c r="I30" i="3"/>
  <c r="H30" i="3"/>
  <c r="E30" i="3"/>
  <c r="J29" i="3"/>
  <c r="E29" i="3"/>
  <c r="J28" i="3"/>
  <c r="E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C17" i="3"/>
  <c r="C9" i="3"/>
  <c r="D77" i="1"/>
  <c r="C77" i="1"/>
  <c r="I65" i="1"/>
  <c r="H65" i="1"/>
  <c r="D66" i="1"/>
  <c r="C66" i="1"/>
  <c r="D57" i="1"/>
  <c r="C57" i="1"/>
  <c r="I57" i="1"/>
  <c r="H57" i="1"/>
  <c r="I49" i="1"/>
  <c r="H49" i="1"/>
  <c r="D50" i="1"/>
  <c r="C50" i="1"/>
  <c r="I41" i="1"/>
  <c r="H41" i="1"/>
  <c r="D42" i="1"/>
  <c r="C42" i="1"/>
  <c r="I30" i="1"/>
  <c r="H30" i="1"/>
  <c r="E25" i="1"/>
  <c r="D31" i="1"/>
  <c r="C31" i="1"/>
  <c r="C17" i="1"/>
  <c r="C9" i="1"/>
  <c r="E21" i="1"/>
  <c r="E22" i="1"/>
  <c r="E23" i="1"/>
  <c r="E24" i="1"/>
  <c r="E26" i="1"/>
  <c r="E27" i="1"/>
  <c r="E28" i="1"/>
  <c r="E29" i="1"/>
  <c r="E30" i="1"/>
  <c r="J61" i="1"/>
  <c r="J62" i="1"/>
  <c r="J63" i="1"/>
  <c r="J64" i="1"/>
  <c r="J54" i="1"/>
  <c r="J55" i="1"/>
  <c r="J56" i="1"/>
  <c r="J46" i="1"/>
  <c r="J47" i="1"/>
  <c r="J48" i="1"/>
  <c r="J35" i="1"/>
  <c r="J36" i="1"/>
  <c r="J37" i="1"/>
  <c r="J38" i="1"/>
  <c r="J39" i="1"/>
  <c r="J40" i="1"/>
  <c r="J21" i="1"/>
  <c r="J22" i="1"/>
  <c r="J23" i="1"/>
  <c r="J24" i="1"/>
  <c r="J25" i="1"/>
  <c r="J26" i="1"/>
  <c r="J27" i="1"/>
  <c r="J28" i="1"/>
  <c r="J29" i="1"/>
  <c r="E70" i="1"/>
  <c r="E71" i="1"/>
  <c r="E72" i="1"/>
  <c r="E73" i="1"/>
  <c r="E74" i="1"/>
  <c r="E75" i="1"/>
  <c r="E76" i="1"/>
  <c r="E61" i="1"/>
  <c r="E62" i="1"/>
  <c r="E63" i="1"/>
  <c r="E64" i="1"/>
  <c r="E65" i="1"/>
  <c r="E54" i="1"/>
  <c r="E55" i="1"/>
  <c r="E56" i="1"/>
  <c r="E46" i="1"/>
  <c r="E47" i="1"/>
  <c r="E48" i="1"/>
  <c r="E49" i="1"/>
  <c r="E35" i="1"/>
  <c r="E36" i="1"/>
  <c r="E37" i="1"/>
  <c r="E38" i="1"/>
  <c r="E39" i="1"/>
  <c r="E40" i="1"/>
  <c r="E41" i="1"/>
  <c r="E57" i="4" l="1"/>
  <c r="C9" i="14"/>
  <c r="J72" i="1"/>
  <c r="H7" i="1" s="1"/>
  <c r="J41" i="3"/>
  <c r="J72" i="3"/>
  <c r="H7" i="3" s="1"/>
  <c r="J72" i="4"/>
  <c r="H7" i="4" s="1"/>
  <c r="J57" i="5"/>
  <c r="E50" i="5"/>
  <c r="J30" i="5"/>
  <c r="J72" i="5"/>
  <c r="H7" i="5" s="1"/>
  <c r="J72" i="6"/>
  <c r="H7" i="6" s="1"/>
  <c r="E57" i="7"/>
  <c r="E42" i="7"/>
  <c r="J72" i="7"/>
  <c r="H7" i="7" s="1"/>
  <c r="J65" i="8"/>
  <c r="J57" i="8"/>
  <c r="E50" i="8"/>
  <c r="J72" i="8"/>
  <c r="H7" i="8" s="1"/>
  <c r="J65" i="9"/>
  <c r="E66" i="9"/>
  <c r="J72" i="9"/>
  <c r="H7" i="9" s="1"/>
  <c r="E42" i="10"/>
  <c r="J72" i="10"/>
  <c r="H7" i="10" s="1"/>
  <c r="E56" i="14"/>
  <c r="E50" i="11"/>
  <c r="E42" i="11"/>
  <c r="J72" i="11"/>
  <c r="H7" i="11" s="1"/>
  <c r="E38" i="14"/>
  <c r="E73" i="14"/>
  <c r="E72" i="14"/>
  <c r="J64" i="14"/>
  <c r="E62" i="14"/>
  <c r="E47" i="14"/>
  <c r="J37" i="14"/>
  <c r="J36" i="14"/>
  <c r="E36" i="14"/>
  <c r="E24" i="14"/>
  <c r="E77" i="13"/>
  <c r="E66" i="13"/>
  <c r="J57" i="12"/>
  <c r="E77" i="11"/>
  <c r="J65" i="11"/>
  <c r="E66" i="11"/>
  <c r="J57" i="11"/>
  <c r="E57" i="11"/>
  <c r="J41" i="11"/>
  <c r="J70" i="11"/>
  <c r="J30" i="11"/>
  <c r="E31" i="11"/>
  <c r="E77" i="10"/>
  <c r="J65" i="10"/>
  <c r="E66" i="10"/>
  <c r="J57" i="10"/>
  <c r="E57" i="10"/>
  <c r="E50" i="10"/>
  <c r="J41" i="10"/>
  <c r="J70" i="10"/>
  <c r="J30" i="10"/>
  <c r="E31" i="10"/>
  <c r="E77" i="9"/>
  <c r="J57" i="9"/>
  <c r="E57" i="9"/>
  <c r="E50" i="9"/>
  <c r="J41" i="9"/>
  <c r="E42" i="9"/>
  <c r="J30" i="9"/>
  <c r="J70" i="9"/>
  <c r="E31" i="9"/>
  <c r="E77" i="8"/>
  <c r="E66" i="8"/>
  <c r="J41" i="8"/>
  <c r="E42" i="8"/>
  <c r="J30" i="8"/>
  <c r="J70" i="8"/>
  <c r="E31" i="8"/>
  <c r="E77" i="7"/>
  <c r="J65" i="7"/>
  <c r="E66" i="7"/>
  <c r="J57" i="7"/>
  <c r="E50" i="7"/>
  <c r="J41" i="7"/>
  <c r="J70" i="7"/>
  <c r="H4" i="7" s="1"/>
  <c r="J30" i="7"/>
  <c r="E31" i="7"/>
  <c r="E77" i="6"/>
  <c r="J65" i="6"/>
  <c r="E66" i="6"/>
  <c r="J57" i="6"/>
  <c r="E57" i="6"/>
  <c r="E50" i="6"/>
  <c r="J41" i="6"/>
  <c r="E42" i="6"/>
  <c r="J30" i="6"/>
  <c r="J70" i="6"/>
  <c r="E31" i="6"/>
  <c r="E77" i="5"/>
  <c r="E66" i="5"/>
  <c r="E57" i="5"/>
  <c r="J41" i="5"/>
  <c r="E42" i="5"/>
  <c r="J70" i="5"/>
  <c r="H4" i="5" s="1"/>
  <c r="E31" i="5"/>
  <c r="E77" i="4"/>
  <c r="J65" i="4"/>
  <c r="E66" i="4"/>
  <c r="J41" i="4"/>
  <c r="E42" i="4"/>
  <c r="J30" i="4"/>
  <c r="J70" i="4"/>
  <c r="E31" i="4"/>
  <c r="E77" i="3"/>
  <c r="J65" i="3"/>
  <c r="E66" i="3"/>
  <c r="E57" i="3"/>
  <c r="J57" i="3"/>
  <c r="E50" i="3"/>
  <c r="E42" i="3"/>
  <c r="J70" i="3"/>
  <c r="H4" i="3" s="1"/>
  <c r="J30" i="3"/>
  <c r="E31" i="3"/>
  <c r="H65" i="14"/>
  <c r="J54" i="14"/>
  <c r="J25" i="14"/>
  <c r="E27" i="14"/>
  <c r="J38" i="14"/>
  <c r="H41" i="14"/>
  <c r="E40" i="14"/>
  <c r="E39" i="14"/>
  <c r="E35" i="14"/>
  <c r="J22" i="14"/>
  <c r="J29" i="14"/>
  <c r="C66" i="14"/>
  <c r="E55" i="14"/>
  <c r="E50" i="13"/>
  <c r="J48" i="14"/>
  <c r="J56" i="14"/>
  <c r="D66" i="14"/>
  <c r="I57" i="14"/>
  <c r="D57" i="14"/>
  <c r="D77" i="14"/>
  <c r="E28" i="14"/>
  <c r="E57" i="12"/>
  <c r="H57" i="14"/>
  <c r="J70" i="12"/>
  <c r="H4" i="12" s="1"/>
  <c r="J41" i="12"/>
  <c r="J40" i="14"/>
  <c r="J39" i="14"/>
  <c r="J61" i="14"/>
  <c r="E50" i="12"/>
  <c r="E26" i="14"/>
  <c r="E64" i="14"/>
  <c r="E71" i="14"/>
  <c r="I49" i="14"/>
  <c r="C17" i="14"/>
  <c r="J30" i="12"/>
  <c r="E66" i="12"/>
  <c r="J63" i="14"/>
  <c r="J35" i="14"/>
  <c r="D50" i="14"/>
  <c r="I41" i="14"/>
  <c r="E63" i="14"/>
  <c r="E70" i="14"/>
  <c r="J50" i="12"/>
  <c r="C77" i="14"/>
  <c r="E42" i="12"/>
  <c r="C57" i="14"/>
  <c r="E41" i="14"/>
  <c r="E77" i="12"/>
  <c r="J62" i="14"/>
  <c r="E54" i="14"/>
  <c r="J65" i="12"/>
  <c r="J72" i="12"/>
  <c r="H7" i="12" s="1"/>
  <c r="E31" i="12"/>
  <c r="J30" i="13"/>
  <c r="J23" i="14"/>
  <c r="E76" i="14"/>
  <c r="E75" i="14"/>
  <c r="E74" i="14"/>
  <c r="I65" i="14"/>
  <c r="E65" i="14"/>
  <c r="E61" i="14"/>
  <c r="J55" i="14"/>
  <c r="J47" i="14"/>
  <c r="J49" i="14" s="1"/>
  <c r="E46" i="14"/>
  <c r="E49" i="14"/>
  <c r="E48" i="14"/>
  <c r="C50" i="14"/>
  <c r="J24" i="14"/>
  <c r="D31" i="14"/>
  <c r="E21" i="14"/>
  <c r="H30" i="14"/>
  <c r="J21" i="14"/>
  <c r="I30" i="14"/>
  <c r="D42" i="14"/>
  <c r="C42" i="14"/>
  <c r="E37" i="14"/>
  <c r="J28" i="14"/>
  <c r="J27" i="14"/>
  <c r="J26" i="14"/>
  <c r="E22" i="14"/>
  <c r="J72" i="13"/>
  <c r="H7" i="13" s="1"/>
  <c r="J70" i="13"/>
  <c r="J65" i="13"/>
  <c r="J57" i="13"/>
  <c r="J50" i="13"/>
  <c r="J41" i="13"/>
  <c r="E23" i="14"/>
  <c r="E42" i="13"/>
  <c r="E31" i="13"/>
  <c r="E30" i="14"/>
  <c r="E29" i="14"/>
  <c r="E25" i="14"/>
  <c r="C31" i="14"/>
  <c r="J70" i="1"/>
  <c r="E31" i="1"/>
  <c r="E57" i="1"/>
  <c r="E42" i="1"/>
  <c r="J65" i="1"/>
  <c r="J49" i="1"/>
  <c r="J41" i="1"/>
  <c r="E50" i="1"/>
  <c r="E66" i="1"/>
  <c r="J30" i="1"/>
  <c r="J57" i="1"/>
  <c r="E77" i="1"/>
  <c r="H10" i="3" l="1"/>
  <c r="J74" i="4"/>
  <c r="H10" i="5"/>
  <c r="J74" i="6"/>
  <c r="H10" i="7"/>
  <c r="J74" i="8"/>
  <c r="J74" i="9"/>
  <c r="J74" i="10"/>
  <c r="J74" i="11"/>
  <c r="H4" i="11"/>
  <c r="H10" i="11" s="1"/>
  <c r="H4" i="10"/>
  <c r="H10" i="10" s="1"/>
  <c r="H4" i="9"/>
  <c r="H10" i="9" s="1"/>
  <c r="H4" i="8"/>
  <c r="H10" i="8" s="1"/>
  <c r="J74" i="7"/>
  <c r="H4" i="6"/>
  <c r="H10" i="6" s="1"/>
  <c r="J74" i="5"/>
  <c r="H4" i="4"/>
  <c r="H10" i="4" s="1"/>
  <c r="J74" i="3"/>
  <c r="J41" i="14"/>
  <c r="E57" i="14"/>
  <c r="E42" i="14"/>
  <c r="E66" i="14"/>
  <c r="J65" i="14"/>
  <c r="J57" i="14"/>
  <c r="E50" i="14"/>
  <c r="J30" i="14"/>
  <c r="E77" i="14"/>
  <c r="J74" i="12"/>
  <c r="H10" i="12"/>
  <c r="J72" i="14"/>
  <c r="H7" i="14" s="1"/>
  <c r="J74" i="13"/>
  <c r="H4" i="13"/>
  <c r="H10" i="13" s="1"/>
  <c r="J70" i="14"/>
  <c r="E31" i="14"/>
  <c r="H4" i="1"/>
  <c r="H10" i="1" s="1"/>
  <c r="J74" i="1"/>
  <c r="J74" i="14" l="1"/>
  <c r="H4" i="14"/>
  <c r="H10" i="14" s="1"/>
</calcChain>
</file>

<file path=xl/sharedStrings.xml><?xml version="1.0" encoding="utf-8"?>
<sst xmlns="http://schemas.openxmlformats.org/spreadsheetml/2006/main" count="1953" uniqueCount="88">
  <si>
    <t>Income 1</t>
  </si>
  <si>
    <t>Extra income</t>
  </si>
  <si>
    <t>Total monthly income</t>
  </si>
  <si>
    <t>Difference</t>
  </si>
  <si>
    <t>Mortgage or rent</t>
  </si>
  <si>
    <t>Phone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</si>
  <si>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</si>
  <si>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</si>
  <si>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</si>
  <si>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</si>
  <si>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</si>
  <si>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</si>
  <si>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</si>
  <si>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</si>
  <si>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</si>
  <si>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</si>
  <si>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</si>
  <si>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</si>
  <si>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</si>
  <si>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</si>
  <si>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</si>
  <si>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</si>
  <si>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</si>
  <si>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</si>
  <si>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</si>
  <si>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</si>
  <si>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</si>
  <si>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Home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</si>
  <si>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</si>
  <si>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</si>
  <si>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</si>
  <si>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</si>
  <si>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</si>
  <si>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</si>
  <si>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</si>
  <si>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</si>
  <si>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</si>
  <si>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</si>
  <si>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</si>
  <si>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</si>
  <si>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</si>
  <si>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Attorney</t>
  </si>
  <si>
    <t>Alimony</t>
  </si>
  <si>
    <t>Payments on lien or judgment</t>
  </si>
  <si>
    <t>Hair/nails</t>
  </si>
  <si>
    <t>Clothing</t>
  </si>
  <si>
    <t>Dry cleaning</t>
  </si>
  <si>
    <t>Health club</t>
  </si>
  <si>
    <t>Organization dues or fees</t>
  </si>
  <si>
    <t>Subtotal</t>
  </si>
  <si>
    <t>Projected Monthly Income</t>
  </si>
  <si>
    <t>Actual Monthly Income</t>
  </si>
  <si>
    <t>Total Projected Cost</t>
  </si>
  <si>
    <t>Total Actual Cost</t>
  </si>
  <si>
    <t>Total Difference</t>
  </si>
  <si>
    <t>Housing</t>
  </si>
  <si>
    <t>Entertainment</t>
  </si>
  <si>
    <t>Projected
Cost</t>
  </si>
  <si>
    <t>Actual 
Cost</t>
  </si>
  <si>
    <t>Projected 
Cost</t>
  </si>
  <si>
    <t>Transportation</t>
  </si>
  <si>
    <t>Loans</t>
  </si>
  <si>
    <t>Pets</t>
  </si>
  <si>
    <t>Savings or Investments</t>
  </si>
  <si>
    <t>Gifts and Donations</t>
  </si>
  <si>
    <t>Legal</t>
  </si>
  <si>
    <t>Personal Care</t>
  </si>
  <si>
    <t>Personal Monthly Budget</t>
  </si>
  <si>
    <t>Other Income</t>
  </si>
  <si>
    <t>Income 2</t>
  </si>
  <si>
    <t>Income 3</t>
  </si>
  <si>
    <t>Income 4</t>
  </si>
  <si>
    <t>Amount</t>
  </si>
  <si>
    <t>Streaming</t>
  </si>
  <si>
    <t>Music</t>
  </si>
  <si>
    <t>-</t>
  </si>
  <si>
    <t>Projected Balance</t>
  </si>
  <si>
    <t>Actual Balance</t>
  </si>
  <si>
    <t>Difference
(Actual minus projected)</t>
  </si>
  <si>
    <t>Projected Annual Income</t>
  </si>
  <si>
    <t>Actual Annual Income</t>
  </si>
  <si>
    <t>Personal Annual Budget</t>
  </si>
  <si>
    <t>Total annual income</t>
  </si>
  <si>
    <t xml:space="preserve"> </t>
  </si>
  <si>
    <t xml:space="preserve">   </t>
  </si>
  <si>
    <t>Savings</t>
  </si>
  <si>
    <t>Projected Balance (Projected Income- Projected Expenses)</t>
  </si>
  <si>
    <t>Actual Balance (Actual Income- Actual 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</si>
</sst>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29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8"/>
      <color theme="3"/>
      <name val="Calibri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 tint="0.34998626667073579"/>
      <name val="Times New Roman"/>
      <family val="1"/>
    </font>
    <font>
      <b/>
      <sz val="12"/>
      <color theme="1" tint="0.3499862666707357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 tint="0.24994659260841701"/>
      <name val="Times New Roman"/>
      <family val="1"/>
    </font>
    <font>
      <sz val="12"/>
      <color theme="1"/>
      <name val="Times New Roman"/>
      <family val="1"/>
    </font>
    <font>
      <b/>
      <sz val="12"/>
      <color theme="1" tint="0.24994659260841701"/>
      <name val="Times New Roman"/>
      <family val="1"/>
    </font>
    <font>
      <b/>
      <sz val="12"/>
      <color theme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24"/>
      <name val="Bradley Hand ITC"/>
      <family val="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0" tint="-0.14996795556505021"/>
      </bottom>
      <diagonal/>
    </border>
    <border>
      <left style="thin">
        <color theme="2"/>
      </left>
      <right/>
      <top style="thin">
        <color theme="0" tint="-0.14996795556505021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0" tint="-0.14996795556505021"/>
      </right>
      <top style="thin">
        <color theme="1"/>
      </top>
      <bottom style="thin">
        <color theme="0" tint="-0.14993743705557422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 tint="-0.499984740745262"/>
      </right>
      <top/>
      <bottom style="thin">
        <color theme="1"/>
      </bottom>
      <diagonal/>
    </border>
    <border>
      <left style="thin">
        <color theme="0" tint="-0.499984740745262"/>
      </left>
      <right/>
      <top/>
      <bottom style="thin">
        <color theme="1"/>
      </bottom>
      <diagonal/>
    </border>
    <border>
      <left/>
      <right/>
      <top style="thin">
        <color theme="9" tint="-0.249977111117893"/>
      </top>
      <bottom style="thin">
        <color theme="0" tint="-0.14996795556505021"/>
      </bottom>
      <diagonal/>
    </border>
    <border>
      <left/>
      <right/>
      <top/>
      <bottom style="thin">
        <color theme="9" tint="-0.249977111117893"/>
      </bottom>
      <diagonal/>
    </border>
  </borders>
  <cellStyleXfs count="15">
    <xf numFmtId="0" fontId="0" fillId="0" borderId="0"/>
    <xf numFmtId="0" fontId="5" fillId="0" borderId="1" applyNumberFormat="0" applyFill="0" applyAlignment="0" applyProtection="0"/>
    <xf numFmtId="0" fontId="3" fillId="0" borderId="2" applyNumberFormat="0" applyFill="0" applyBorder="0" applyAlignment="0" applyProtection="0"/>
    <xf numFmtId="0" fontId="4" fillId="0" borderId="3" applyNumberFormat="0" applyFill="0" applyBorder="0" applyAlignment="0" applyProtection="0"/>
    <xf numFmtId="16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6" fillId="2" borderId="0" xfId="2" applyFont="1" applyFill="1" applyBorder="1" applyAlignment="1">
      <alignment vertical="center"/>
    </xf>
    <xf numFmtId="8" fontId="17" fillId="2" borderId="0" xfId="0" applyNumberFormat="1" applyFont="1" applyFill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164" fontId="18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left" vertical="center" indent="1"/>
    </xf>
    <xf numFmtId="164" fontId="18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left" vertical="center" indent="1"/>
    </xf>
    <xf numFmtId="164" fontId="14" fillId="2" borderId="0" xfId="0" applyNumberFormat="1" applyFont="1" applyFill="1" applyAlignment="1">
      <alignment horizontal="left" vertical="center"/>
    </xf>
    <xf numFmtId="164" fontId="14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indent="1"/>
    </xf>
    <xf numFmtId="0" fontId="20" fillId="0" borderId="0" xfId="0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8" fillId="0" borderId="0" xfId="2" applyFont="1" applyBorder="1" applyAlignment="1">
      <alignment vertical="center" wrapText="1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8" fontId="20" fillId="0" borderId="0" xfId="0" applyNumberFormat="1" applyFont="1" applyAlignment="1">
      <alignment vertical="center"/>
    </xf>
    <xf numFmtId="0" fontId="21" fillId="2" borderId="0" xfId="0" applyFont="1" applyFill="1" applyAlignment="1">
      <alignment horizontal="left" vertical="center" indent="1"/>
    </xf>
    <xf numFmtId="0" fontId="21" fillId="2" borderId="0" xfId="0" applyFont="1" applyFill="1" applyAlignment="1">
      <alignment vertical="center"/>
    </xf>
    <xf numFmtId="164" fontId="21" fillId="2" borderId="0" xfId="0" applyNumberFormat="1" applyFont="1" applyFill="1" applyAlignment="1">
      <alignment vertical="center"/>
    </xf>
    <xf numFmtId="0" fontId="23" fillId="9" borderId="34" xfId="14" applyFont="1" applyBorder="1" applyAlignment="1">
      <alignment vertical="center"/>
    </xf>
    <xf numFmtId="0" fontId="23" fillId="9" borderId="35" xfId="14" applyFont="1" applyBorder="1" applyAlignment="1">
      <alignment vertical="center"/>
    </xf>
    <xf numFmtId="0" fontId="22" fillId="8" borderId="33" xfId="13" applyFont="1" applyBorder="1"/>
    <xf numFmtId="0" fontId="22" fillId="8" borderId="0" xfId="13" applyFont="1" applyBorder="1"/>
    <xf numFmtId="0" fontId="1" fillId="4" borderId="4" xfId="9" applyBorder="1" applyAlignment="1">
      <alignment horizontal="center" vertical="center" wrapText="1"/>
    </xf>
    <xf numFmtId="164" fontId="1" fillId="4" borderId="23" xfId="9" applyNumberFormat="1" applyBorder="1" applyAlignment="1">
      <alignment horizontal="center" vertical="center"/>
    </xf>
    <xf numFmtId="0" fontId="22" fillId="5" borderId="36" xfId="10" applyFont="1" applyBorder="1" applyAlignment="1">
      <alignment horizontal="left" vertical="center" indent="1"/>
    </xf>
    <xf numFmtId="0" fontId="22" fillId="3" borderId="4" xfId="8" applyFont="1" applyBorder="1" applyAlignment="1">
      <alignment horizontal="center" vertical="center" wrapText="1"/>
    </xf>
    <xf numFmtId="0" fontId="22" fillId="4" borderId="4" xfId="9" applyFont="1" applyBorder="1" applyAlignment="1">
      <alignment horizontal="center" vertical="center" wrapText="1"/>
    </xf>
    <xf numFmtId="0" fontId="22" fillId="5" borderId="4" xfId="10" applyFont="1" applyBorder="1" applyAlignment="1">
      <alignment horizontal="center" vertical="center"/>
    </xf>
    <xf numFmtId="0" fontId="22" fillId="5" borderId="24" xfId="10" applyFont="1" applyBorder="1" applyAlignment="1">
      <alignment horizontal="left" vertical="center" indent="1"/>
    </xf>
    <xf numFmtId="164" fontId="22" fillId="3" borderId="23" xfId="8" applyNumberFormat="1" applyFont="1" applyBorder="1" applyAlignment="1">
      <alignment horizontal="center" vertical="center"/>
    </xf>
    <xf numFmtId="164" fontId="22" fillId="4" borderId="23" xfId="9" applyNumberFormat="1" applyFont="1" applyBorder="1" applyAlignment="1">
      <alignment horizontal="center" vertical="center"/>
    </xf>
    <xf numFmtId="164" fontId="22" fillId="5" borderId="25" xfId="10" applyNumberFormat="1" applyFont="1" applyBorder="1" applyAlignment="1">
      <alignment horizontal="center" vertical="center"/>
    </xf>
    <xf numFmtId="0" fontId="22" fillId="5" borderId="8" xfId="10" applyFont="1" applyBorder="1" applyAlignment="1">
      <alignment horizontal="left" vertical="center" indent="1"/>
    </xf>
    <xf numFmtId="164" fontId="22" fillId="3" borderId="9" xfId="8" applyNumberFormat="1" applyFont="1" applyBorder="1" applyAlignment="1">
      <alignment horizontal="center" vertical="center"/>
    </xf>
    <xf numFmtId="164" fontId="22" fillId="4" borderId="9" xfId="9" applyNumberFormat="1" applyFont="1" applyBorder="1" applyAlignment="1">
      <alignment horizontal="center" vertical="center"/>
    </xf>
    <xf numFmtId="164" fontId="22" fillId="5" borderId="10" xfId="10" applyNumberFormat="1" applyFont="1" applyBorder="1" applyAlignment="1">
      <alignment horizontal="center" vertical="center"/>
    </xf>
    <xf numFmtId="0" fontId="22" fillId="5" borderId="11" xfId="10" applyFont="1" applyBorder="1" applyAlignment="1">
      <alignment horizontal="left" vertical="center" indent="1"/>
    </xf>
    <xf numFmtId="164" fontId="22" fillId="3" borderId="12" xfId="8" applyNumberFormat="1" applyFont="1" applyBorder="1" applyAlignment="1">
      <alignment horizontal="center" vertical="center"/>
    </xf>
    <xf numFmtId="164" fontId="22" fillId="4" borderId="12" xfId="9" applyNumberFormat="1" applyFont="1" applyBorder="1" applyAlignment="1">
      <alignment horizontal="center" vertical="center"/>
    </xf>
    <xf numFmtId="164" fontId="22" fillId="5" borderId="13" xfId="10" applyNumberFormat="1" applyFont="1" applyBorder="1" applyAlignment="1">
      <alignment horizontal="center" vertical="center"/>
    </xf>
    <xf numFmtId="0" fontId="23" fillId="5" borderId="26" xfId="7" applyFont="1" applyFill="1" applyAlignment="1">
      <alignment horizontal="left" vertical="center" indent="1"/>
    </xf>
    <xf numFmtId="164" fontId="23" fillId="3" borderId="26" xfId="7" applyNumberFormat="1" applyFont="1" applyFill="1" applyAlignment="1">
      <alignment horizontal="center" vertical="center"/>
    </xf>
    <xf numFmtId="164" fontId="23" fillId="4" borderId="26" xfId="7" applyNumberFormat="1" applyFont="1" applyFill="1" applyAlignment="1">
      <alignment horizontal="center" vertical="center"/>
    </xf>
    <xf numFmtId="164" fontId="23" fillId="5" borderId="26" xfId="7" applyNumberFormat="1" applyFont="1" applyFill="1" applyAlignment="1">
      <alignment horizontal="center" vertical="center"/>
    </xf>
    <xf numFmtId="0" fontId="24" fillId="5" borderId="26" xfId="7" applyFont="1" applyFill="1" applyAlignment="1">
      <alignment horizontal="left" vertical="center" indent="1"/>
    </xf>
    <xf numFmtId="164" fontId="24" fillId="3" borderId="26" xfId="7" applyNumberFormat="1" applyFont="1" applyFill="1" applyAlignment="1">
      <alignment horizontal="center" vertical="center"/>
    </xf>
    <xf numFmtId="164" fontId="24" fillId="4" borderId="26" xfId="7" applyNumberFormat="1" applyFont="1" applyFill="1" applyAlignment="1">
      <alignment horizontal="center" vertical="center"/>
    </xf>
    <xf numFmtId="164" fontId="24" fillId="5" borderId="26" xfId="7" applyNumberFormat="1" applyFont="1" applyFill="1" applyAlignment="1">
      <alignment horizontal="center" vertical="center"/>
    </xf>
    <xf numFmtId="0" fontId="22" fillId="5" borderId="4" xfId="10" applyFont="1" applyBorder="1" applyAlignment="1">
      <alignment horizontal="left" vertical="center" indent="1"/>
    </xf>
    <xf numFmtId="0" fontId="22" fillId="5" borderId="5" xfId="10" applyFont="1" applyBorder="1" applyAlignment="1">
      <alignment horizontal="left" vertical="center" indent="1"/>
    </xf>
    <xf numFmtId="164" fontId="22" fillId="3" borderId="6" xfId="8" applyNumberFormat="1" applyFont="1" applyBorder="1" applyAlignment="1">
      <alignment horizontal="center" vertical="center"/>
    </xf>
    <xf numFmtId="164" fontId="22" fillId="4" borderId="6" xfId="9" applyNumberFormat="1" applyFont="1" applyBorder="1" applyAlignment="1">
      <alignment horizontal="center" vertical="center"/>
    </xf>
    <xf numFmtId="164" fontId="22" fillId="5" borderId="7" xfId="10" applyNumberFormat="1" applyFont="1" applyBorder="1" applyAlignment="1">
      <alignment horizontal="center" vertical="center"/>
    </xf>
    <xf numFmtId="0" fontId="22" fillId="5" borderId="4" xfId="10" applyFont="1" applyBorder="1" applyAlignment="1">
      <alignment horizontal="left" vertical="center"/>
    </xf>
    <xf numFmtId="0" fontId="22" fillId="5" borderId="18" xfId="10" applyFont="1" applyBorder="1" applyAlignment="1">
      <alignment horizontal="left" vertical="center" indent="1"/>
    </xf>
    <xf numFmtId="0" fontId="22" fillId="3" borderId="18" xfId="8" applyFont="1" applyBorder="1" applyAlignment="1">
      <alignment horizontal="center" vertical="center" wrapText="1"/>
    </xf>
    <xf numFmtId="0" fontId="22" fillId="4" borderId="18" xfId="9" applyFont="1" applyBorder="1" applyAlignment="1">
      <alignment horizontal="center" vertical="center" wrapText="1"/>
    </xf>
    <xf numFmtId="0" fontId="22" fillId="5" borderId="18" xfId="10" applyFont="1" applyBorder="1" applyAlignment="1">
      <alignment horizontal="center" vertical="center"/>
    </xf>
    <xf numFmtId="0" fontId="22" fillId="9" borderId="14" xfId="14" applyFont="1" applyBorder="1" applyAlignment="1">
      <alignment horizontal="left" vertical="center" indent="1"/>
    </xf>
    <xf numFmtId="0" fontId="22" fillId="9" borderId="5" xfId="14" applyFont="1" applyBorder="1" applyAlignment="1">
      <alignment horizontal="left" vertical="center" indent="1"/>
    </xf>
    <xf numFmtId="0" fontId="23" fillId="9" borderId="26" xfId="7" applyFont="1" applyFill="1" applyAlignment="1">
      <alignment horizontal="left" vertical="center" indent="1"/>
    </xf>
    <xf numFmtId="0" fontId="19" fillId="5" borderId="18" xfId="10" applyFont="1" applyBorder="1" applyAlignment="1">
      <alignment horizontal="left" vertical="center" indent="1"/>
    </xf>
    <xf numFmtId="0" fontId="19" fillId="3" borderId="18" xfId="8" applyFont="1" applyBorder="1" applyAlignment="1">
      <alignment horizontal="center" vertical="center" wrapText="1"/>
    </xf>
    <xf numFmtId="0" fontId="19" fillId="4" borderId="18" xfId="9" applyFont="1" applyBorder="1" applyAlignment="1">
      <alignment horizontal="center" vertical="center" wrapText="1"/>
    </xf>
    <xf numFmtId="0" fontId="19" fillId="5" borderId="18" xfId="10" applyFont="1" applyBorder="1" applyAlignment="1">
      <alignment horizontal="center" vertical="center"/>
    </xf>
    <xf numFmtId="0" fontId="19" fillId="9" borderId="4" xfId="14" applyFont="1" applyBorder="1" applyAlignment="1">
      <alignment horizontal="left" vertical="center" indent="1"/>
    </xf>
    <xf numFmtId="0" fontId="19" fillId="7" borderId="4" xfId="12" applyFont="1" applyBorder="1" applyAlignment="1">
      <alignment horizontal="center" vertical="center" wrapText="1"/>
    </xf>
    <xf numFmtId="0" fontId="19" fillId="8" borderId="4" xfId="13" applyFont="1" applyBorder="1" applyAlignment="1">
      <alignment horizontal="center" vertical="center" wrapText="1"/>
    </xf>
    <xf numFmtId="0" fontId="19" fillId="9" borderId="4" xfId="14" applyFont="1" applyBorder="1" applyAlignment="1">
      <alignment horizontal="center" vertical="center"/>
    </xf>
    <xf numFmtId="0" fontId="19" fillId="5" borderId="5" xfId="10" applyFont="1" applyBorder="1" applyAlignment="1">
      <alignment horizontal="left" vertical="center" indent="1"/>
    </xf>
    <xf numFmtId="164" fontId="19" fillId="3" borderId="6" xfId="8" applyNumberFormat="1" applyFont="1" applyBorder="1" applyAlignment="1">
      <alignment horizontal="center" vertical="center"/>
    </xf>
    <xf numFmtId="164" fontId="19" fillId="4" borderId="6" xfId="9" applyNumberFormat="1" applyFont="1" applyBorder="1" applyAlignment="1">
      <alignment horizontal="center" vertical="center"/>
    </xf>
    <xf numFmtId="164" fontId="19" fillId="5" borderId="7" xfId="10" applyNumberFormat="1" applyFont="1" applyBorder="1" applyAlignment="1">
      <alignment horizontal="center" vertical="center"/>
    </xf>
    <xf numFmtId="0" fontId="19" fillId="9" borderId="14" xfId="14" applyFont="1" applyBorder="1" applyAlignment="1">
      <alignment horizontal="left" vertical="center" indent="1"/>
    </xf>
    <xf numFmtId="164" fontId="19" fillId="7" borderId="16" xfId="12" applyNumberFormat="1" applyFont="1" applyBorder="1" applyAlignment="1">
      <alignment horizontal="center" vertical="center"/>
    </xf>
    <xf numFmtId="164" fontId="19" fillId="8" borderId="16" xfId="13" applyNumberFormat="1" applyFont="1" applyBorder="1" applyAlignment="1">
      <alignment horizontal="center" vertical="center"/>
    </xf>
    <xf numFmtId="164" fontId="19" fillId="9" borderId="15" xfId="14" applyNumberFormat="1" applyFont="1" applyBorder="1" applyAlignment="1">
      <alignment horizontal="center" vertical="center"/>
    </xf>
    <xf numFmtId="0" fontId="19" fillId="9" borderId="5" xfId="14" applyFont="1" applyBorder="1" applyAlignment="1">
      <alignment horizontal="left" vertical="center" indent="1"/>
    </xf>
    <xf numFmtId="164" fontId="19" fillId="7" borderId="6" xfId="12" applyNumberFormat="1" applyFont="1" applyBorder="1" applyAlignment="1">
      <alignment horizontal="center" vertical="center"/>
    </xf>
    <xf numFmtId="164" fontId="19" fillId="8" borderId="6" xfId="13" applyNumberFormat="1" applyFont="1" applyBorder="1" applyAlignment="1">
      <alignment horizontal="center" vertical="center"/>
    </xf>
    <xf numFmtId="164" fontId="19" fillId="9" borderId="7" xfId="14" applyNumberFormat="1" applyFont="1" applyBorder="1" applyAlignment="1">
      <alignment horizontal="center" vertical="center"/>
    </xf>
    <xf numFmtId="0" fontId="24" fillId="9" borderId="26" xfId="7" applyFont="1" applyFill="1" applyAlignment="1">
      <alignment horizontal="left" vertical="center" indent="1"/>
    </xf>
    <xf numFmtId="164" fontId="24" fillId="7" borderId="26" xfId="7" applyNumberFormat="1" applyFont="1" applyFill="1" applyAlignment="1">
      <alignment horizontal="center" vertical="center"/>
    </xf>
    <xf numFmtId="164" fontId="24" fillId="8" borderId="26" xfId="7" applyNumberFormat="1" applyFont="1" applyFill="1" applyAlignment="1">
      <alignment horizontal="center" vertical="center"/>
    </xf>
    <xf numFmtId="164" fontId="24" fillId="9" borderId="26" xfId="7" applyNumberFormat="1" applyFont="1" applyFill="1" applyAlignment="1">
      <alignment horizontal="center" vertical="center"/>
    </xf>
    <xf numFmtId="0" fontId="22" fillId="5" borderId="14" xfId="10" applyFont="1" applyBorder="1" applyAlignment="1">
      <alignment horizontal="left" vertical="center" indent="1"/>
    </xf>
    <xf numFmtId="164" fontId="22" fillId="3" borderId="16" xfId="8" applyNumberFormat="1" applyFont="1" applyBorder="1" applyAlignment="1">
      <alignment horizontal="center" vertical="center"/>
    </xf>
    <xf numFmtId="164" fontId="22" fillId="4" borderId="16" xfId="9" applyNumberFormat="1" applyFont="1" applyBorder="1" applyAlignment="1">
      <alignment horizontal="center" vertical="center"/>
    </xf>
    <xf numFmtId="164" fontId="22" fillId="5" borderId="15" xfId="10" applyNumberFormat="1" applyFont="1" applyBorder="1" applyAlignment="1">
      <alignment horizontal="center" vertical="center"/>
    </xf>
    <xf numFmtId="0" fontId="22" fillId="5" borderId="20" xfId="10" applyFont="1" applyBorder="1" applyAlignment="1">
      <alignment horizontal="left" vertical="center" indent="1"/>
    </xf>
    <xf numFmtId="164" fontId="22" fillId="3" borderId="21" xfId="8" applyNumberFormat="1" applyFont="1" applyBorder="1" applyAlignment="1">
      <alignment horizontal="center" vertical="center"/>
    </xf>
    <xf numFmtId="164" fontId="22" fillId="4" borderId="21" xfId="9" applyNumberFormat="1" applyFont="1" applyBorder="1" applyAlignment="1">
      <alignment horizontal="center" vertical="center"/>
    </xf>
    <xf numFmtId="164" fontId="22" fillId="5" borderId="22" xfId="10" applyNumberFormat="1" applyFont="1" applyBorder="1" applyAlignment="1">
      <alignment horizontal="center" vertical="center"/>
    </xf>
    <xf numFmtId="0" fontId="22" fillId="5" borderId="18" xfId="10" applyFont="1" applyBorder="1" applyAlignment="1">
      <alignment vertical="center"/>
    </xf>
    <xf numFmtId="0" fontId="22" fillId="8" borderId="32" xfId="13" applyFont="1" applyBorder="1" applyAlignment="1">
      <alignment horizontal="left" vertical="center" indent="1"/>
    </xf>
    <xf numFmtId="8" fontId="22" fillId="8" borderId="19" xfId="13" applyNumberFormat="1" applyFont="1" applyBorder="1" applyAlignment="1">
      <alignment horizontal="center" vertical="center"/>
    </xf>
    <xf numFmtId="0" fontId="22" fillId="8" borderId="14" xfId="13" applyFont="1" applyBorder="1" applyAlignment="1">
      <alignment horizontal="left" vertical="center" indent="1"/>
    </xf>
    <xf numFmtId="8" fontId="22" fillId="8" borderId="15" xfId="13" applyNumberFormat="1" applyFont="1" applyBorder="1" applyAlignment="1">
      <alignment horizontal="center" vertical="center"/>
    </xf>
    <xf numFmtId="0" fontId="22" fillId="8" borderId="27" xfId="13" applyFont="1" applyBorder="1" applyAlignment="1">
      <alignment horizontal="left" vertical="center" indent="1"/>
    </xf>
    <xf numFmtId="8" fontId="22" fillId="8" borderId="30" xfId="13" applyNumberFormat="1" applyFont="1" applyBorder="1" applyAlignment="1">
      <alignment horizontal="center" vertical="center"/>
    </xf>
    <xf numFmtId="0" fontId="22" fillId="8" borderId="28" xfId="13" applyFont="1" applyBorder="1" applyAlignment="1">
      <alignment horizontal="left" vertical="center" indent="1"/>
    </xf>
    <xf numFmtId="8" fontId="22" fillId="8" borderId="31" xfId="13" applyNumberFormat="1" applyFont="1" applyBorder="1" applyAlignment="1">
      <alignment horizontal="center" vertical="center"/>
    </xf>
    <xf numFmtId="0" fontId="22" fillId="8" borderId="0" xfId="13" applyFont="1" applyBorder="1" applyAlignment="1">
      <alignment horizontal="left" vertical="center" indent="1"/>
    </xf>
    <xf numFmtId="8" fontId="22" fillId="8" borderId="29" xfId="13" applyNumberFormat="1" applyFont="1" applyBorder="1" applyAlignment="1">
      <alignment horizontal="center" vertical="center"/>
    </xf>
    <xf numFmtId="0" fontId="23" fillId="8" borderId="26" xfId="7" applyFont="1" applyFill="1" applyAlignment="1">
      <alignment horizontal="left" vertical="center" indent="1"/>
    </xf>
    <xf numFmtId="8" fontId="23" fillId="8" borderId="26" xfId="7" applyNumberFormat="1" applyFont="1" applyFill="1" applyAlignment="1">
      <alignment horizontal="center" vertical="center"/>
    </xf>
    <xf numFmtId="8" fontId="22" fillId="9" borderId="15" xfId="14" applyNumberFormat="1" applyFont="1" applyBorder="1" applyAlignment="1">
      <alignment horizontal="center" vertical="center"/>
    </xf>
    <xf numFmtId="8" fontId="22" fillId="9" borderId="7" xfId="14" applyNumberFormat="1" applyFont="1" applyBorder="1" applyAlignment="1">
      <alignment horizontal="center" vertical="center"/>
    </xf>
    <xf numFmtId="8" fontId="23" fillId="9" borderId="26" xfId="7" applyNumberFormat="1" applyFont="1" applyFill="1" applyAlignment="1">
      <alignment horizontal="center" vertical="center"/>
    </xf>
    <xf numFmtId="0" fontId="23" fillId="10" borderId="26" xfId="0" applyFont="1" applyFill="1" applyBorder="1" applyAlignment="1">
      <alignment horizontal="left" vertical="center" indent="1"/>
    </xf>
    <xf numFmtId="164" fontId="23" fillId="11" borderId="26" xfId="0" applyNumberFormat="1" applyFont="1" applyFill="1" applyBorder="1" applyAlignment="1">
      <alignment horizontal="center" vertical="center"/>
    </xf>
    <xf numFmtId="164" fontId="23" fillId="12" borderId="26" xfId="0" applyNumberFormat="1" applyFont="1" applyFill="1" applyBorder="1" applyAlignment="1">
      <alignment horizontal="center" vertical="center"/>
    </xf>
    <xf numFmtId="164" fontId="23" fillId="10" borderId="26" xfId="0" applyNumberFormat="1" applyFont="1" applyFill="1" applyBorder="1" applyAlignment="1">
      <alignment horizontal="center" vertical="center"/>
    </xf>
    <xf numFmtId="0" fontId="24" fillId="13" borderId="26" xfId="0" applyFont="1" applyFill="1" applyBorder="1" applyAlignment="1">
      <alignment horizontal="left" vertical="center" indent="1"/>
    </xf>
    <xf numFmtId="164" fontId="24" fillId="14" borderId="26" xfId="0" applyNumberFormat="1" applyFont="1" applyFill="1" applyBorder="1" applyAlignment="1">
      <alignment horizontal="center" vertical="center"/>
    </xf>
    <xf numFmtId="164" fontId="24" fillId="15" borderId="26" xfId="0" applyNumberFormat="1" applyFont="1" applyFill="1" applyBorder="1" applyAlignment="1">
      <alignment horizontal="center" vertical="center"/>
    </xf>
    <xf numFmtId="164" fontId="24" fillId="13" borderId="26" xfId="0" applyNumberFormat="1" applyFont="1" applyFill="1" applyBorder="1" applyAlignment="1">
      <alignment horizontal="center" vertical="center"/>
    </xf>
    <xf numFmtId="0" fontId="24" fillId="10" borderId="26" xfId="0" applyFont="1" applyFill="1" applyBorder="1" applyAlignment="1">
      <alignment horizontal="left" vertical="center" indent="1"/>
    </xf>
    <xf numFmtId="164" fontId="24" fillId="11" borderId="26" xfId="0" applyNumberFormat="1" applyFont="1" applyFill="1" applyBorder="1" applyAlignment="1">
      <alignment horizontal="center" vertical="center"/>
    </xf>
    <xf numFmtId="164" fontId="24" fillId="12" borderId="26" xfId="0" applyNumberFormat="1" applyFont="1" applyFill="1" applyBorder="1" applyAlignment="1">
      <alignment horizontal="center" vertical="center"/>
    </xf>
    <xf numFmtId="164" fontId="24" fillId="10" borderId="26" xfId="0" applyNumberFormat="1" applyFont="1" applyFill="1" applyBorder="1" applyAlignment="1">
      <alignment horizontal="center" vertical="center"/>
    </xf>
    <xf numFmtId="0" fontId="24" fillId="5" borderId="17" xfId="10" applyFont="1" applyBorder="1" applyAlignment="1">
      <alignment horizontal="center" vertical="center"/>
    </xf>
    <xf numFmtId="0" fontId="24" fillId="9" borderId="17" xfId="14" applyFont="1" applyBorder="1" applyAlignment="1">
      <alignment horizontal="center" vertical="center"/>
    </xf>
    <xf numFmtId="0" fontId="28" fillId="0" borderId="0" xfId="6" applyFont="1" applyAlignment="1">
      <alignment horizontal="center"/>
    </xf>
    <xf numFmtId="0" fontId="24" fillId="8" borderId="0" xfId="13" applyFont="1" applyBorder="1" applyAlignment="1">
      <alignment horizontal="left" vertical="center" wrapText="1"/>
    </xf>
    <xf numFmtId="8" fontId="1" fillId="8" borderId="0" xfId="13" applyNumberFormat="1" applyAlignment="1">
      <alignment horizontal="center" vertical="center"/>
    </xf>
    <xf numFmtId="0" fontId="17" fillId="9" borderId="0" xfId="14" applyFont="1" applyBorder="1" applyAlignment="1">
      <alignment horizontal="left" vertical="center" wrapText="1"/>
    </xf>
    <xf numFmtId="8" fontId="1" fillId="9" borderId="0" xfId="14" applyNumberFormat="1" applyAlignment="1">
      <alignment horizontal="center" vertical="center"/>
    </xf>
    <xf numFmtId="0" fontId="17" fillId="6" borderId="0" xfId="11" applyFont="1" applyBorder="1" applyAlignment="1">
      <alignment horizontal="left" vertical="center" wrapText="1" indent="1"/>
    </xf>
    <xf numFmtId="8" fontId="26" fillId="6" borderId="0" xfId="11" applyNumberFormat="1" applyFont="1" applyAlignment="1">
      <alignment horizontal="center" vertical="center"/>
    </xf>
    <xf numFmtId="0" fontId="23" fillId="5" borderId="37" xfId="10" applyFont="1" applyBorder="1" applyAlignment="1">
      <alignment horizontal="center" vertical="center"/>
    </xf>
    <xf numFmtId="0" fontId="23" fillId="5" borderId="0" xfId="10" applyFont="1" applyAlignment="1">
      <alignment horizontal="center" vertical="center"/>
    </xf>
    <xf numFmtId="0" fontId="27" fillId="5" borderId="17" xfId="10" applyFont="1" applyBorder="1" applyAlignment="1">
      <alignment horizontal="center" vertical="center"/>
    </xf>
    <xf numFmtId="0" fontId="23" fillId="5" borderId="17" xfId="1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3" fillId="4" borderId="0" xfId="9" applyFont="1" applyBorder="1" applyAlignment="1">
      <alignment horizontal="left" vertical="center" wrapText="1" indent="1"/>
    </xf>
    <xf numFmtId="8" fontId="23" fillId="4" borderId="0" xfId="9" applyNumberFormat="1" applyFont="1" applyAlignment="1">
      <alignment horizontal="center" vertical="center"/>
    </xf>
    <xf numFmtId="0" fontId="23" fillId="5" borderId="0" xfId="10" applyFont="1" applyBorder="1" applyAlignment="1">
      <alignment horizontal="left" vertical="center" wrapText="1" indent="1"/>
    </xf>
    <xf numFmtId="8" fontId="23" fillId="5" borderId="0" xfId="10" applyNumberFormat="1" applyFont="1" applyAlignment="1">
      <alignment horizontal="center" vertical="center"/>
    </xf>
    <xf numFmtId="0" fontId="23" fillId="3" borderId="0" xfId="8" applyFont="1" applyBorder="1" applyAlignment="1">
      <alignment horizontal="left" vertical="center" wrapText="1" indent="1"/>
    </xf>
    <xf numFmtId="8" fontId="23" fillId="3" borderId="0" xfId="8" applyNumberFormat="1" applyFont="1" applyAlignment="1">
      <alignment horizontal="center" vertical="center"/>
    </xf>
  </cellXfs>
  <cellStyles count="15">
    <cellStyle name="20% - Accent4" xfId="8" builtinId="42"/>
    <cellStyle name="20% - Accent6" xfId="12" builtinId="50"/>
    <cellStyle name="40% - Accent4" xfId="9" builtinId="43"/>
    <cellStyle name="40% - Accent6" xfId="13" builtinId="51"/>
    <cellStyle name="60% - Accent4" xfId="10" builtinId="44"/>
    <cellStyle name="60% - Accent6" xfId="14" builtinId="52"/>
    <cellStyle name="Accent6" xfId="11" builtinId="49"/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  <cellStyle name="Title" xfId="6" builtinId="15"/>
    <cellStyle name="Total" xfId="7" builtinId="25"/>
  </cellStyles>
  <dxfs count="187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theme="8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 diagonalUp="0" diagonalDown="0">
        <left/>
        <right/>
        <top style="thin">
          <color rgb="FF5B9BD5"/>
        </top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border diagonalUp="0" diagonalDown="0">
        <left style="thin">
          <color theme="0" tint="-0.14993743705557422"/>
        </left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 style="thin">
          <color theme="0" tint="-0.14993743705557422"/>
        </right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 diagonalUp="0" diagonalDown="0">
        <left/>
        <right/>
        <top style="thin">
          <color rgb="FF5B9BD5"/>
        </top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center" textRotation="0" wrapText="0" indent="1" justifyLastLine="0" shrinkToFit="0" readingOrder="0"/>
    </dxf>
    <dxf>
      <border>
        <bottom style="thin">
          <color rgb="FFD9D9D9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Address Book" pivot="0" count="5" xr9:uid="{00000000-0011-0000-FFFF-FFFF00000000}">
      <tableStyleElement type="wholeTable" dxfId="1870"/>
      <tableStyleElement type="headerRow" dxfId="1869"/>
      <tableStyleElement type="totalRow" dxfId="1868"/>
      <tableStyleElement type="firstRowStripe" dxfId="1867"/>
      <tableStyleElement type="secondRowStripe" dxfId="1866"/>
    </tableStyle>
    <tableStyle name="Personal monthly budget" pivot="0" count="7" xr9:uid="{DF2684C2-C435-47FA-9646-E632C3AE8948}">
      <tableStyleElement type="wholeTable" dxfId="1865"/>
      <tableStyleElement type="headerRow" dxfId="1864"/>
      <tableStyleElement type="totalRow" dxfId="1863"/>
      <tableStyleElement type="firstColumn" dxfId="1862"/>
      <tableStyleElement type="lastColumn" dxfId="1861"/>
      <tableStyleElement type="firstRowStripe" dxfId="1860"/>
      <tableStyleElement type="firstColumnStripe" dxfId="18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F15F8E69-DDE3-4D73-8CD9-9FB890D99323}" name="Housing273963758799111123135147" displayName="Housing273963758799111123135147" ref="B20:E31" totalsRowCount="1" headerRowDxfId="1858" dataDxfId="1856" totalsRowDxfId="1854" headerRowBorderDxfId="1857" tableBorderDxfId="1855" headerRowCellStyle="60% - Accent4" dataCellStyle="60% - Accent4" totalsRowCellStyle="Total">
  <tableColumns count="4">
    <tableColumn id="1" xr3:uid="{92BB1743-C3EB-440C-8ACB-AC63C8D23130}" name="-" totalsRowLabel="Subtotal" dataDxfId="1853" totalsRowDxfId="1852" dataCellStyle="60% - Accent4"/>
    <tableColumn id="2" xr3:uid="{6DEA2B01-79ED-4044-84AA-35AA789F2550}" name="Projected_x000a_Cost" totalsRowFunction="sum" dataDxfId="1851" totalsRowDxfId="1850" dataCellStyle="20% - Accent4">
      <calculatedColumnFormula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calculatedColumnFormula>
    </tableColumn>
    <tableColumn id="3" xr3:uid="{A4FEDCF0-96EA-457D-9B58-C12585269E98}" name="Actual _x000a_Cost" totalsRowFunction="sum" dataDxfId="1849" totalsRowDxfId="1848" dataCellStyle="40% - Accent4">
      <calculatedColumnFormula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calculatedColumnFormula>
    </tableColumn>
    <tableColumn id="4" xr3:uid="{51AC76E3-E32C-486D-A49D-B24BB6652AA5}" name="Difference" totalsRowFunction="sum" dataDxfId="1847" totalsRowDxfId="1846" dataCellStyle="60% - Accent4">
      <calculatedColumnFormula>Housing273963758799111123135147[[#This Row],[Projected
Cost]]-Housing273963758799111123135147[[#This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D19445BD-CBFE-4412-9C84-68555C2ED361}" name="Legal3648728496108120132144156" displayName="Legal3648728496108120132144156" ref="G60:J65" totalsRowCount="1" headerRowDxfId="1744" dataDxfId="1742" totalsRowDxfId="1741" headerRowBorderDxfId="1743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FEF9588E-271E-4E65-8121-6DDE553ED5C7}" name="-" totalsRowLabel="Subtotal" dataDxfId="1740" totalsRowDxfId="1739" dataCellStyle="60% - Accent4"/>
    <tableColumn id="2" xr3:uid="{B32194C2-EC94-4167-8BC0-C7D6AF405949}" name="Projected _x000a_Cost" totalsRowFunction="sum" dataDxfId="1738" totalsRowDxfId="1737" dataCellStyle="20% - Accent4">
      <calculatedColumnFormula>Legal3648728496108120132144[[#This Row],[Projected 
Cost]]+Legal3648728496108120132[[#This Row],[Projected 
Cost]]+Legal3648728496108120[[#This Row],[Projected 
Cost]]+Legal3648728496108[[#This Row],[Projected 
Cost]]+Legal3648728496[[#This Row],[Projected 
Cost]]+Legal36487284[[#This Row],[Projected 
Cost]]+Legal364872[[#This Row],[Projected 
Cost]]+Legal364860[[#This Row],[Projected 
Cost]]+Legal3648[[#This Row],[Projected 
Cost]]+Legal36[[#This Row],[Projected 
Cost]]+Legal24[[#This Row],[Projected 
Cost]]+Legal[[#This Row],[Projected 
Cost]]</calculatedColumnFormula>
    </tableColumn>
    <tableColumn id="3" xr3:uid="{3B4473F5-F020-4A0A-B306-AF6530B168CD}" name="Actual _x000a_Cost" totalsRowFunction="sum" dataDxfId="1736" totalsRowDxfId="1735" dataCellStyle="40% - Accent4">
      <calculatedColumnFormula>Legal3648728496108120132144[[#This Row],[Actual 
Cost]]+Legal3648728496108120132[[#This Row],[Actual 
Cost]]+Legal3648728496108120[[#This Row],[Actual 
Cost]]+Legal3648728496108[[#This Row],[Actual 
Cost]]+Legal3648728496[[#This Row],[Actual 
Cost]]+Legal36487284[[#This Row],[Actual 
Cost]]+Legal364872[[#This Row],[Actual 
Cost]]+Legal364860[[#This Row],[Actual 
Cost]]+Legal3648[[#This Row],[Actual 
Cost]]+Legal36[[#This Row],[Actual 
Cost]]+Legal24[[#This Row],[Actual 
Cost]]+Legal[[#This Row],[Actual 
Cost]]</calculatedColumnFormula>
    </tableColumn>
    <tableColumn id="4" xr3:uid="{9F33BCB4-CAC8-413D-ACE6-5D637C154E12}" name="Difference" totalsRowFunction="sum" dataDxfId="1734" totalsRowDxfId="1733" dataCellStyle="60% - Accent4">
      <calculatedColumnFormula>Legal3648728496108120132144156[[#This Row],[Projected 
Cost]]-Legal3648728496108120132144156[[#This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2EC6414-E246-4BFC-B759-6B39A347A176}" name="Transportation304254" displayName="Transportation304254" ref="B34:E42" totalsRowCount="1" headerRowDxfId="971" dataDxfId="969" totalsRowDxfId="967" headerRowBorderDxfId="970" tableBorderDxfId="968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75A27B53-9B77-47A8-A651-69D4D95A57B9}" name="-" totalsRowLabel="Subtotal" dataDxfId="966" totalsRowDxfId="175" dataCellStyle="60% - Accent4" totalsRowCellStyle="Total"/>
    <tableColumn id="2" xr3:uid="{1832E1B2-B852-4248-9268-7F1FFB4026BB}" name="Projected _x000a_Cost" totalsRowFunction="sum" dataDxfId="965" totalsRowDxfId="174" dataCellStyle="20% - Accent4" totalsRowCellStyle="Total"/>
    <tableColumn id="3" xr3:uid="{3D23BBED-E1FF-4317-A095-B2AADFCA6225}" name="Actual _x000a_Cost" totalsRowFunction="sum" dataDxfId="964" totalsRowDxfId="173" dataCellStyle="40% - Accent4" totalsRowCellStyle="Total"/>
    <tableColumn id="4" xr3:uid="{1E1E4DED-C8C6-4BB1-B897-A8458625FB73}" name="Difference" totalsRowFunction="sum" dataDxfId="963" totalsRowDxfId="172" dataCellStyle="60% - Accent4" totalsRowCellStyle="Total">
      <calculatedColumnFormula>Transportation304254[[#This Row],[Projected 
Cost]]-Transportation304254[[#This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9A9A1EE-4000-45CA-A132-4F85D5EE762E}" name="Insurance314355" displayName="Insurance314355" ref="B45:E50" totalsRowCount="1" headerRowDxfId="962" dataDxfId="960" totalsRowDxfId="958" headerRowBorderDxfId="961" tableBorderDxfId="959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754BE7AF-7886-4794-A89E-E5E36F45B3AC}" name="-" totalsRowLabel="Subtotal" dataDxfId="957" totalsRowDxfId="179" dataCellStyle="60% - Accent4" totalsRowCellStyle="Total"/>
    <tableColumn id="2" xr3:uid="{69A8290C-EB4F-42BD-9D5F-9534EF2EE1AA}" name="Projected _x000a_Cost" totalsRowFunction="sum" dataDxfId="956" totalsRowDxfId="178" dataCellStyle="20% - Accent4" totalsRowCellStyle="Total"/>
    <tableColumn id="3" xr3:uid="{D703DDA4-E67E-4F99-ADDA-E3EDB3497C25}" name="Actual _x000a_Cost" totalsRowFunction="sum" dataDxfId="955" totalsRowDxfId="177" dataCellStyle="40% - Accent4" totalsRowCellStyle="Total"/>
    <tableColumn id="4" xr3:uid="{62DADAC1-5A2D-4352-9C28-B2613786CAA5}" name="Difference" totalsRowFunction="sum" dataDxfId="954" totalsRowDxfId="176" dataCellStyle="60% - Accent4" totalsRowCellStyle="Total">
      <calculatedColumnFormula>Insurance314355[[#This Row],[Projected 
Cost]]-Insurance314355[[#This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7FE0EB1-DE09-44D6-9E65-D35C1D9EAFA5}" name="Savings324456" displayName="Savings324456" ref="G45:J49" totalsRowCount="1" headerRowDxfId="953" dataDxfId="951" totalsRowDxfId="950" headerRowBorderDxfId="952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81A2B7E3-C452-4857-84E0-7941A4DD461A}" name="-" totalsRowLabel="Subtotal" dataDxfId="949" totalsRowDxfId="948" dataCellStyle="60% - Accent6" totalsRowCellStyle="Total"/>
    <tableColumn id="2" xr3:uid="{70F9BCFE-7326-4C08-9073-B0F8F4B3425A}" name="Projected _x000a_Cost" totalsRowFunction="sum" dataDxfId="947" totalsRowDxfId="946" dataCellStyle="20% - Accent6" totalsRowCellStyle="Total"/>
    <tableColumn id="3" xr3:uid="{6F91FABE-9481-4486-8750-3CB0C909CFA7}" name="Actual _x000a_Cost" totalsRowFunction="sum" dataDxfId="945" totalsRowDxfId="944" dataCellStyle="40% - Accent6" totalsRowCellStyle="Total"/>
    <tableColumn id="4" xr3:uid="{91091E22-F2E7-4AF7-840F-3ECFC272E8EB}" name="Difference" totalsRowFunction="sum" dataDxfId="943" totalsRowDxfId="942" dataCellStyle="60% - Accent6" totalsRowCellStyle="Total">
      <calculatedColumnFormula>Savings324456[[#This Row],[Projected 
Cost]]-Savings324456[[#This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077EB67-4CE5-49B6-A645-F5BA3A30C797}" name="Food334557" displayName="Food334557" ref="B53:E57" totalsRowCount="1" headerRowDxfId="941" dataDxfId="939" totalsRowDxfId="937" headerRowBorderDxfId="940" tableBorderDxfId="938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B553506C-F818-4973-9794-8B461FB1236C}" name="-" totalsRowLabel="Subtotal" dataDxfId="936" totalsRowDxfId="191" dataCellStyle="60% - Accent4" totalsRowCellStyle="Total"/>
    <tableColumn id="2" xr3:uid="{6C525C5C-8C25-4CCF-939F-D6B4668604F4}" name="Projected _x000a_Cost" totalsRowFunction="sum" dataDxfId="935" totalsRowDxfId="190" dataCellStyle="20% - Accent4" totalsRowCellStyle="Total"/>
    <tableColumn id="3" xr3:uid="{A3E74E12-9C33-405A-83A5-D40BB043DCF3}" name="Actual _x000a_Cost" totalsRowFunction="sum" dataDxfId="934" totalsRowDxfId="189" dataCellStyle="40% - Accent4" totalsRowCellStyle="Total"/>
    <tableColumn id="4" xr3:uid="{DEEAFC96-2CF7-40A8-AB70-F345E2BDF432}" name="Difference" totalsRowFunction="sum" dataDxfId="933" totalsRowDxfId="188" dataCellStyle="60% - Accent4" totalsRowCellStyle="Total">
      <calculatedColumnFormula>Food334557[[#This Row],[Projected 
Cost]]-Food334557[[#This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EDA178E-F1DB-4B0B-A778-0ED5B2E27EF0}" name="Gifts344658" displayName="Gifts344658" ref="G53:J57" totalsRowCount="1" headerRowDxfId="932" dataDxfId="930" totalsRowDxfId="929" headerRowBorderDxfId="931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D1C659AB-C03E-4AF5-B0B4-932FEACED535}" name="-" totalsRowLabel="Subtotal" dataDxfId="928" totalsRowDxfId="187" dataCellStyle="60% - Accent4" totalsRowCellStyle="Total"/>
    <tableColumn id="2" xr3:uid="{A71AE931-03D7-47B0-906D-49077E468AFB}" name="Projected _x000a_Cost" totalsRowFunction="sum" dataDxfId="927" totalsRowDxfId="186" dataCellStyle="20% - Accent4" totalsRowCellStyle="Total"/>
    <tableColumn id="3" xr3:uid="{7EF403B4-3724-428C-BF02-A984EFB0DB51}" name="Actual _x000a_Cost" totalsRowFunction="sum" dataDxfId="926" totalsRowDxfId="185" dataCellStyle="40% - Accent4" totalsRowCellStyle="Total"/>
    <tableColumn id="4" xr3:uid="{D04E1CEB-2D17-484F-8A87-259B83BF9C53}" name="Difference" totalsRowFunction="sum" dataDxfId="925" totalsRowDxfId="184" dataCellStyle="60% - Accent4" totalsRowCellStyle="Total">
      <calculatedColumnFormula>Gifts344658[[#This Row],[Projected 
Cost]]-Gifts344658[[#This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FE9B0AB-B5B3-4C7A-9FB2-036943B373A9}" name="Pets354759" displayName="Pets354759" ref="B60:E66" totalsRowCount="1" headerRowDxfId="924" dataDxfId="922" totalsRowDxfId="921" headerRowBorderDxfId="923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5F18023-B339-4052-8A73-02AE3EE3EED8}" name="-" totalsRowLabel="Subtotal" dataDxfId="920" totalsRowDxfId="195" dataCellStyle="60% - Accent4" totalsRowCellStyle="Total"/>
    <tableColumn id="2" xr3:uid="{9154CEC6-504F-4137-8D5B-27C5ECD0B444}" name="Projected _x000a_Cost" totalsRowFunction="sum" dataDxfId="919" totalsRowDxfId="194" dataCellStyle="20% - Accent4" totalsRowCellStyle="Total"/>
    <tableColumn id="3" xr3:uid="{D940E29B-49D0-41EC-9D33-E3BA70B80749}" name="Actual _x000a_Cost" totalsRowFunction="sum" dataDxfId="918" totalsRowDxfId="193" dataCellStyle="40% - Accent4" totalsRowCellStyle="Total"/>
    <tableColumn id="4" xr3:uid="{C62A9428-F692-488D-AE82-EA102BEFFA6E}" name="Difference" totalsRowFunction="sum" dataDxfId="917" totalsRowDxfId="192" dataCellStyle="60% - Accent4" totalsRowCellStyle="Total">
      <calculatedColumnFormula>Pets354759[[#This Row],[Projected 
Cost]]-Pets354759[[#This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39E19FC-7EF9-4112-A227-8A02727DF58D}" name="Legal364860" displayName="Legal364860" ref="G60:J65" totalsRowCount="1" headerRowDxfId="916" dataDxfId="914" totalsRowDxfId="913" headerRowBorderDxfId="915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4F307111-9860-4368-B0B4-5F4141A4F208}" name="-" totalsRowLabel="Subtotal" dataDxfId="912" totalsRowDxfId="183" dataCellStyle="60% - Accent4" totalsRowCellStyle="Total"/>
    <tableColumn id="2" xr3:uid="{C8ADD6D2-B70E-409F-B4B6-C2A5C4B332D1}" name="Projected _x000a_Cost" totalsRowFunction="sum" dataDxfId="911" totalsRowDxfId="182" dataCellStyle="20% - Accent4" totalsRowCellStyle="Total"/>
    <tableColumn id="3" xr3:uid="{D1A65034-0F3A-4246-AA60-61A331E17FAB}" name="Actual _x000a_Cost" totalsRowFunction="sum" dataDxfId="910" totalsRowDxfId="181" dataCellStyle="40% - Accent4" totalsRowCellStyle="Total"/>
    <tableColumn id="4" xr3:uid="{080C33A7-2DD7-4C80-9479-2750A54C2FA6}" name="Difference" totalsRowFunction="sum" dataDxfId="909" totalsRowDxfId="180" dataCellStyle="60% - Accent4" totalsRowCellStyle="Total">
      <calculatedColumnFormula>Legal364860[[#This Row],[Projected 
Cost]]-Legal364860[[#This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48DFCE4-E19F-488D-BF8C-152B0BBAD8E9}" name="PersonalCare374961" displayName="PersonalCare374961" ref="B69:E77" totalsRowCount="1" headerRowDxfId="908" dataDxfId="906" totalsRowDxfId="905" headerRowBorderDxfId="907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C6A9A148-9B6D-4ED3-B064-43FBAB5B84C6}" name="-" totalsRowLabel="Subtotal" dataDxfId="904" totalsRowDxfId="199" dataCellStyle="60% - Accent4" totalsRowCellStyle="Total"/>
    <tableColumn id="2" xr3:uid="{6E225761-C899-412B-923D-32E3CEDC1FE1}" name="Projected _x000a_Cost" totalsRowFunction="sum" dataDxfId="903" totalsRowDxfId="198" dataCellStyle="20% - Accent4" totalsRowCellStyle="Total"/>
    <tableColumn id="3" xr3:uid="{BF5EA7EE-AFCE-4643-89F2-D9C546E9E509}" name="Actual _x000a_Cost" totalsRowFunction="sum" dataDxfId="902" totalsRowDxfId="197" dataCellStyle="40% - Accent4" totalsRowCellStyle="Total"/>
    <tableColumn id="4" xr3:uid="{A0824657-AF66-41F0-A830-3F14084F14FD}" name="Difference" totalsRowFunction="sum" dataDxfId="901" totalsRowDxfId="196" dataCellStyle="60% - Accent4" totalsRowCellStyle="Total">
      <calculatedColumnFormula>PersonalCare374961[[#This Row],[Projected 
Cost]]-PersonalCare374961[[#This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8D965DE-0FDD-4904-AD52-3D5F8802E617}" name="Table13385062" displayName="Table13385062" ref="B3:C9" totalsRowShown="0" headerRowDxfId="900" dataDxfId="899" tableBorderDxfId="898" headerRowCellStyle="40% - Accent6" dataCellStyle="40% - Accent6">
  <autoFilter ref="B3:C9" xr:uid="{684E4A77-11D4-4D20-B209-12B12AB09032}"/>
  <tableColumns count="2">
    <tableColumn id="1" xr3:uid="{2495688C-F617-4498-87E4-0A46FE2EA2B5}" name="Projected Monthly Income" dataDxfId="897" dataCellStyle="40% - Accent6"/>
    <tableColumn id="2" xr3:uid="{0F1E92A8-EB1A-494E-AAB2-20BF9A4105AE}" name="Amount" dataDxfId="896" dataCellStyle="40% - Accent6"/>
  </tableColumns>
  <tableStyleInfo name="TableStyleMedium7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D513EB2-09C2-4C15-B85C-2AD8C04F1665}" name="Housing2739" displayName="Housing2739" ref="B20:E31" totalsRowCount="1" headerRowDxfId="895" dataDxfId="893" totalsRowDxfId="891" headerRowBorderDxfId="894" tableBorderDxfId="892" headerRowCellStyle="60% - Accent4" dataCellStyle="60% - Accent4" totalsRowCellStyle="Total">
  <tableColumns count="4">
    <tableColumn id="1" xr3:uid="{2759710F-AEBD-4105-A7E1-55CE052A58E6}" name="-" totalsRowLabel="Subtotal" dataDxfId="890" totalsRowDxfId="131" dataCellStyle="60% - Accent4" totalsRowCellStyle="Total"/>
    <tableColumn id="2" xr3:uid="{4821D185-9B23-49C5-B9A1-34C8AC5A8386}" name="Projected_x000a_Cost" totalsRowFunction="sum" dataDxfId="889" totalsRowDxfId="130" dataCellStyle="20% - Accent4" totalsRowCellStyle="Total"/>
    <tableColumn id="3" xr3:uid="{C841BECA-7D21-4536-8E12-A59E664BAD8E}" name="Actual _x000a_Cost" totalsRowFunction="sum" dataDxfId="888" totalsRowDxfId="129" dataCellStyle="40% - Accent4" totalsRowCellStyle="Total"/>
    <tableColumn id="4" xr3:uid="{BB8ABB9D-CF7C-4E4D-B980-C2638EFFE6F1}" name="Difference" totalsRowFunction="sum" dataDxfId="887" totalsRowDxfId="128" dataCellStyle="60% - Accent4" totalsRowCellStyle="Total">
      <calculatedColumnFormula>Housing2739[[#This Row],[Projected
Cost]]-Housing2739[[#This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3D199959-84C9-4053-9CFB-1C62D179DEDA}" name="PersonalCare3749738597109121133145157" displayName="PersonalCare3749738597109121133145157" ref="B69:E77" totalsRowCount="1" headerRowDxfId="1732" dataDxfId="1730" totalsRowDxfId="1729" headerRowBorderDxfId="1731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A93B21E6-4787-4D41-90D6-B6DF5F7B8C4A}" name="-" totalsRowLabel="Subtotal" dataDxfId="1728" totalsRowDxfId="1727" dataCellStyle="60% - Accent4"/>
    <tableColumn id="2" xr3:uid="{7C2C794A-2CBE-4464-A04D-E637136C079D}" name="Projected _x000a_Cost" totalsRowFunction="sum" dataDxfId="1726" totalsRowDxfId="1725" dataCellStyle="20% - Accent4">
      <calculatedColumnFormula>PersonalCare3749738597109121133145[[#This Row],[Projected 
Cost]]+PersonalCare3749738597109121133[[#This Row],[Projected 
Cost]]+PersonalCare3749738597109121[[#This Row],[Projected 
Cost]]+PersonalCare3749738597109[[#This Row],[Projected 
Cost]]+PersonalCare3749738597[[#This Row],[Projected 
Cost]]+PersonalCare37497385[[#This Row],[Projected 
Cost]]+PersonalCare374973[[#This Row],[Projected 
Cost]]+PersonalCare374961[[#This Row],[Projected 
Cost]]+PersonalCare3749[[#This Row],[Projected 
Cost]]+PersonalCare37[[#This Row],[Projected 
Cost]]+PersonalCare25[[#This Row],[Projected 
Cost]]+PersonalCare[[#This Row],[Projected 
Cost]]</calculatedColumnFormula>
    </tableColumn>
    <tableColumn id="3" xr3:uid="{DE92D03C-0257-4D7B-8C83-B2401A19C4D7}" name="Actual _x000a_Cost" totalsRowFunction="sum" dataDxfId="1724" totalsRowDxfId="1723" dataCellStyle="40% - Accent4">
      <calculatedColumnFormula>PersonalCare3749738597109121133145[[#This Row],[Actual 
Cost]]+PersonalCare3749738597109121133[[#This Row],[Actual 
Cost]]+PersonalCare3749738597109121[[#This Row],[Actual 
Cost]]+PersonalCare3749738597109[[#This Row],[Actual 
Cost]]+PersonalCare3749738597[[#This Row],[Actual 
Cost]]+PersonalCare37497385[[#This Row],[Actual 
Cost]]+PersonalCare374973[[#This Row],[Actual 
Cost]]+PersonalCare374961[[#This Row],[Actual 
Cost]]+PersonalCare3749[[#This Row],[Actual 
Cost]]+PersonalCare37[[#This Row],[Actual 
Cost]]+PersonalCare25[[#This Row],[Actual 
Cost]]+PersonalCare[[#This Row],[Actual 
Cost]]</calculatedColumnFormula>
    </tableColumn>
    <tableColumn id="4" xr3:uid="{D8F0494E-FF15-4697-866B-840F4C0E2861}" name="Difference" totalsRowFunction="sum" dataDxfId="1722" totalsRowDxfId="1721" dataCellStyle="60% - Accent4">
      <calculatedColumnFormula>PersonalCare3749738597109121133145157[[#This Row],[Projected 
Cost]]-PersonalCare3749738597109121133145157[[#This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8A997B6-E850-402A-955A-3FADEE33B048}" name="Entertainment2840" displayName="Entertainment2840" ref="G20:J30" totalsRowCount="1" headerRowDxfId="886" dataDxfId="884" totalsRowDxfId="882" headerRowBorderDxfId="885" tableBorderDxfId="883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B693B232-E013-4FD2-853A-5720F3C9617B}" name="-" totalsRowLabel="Subtotal" dataDxfId="881" totalsRowDxfId="127" dataCellStyle="60% - Accent4" totalsRowCellStyle="Total"/>
    <tableColumn id="2" xr3:uid="{B1BBA203-431F-4A62-AB40-497599B22C0A}" name="Projected _x000a_Cost" totalsRowFunction="sum" dataDxfId="880" totalsRowDxfId="126" dataCellStyle="20% - Accent4" totalsRowCellStyle="Total"/>
    <tableColumn id="3" xr3:uid="{F8306BD1-CAB8-4339-9C6B-F8F20A525D54}" name="Actual _x000a_Cost" totalsRowFunction="sum" dataDxfId="879" totalsRowDxfId="125" dataCellStyle="40% - Accent4" totalsRowCellStyle="Total"/>
    <tableColumn id="4" xr3:uid="{41012F94-036E-459E-AB42-76F063B4122B}" name="Difference" totalsRowFunction="sum" dataDxfId="878" totalsRowDxfId="124" dataCellStyle="60% - Accent4" totalsRowCellStyle="Total">
      <calculatedColumnFormula>Entertainment2840[[#This Row],[Projected 
Cost]]-Entertainment2840[[#This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0F26D3E-1191-40F9-BC08-695294F102C7}" name="Loans2941" displayName="Loans2941" ref="G34:J41" totalsRowCount="1" headerRowDxfId="877" dataDxfId="875" totalsRowDxfId="873" headerRowBorderDxfId="876" tableBorderDxfId="874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6595443D-7275-4053-B3FB-0A76AA0CEA0D}" name="-" totalsRowLabel="Subtotal" dataDxfId="872" totalsRowDxfId="123" dataCellStyle="60% - Accent4" totalsRowCellStyle="Total"/>
    <tableColumn id="2" xr3:uid="{7AD3D8D4-9922-4C5D-97CD-9FDA15BF47E5}" name="Projected _x000a_Cost" totalsRowFunction="sum" dataDxfId="871" totalsRowDxfId="122" dataCellStyle="20% - Accent4" totalsRowCellStyle="Total"/>
    <tableColumn id="3" xr3:uid="{3331C97B-9B72-4F90-8619-0425B718D8BC}" name="Actual _x000a_Cost" totalsRowFunction="sum" dataDxfId="870" totalsRowDxfId="121" dataCellStyle="40% - Accent4" totalsRowCellStyle="Total"/>
    <tableColumn id="4" xr3:uid="{5935274C-C5BD-4C79-9FA4-ADAA5A1A84CD}" name="Difference" totalsRowFunction="sum" dataDxfId="869" totalsRowDxfId="120" dataCellStyle="60% - Accent4" totalsRowCellStyle="Total">
      <calculatedColumnFormula>Loans2941[[#This Row],[Projected 
Cost]]-Loans2941[[#This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CA5F0C7-44D5-4215-8590-2B45940B3558}" name="Transportation3042" displayName="Transportation3042" ref="B34:E42" totalsRowCount="1" headerRowDxfId="868" dataDxfId="866" totalsRowDxfId="864" headerRowBorderDxfId="867" tableBorderDxfId="865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7F3368C-DEF7-4602-837B-BA6ECFF51468}" name="-" totalsRowLabel="Subtotal" dataDxfId="863" totalsRowDxfId="135" dataCellStyle="60% - Accent4" totalsRowCellStyle="Total"/>
    <tableColumn id="2" xr3:uid="{199E8BE8-15AB-4DCD-B2A0-46D0579F5C10}" name="Projected _x000a_Cost" totalsRowFunction="sum" dataDxfId="862" totalsRowDxfId="134" dataCellStyle="20% - Accent4" totalsRowCellStyle="Total"/>
    <tableColumn id="3" xr3:uid="{91F9BE0D-9318-4CA5-BE67-9CD56408B713}" name="Actual _x000a_Cost" totalsRowFunction="sum" dataDxfId="861" totalsRowDxfId="133" dataCellStyle="40% - Accent4" totalsRowCellStyle="Total"/>
    <tableColumn id="4" xr3:uid="{F6127037-F417-472D-B6BF-DE27AFEBD4DE}" name="Difference" totalsRowFunction="sum" dataDxfId="860" totalsRowDxfId="132" dataCellStyle="60% - Accent4" totalsRowCellStyle="Total">
      <calculatedColumnFormula>Transportation3042[[#This Row],[Projected 
Cost]]-Transportation3042[[#This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B619C68-0519-4508-807E-780E08A79651}" name="Insurance3143" displayName="Insurance3143" ref="B45:E50" totalsRowCount="1" headerRowDxfId="859" dataDxfId="857" totalsRowDxfId="855" headerRowBorderDxfId="858" tableBorderDxfId="856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20E72979-1989-45B7-A2C8-38E3620008B6}" name="-" totalsRowLabel="Subtotal" dataDxfId="854" totalsRowDxfId="139" dataCellStyle="60% - Accent4" totalsRowCellStyle="Total"/>
    <tableColumn id="2" xr3:uid="{34790F6B-7006-4A7B-B585-3DE462215D50}" name="Projected _x000a_Cost" totalsRowFunction="sum" dataDxfId="853" totalsRowDxfId="138" dataCellStyle="20% - Accent4" totalsRowCellStyle="Total"/>
    <tableColumn id="3" xr3:uid="{58C248C6-2308-4AD6-B92C-08EF5CEB6F95}" name="Actual _x000a_Cost" totalsRowFunction="sum" dataDxfId="852" totalsRowDxfId="137" dataCellStyle="40% - Accent4" totalsRowCellStyle="Total"/>
    <tableColumn id="4" xr3:uid="{AFC71E6D-25A5-4682-9574-F3E93B9CE92D}" name="Difference" totalsRowFunction="sum" dataDxfId="851" totalsRowDxfId="136" dataCellStyle="60% - Accent4" totalsRowCellStyle="Total">
      <calculatedColumnFormula>Insurance3143[[#This Row],[Projected 
Cost]]-Insurance3143[[#This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429ABDA-3F80-4636-A691-7E88EB60DD04}" name="Savings3244" displayName="Savings3244" ref="G45:J49" totalsRowCount="1" headerRowDxfId="850" dataDxfId="848" totalsRowDxfId="847" headerRowBorderDxfId="849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3D43182B-C31A-4B63-ABE8-6CE38F141F40}" name="-" totalsRowLabel="Subtotal" dataDxfId="846" totalsRowDxfId="845" dataCellStyle="60% - Accent6" totalsRowCellStyle="Total"/>
    <tableColumn id="2" xr3:uid="{23C655E5-2B6B-4E8B-A93D-47651F95EB2E}" name="Projected _x000a_Cost" totalsRowFunction="sum" dataDxfId="844" totalsRowDxfId="843" dataCellStyle="20% - Accent6" totalsRowCellStyle="Total"/>
    <tableColumn id="3" xr3:uid="{ED3CFA49-C0F0-4652-B4F8-F925BB087271}" name="Actual _x000a_Cost" totalsRowFunction="sum" dataDxfId="842" totalsRowDxfId="841" dataCellStyle="40% - Accent6" totalsRowCellStyle="Total"/>
    <tableColumn id="4" xr3:uid="{6AAEEEE3-07AF-47D3-846E-894B11325AF7}" name="Difference" totalsRowFunction="sum" dataDxfId="840" totalsRowDxfId="839" dataCellStyle="60% - Accent6" totalsRowCellStyle="Total">
      <calculatedColumnFormula>Savings3244[[#This Row],[Projected 
Cost]]-Savings3244[[#This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42575D5-0E53-4B6F-8FB6-DB946FFF3E1E}" name="Food3345" displayName="Food3345" ref="B53:E57" totalsRowCount="1" headerRowDxfId="838" dataDxfId="836" totalsRowDxfId="834" headerRowBorderDxfId="837" tableBorderDxfId="835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9B396C73-A44D-4CF2-A5F3-DB80C2F88278}" name="-" totalsRowLabel="Subtotal" dataDxfId="833" totalsRowDxfId="143" dataCellStyle="60% - Accent4" totalsRowCellStyle="Total"/>
    <tableColumn id="2" xr3:uid="{45617E8D-697D-4371-B8C4-7816101DF4A9}" name="Projected _x000a_Cost" totalsRowFunction="sum" dataDxfId="832" totalsRowDxfId="142" dataCellStyle="20% - Accent4" totalsRowCellStyle="Total"/>
    <tableColumn id="3" xr3:uid="{7FC09244-B161-420B-8626-B1F8104FE22A}" name="Actual _x000a_Cost" totalsRowFunction="sum" dataDxfId="831" totalsRowDxfId="141" dataCellStyle="40% - Accent4" totalsRowCellStyle="Total"/>
    <tableColumn id="4" xr3:uid="{5A971352-28A4-4856-8869-E2E8DAF55C71}" name="Difference" totalsRowFunction="sum" dataDxfId="830" totalsRowDxfId="140" dataCellStyle="60% - Accent4" totalsRowCellStyle="Total">
      <calculatedColumnFormula>Food3345[[#This Row],[Projected 
Cost]]-Food3345[[#This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241E6A4-6DA4-428D-A7C7-09688F454415}" name="Gifts3446" displayName="Gifts3446" ref="G53:J57" totalsRowCount="1" headerRowDxfId="829" dataDxfId="827" totalsRowDxfId="826" headerRowBorderDxfId="828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A7C2275A-7358-4B05-9214-38076B72357E}" name="-" totalsRowLabel="Subtotal" dataDxfId="825" totalsRowDxfId="147" dataCellStyle="60% - Accent4" totalsRowCellStyle="Total"/>
    <tableColumn id="2" xr3:uid="{085B554E-4066-4973-9EE9-DA84ED663C0D}" name="Projected _x000a_Cost" totalsRowFunction="sum" dataDxfId="824" totalsRowDxfId="146" dataCellStyle="20% - Accent4" totalsRowCellStyle="Total"/>
    <tableColumn id="3" xr3:uid="{DF273DEB-849A-4FDA-B51C-A0DE26942BB6}" name="Actual _x000a_Cost" totalsRowFunction="sum" dataDxfId="823" totalsRowDxfId="145" dataCellStyle="40% - Accent4" totalsRowCellStyle="Total"/>
    <tableColumn id="4" xr3:uid="{5CF359E8-FD46-4E7C-BDA6-17855D20299D}" name="Difference" totalsRowFunction="sum" dataDxfId="822" totalsRowDxfId="144" dataCellStyle="60% - Accent4" totalsRowCellStyle="Total">
      <calculatedColumnFormula>Gifts3446[[#This Row],[Projected 
Cost]]-Gifts3446[[#This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3372A1B4-F03D-46C2-BC45-17ADCB1C8E01}" name="Pets3547" displayName="Pets3547" ref="B60:E66" totalsRowCount="1" headerRowDxfId="821" dataDxfId="819" totalsRowDxfId="818" headerRowBorderDxfId="820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4417F619-476E-4451-9362-A2EB440A90D9}" name="-" totalsRowLabel="Subtotal" dataDxfId="817" totalsRowDxfId="155" dataCellStyle="60% - Accent4" totalsRowCellStyle="Total"/>
    <tableColumn id="2" xr3:uid="{79116084-88D8-4839-B7E6-18505DAE072E}" name="Projected _x000a_Cost" totalsRowFunction="sum" dataDxfId="816" totalsRowDxfId="154" dataCellStyle="20% - Accent4" totalsRowCellStyle="Total"/>
    <tableColumn id="3" xr3:uid="{C4EDDEC3-E39A-46F8-B60B-025274FB67D5}" name="Actual _x000a_Cost" totalsRowFunction="sum" dataDxfId="815" totalsRowDxfId="153" dataCellStyle="40% - Accent4" totalsRowCellStyle="Total"/>
    <tableColumn id="4" xr3:uid="{07EAD156-17BA-4C65-9532-FA91AB72F92D}" name="Difference" totalsRowFunction="sum" dataDxfId="814" totalsRowDxfId="152" dataCellStyle="60% - Accent4" totalsRowCellStyle="Total">
      <calculatedColumnFormula>Pets3547[[#This Row],[Projected 
Cost]]-Pets3547[[#This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8B64F95-89D3-48D2-8E05-F4FF2EDB91AA}" name="Legal3648" displayName="Legal3648" ref="G60:J65" totalsRowCount="1" headerRowDxfId="813" dataDxfId="811" totalsRowDxfId="810" headerRowBorderDxfId="812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D6E318B6-7DE4-4550-8E90-CFE8661D49B2}" name="-" totalsRowLabel="Subtotal" dataDxfId="809" totalsRowDxfId="151" dataCellStyle="60% - Accent4" totalsRowCellStyle="Total"/>
    <tableColumn id="2" xr3:uid="{FF60D232-E422-40AE-AEEA-DE4E0AB92ED8}" name="Projected _x000a_Cost" totalsRowFunction="sum" dataDxfId="808" totalsRowDxfId="150" dataCellStyle="20% - Accent4" totalsRowCellStyle="Total"/>
    <tableColumn id="3" xr3:uid="{8D16F86D-BBBF-4518-921D-2383A9E04EA4}" name="Actual _x000a_Cost" totalsRowFunction="sum" dataDxfId="807" totalsRowDxfId="149" dataCellStyle="40% - Accent4" totalsRowCellStyle="Total"/>
    <tableColumn id="4" xr3:uid="{9054A741-FD82-4895-AAAC-F5BFB8470B31}" name="Difference" totalsRowFunction="sum" dataDxfId="806" totalsRowDxfId="148" dataCellStyle="60% - Accent4" totalsRowCellStyle="Total">
      <calculatedColumnFormula>Legal3648[[#This Row],[Projected 
Cost]]-Legal3648[[#This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E596CC2-2393-4508-BE25-0570C1FB080C}" name="PersonalCare3749" displayName="PersonalCare3749" ref="B69:E77" totalsRowCount="1" headerRowDxfId="805" dataDxfId="803" totalsRowDxfId="802" headerRowBorderDxfId="804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CF742B8E-7088-4340-A996-BC7250A84560}" name="-" totalsRowLabel="Subtotal" dataDxfId="801" totalsRowDxfId="159" dataCellStyle="60% - Accent4" totalsRowCellStyle="Total"/>
    <tableColumn id="2" xr3:uid="{9B97E6D0-6D6A-416E-AF43-0DECE71BD91D}" name="Projected _x000a_Cost" totalsRowFunction="sum" dataDxfId="800" totalsRowDxfId="158" dataCellStyle="20% - Accent4" totalsRowCellStyle="Total"/>
    <tableColumn id="3" xr3:uid="{83E8B656-83C5-4BC7-A22E-43D00316F221}" name="Actual _x000a_Cost" totalsRowFunction="sum" dataDxfId="799" totalsRowDxfId="157" dataCellStyle="40% - Accent4" totalsRowCellStyle="Total"/>
    <tableColumn id="4" xr3:uid="{B0F82DAB-764C-4233-80BB-82688D55CCC8}" name="Difference" totalsRowFunction="sum" dataDxfId="798" totalsRowDxfId="156" dataCellStyle="60% - Accent4" totalsRowCellStyle="Total">
      <calculatedColumnFormula>PersonalCare3749[[#This Row],[Projected 
Cost]]-PersonalCare3749[[#This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5C713983-B1DD-45F7-8402-A38255DD7199}" name="Table133850748698110122134146158" displayName="Table133850748698110122134146158" ref="B3:C9" totalsRowShown="0" headerRowDxfId="1720" dataDxfId="1719" tableBorderDxfId="1718" headerRowCellStyle="40% - Accent6" dataCellStyle="40% - Accent6">
  <autoFilter ref="B3:C9" xr:uid="{684E4A77-11D4-4D20-B209-12B12AB09032}"/>
  <tableColumns count="2">
    <tableColumn id="1" xr3:uid="{10D731F4-F783-4E6B-82EE-37A2D83AC454}" name="Projected Annual Income" dataDxfId="1717" dataCellStyle="40% - Accent6"/>
    <tableColumn id="2" xr3:uid="{7FC95755-C385-4985-A5F5-B960EBE66325}" name="Amount" dataDxfId="1716" dataCellStyle="40% - Accent6"/>
  </tableColumns>
  <tableStyleInfo name="TableStyleMedium7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BDEA208-5E5D-457D-ABF2-9CE41B3B2F44}" name="Table133850" displayName="Table133850" ref="B3:C9" totalsRowShown="0" headerRowDxfId="797" dataDxfId="796" tableBorderDxfId="795" headerRowCellStyle="40% - Accent6" dataCellStyle="40% - Accent6">
  <autoFilter ref="B3:C9" xr:uid="{684E4A77-11D4-4D20-B209-12B12AB09032}"/>
  <tableColumns count="2">
    <tableColumn id="1" xr3:uid="{3EA8397C-FFD0-4221-AC51-00791AB5A49F}" name="Projected Monthly Income" dataDxfId="794" dataCellStyle="40% - Accent6"/>
    <tableColumn id="2" xr3:uid="{139D0E7F-D06B-4AF2-83A1-74D344D7F512}" name="Amount" dataDxfId="793" dataCellStyle="40% - Accent6"/>
  </tableColumns>
  <tableStyleInfo name="TableStyleMedium7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F80C106-0A27-487A-9DDD-B063288644BB}" name="Housing27" displayName="Housing27" ref="B20:E31" totalsRowCount="1" headerRowDxfId="792" dataDxfId="790" totalsRowDxfId="788" headerRowBorderDxfId="791" tableBorderDxfId="789" headerRowCellStyle="60% - Accent4" dataCellStyle="60% - Accent4" totalsRowCellStyle="Total">
  <tableColumns count="4">
    <tableColumn id="1" xr3:uid="{105F3740-1E67-4867-B679-4413164C5422}" name="-" totalsRowLabel="Subtotal" dataDxfId="787" totalsRowDxfId="91" dataCellStyle="60% - Accent4" totalsRowCellStyle="Total"/>
    <tableColumn id="2" xr3:uid="{BA485C2F-BDEB-4DF9-ADEB-E6914EF8E9CD}" name="Projected_x000a_Cost" totalsRowFunction="sum" dataDxfId="786" totalsRowDxfId="90" dataCellStyle="20% - Accent4" totalsRowCellStyle="Total"/>
    <tableColumn id="3" xr3:uid="{4C6A5276-4009-448B-A280-6199555C7C52}" name="Actual _x000a_Cost" totalsRowFunction="sum" dataDxfId="785" totalsRowDxfId="89" dataCellStyle="40% - Accent4" totalsRowCellStyle="Total"/>
    <tableColumn id="4" xr3:uid="{64283D03-75DC-4BE8-9121-7B3C3AF25BB6}" name="Difference" totalsRowFunction="sum" dataDxfId="784" totalsRowDxfId="88" dataCellStyle="60% - Accent4" totalsRowCellStyle="Total">
      <calculatedColumnFormula>Housing27[[#This Row],[Projected
Cost]]-Housing27[[#This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E47AC28-423E-46F9-AD8B-EE57124667DF}" name="Entertainment28" displayName="Entertainment28" ref="G20:J30" totalsRowCount="1" headerRowDxfId="783" dataDxfId="781" totalsRowDxfId="779" headerRowBorderDxfId="782" tableBorderDxfId="780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E9342F5-B63A-431B-88BC-998534C2BCA8}" name="-" totalsRowLabel="Subtotal" dataDxfId="778" totalsRowDxfId="87" dataCellStyle="60% - Accent4" totalsRowCellStyle="Total"/>
    <tableColumn id="2" xr3:uid="{B320AD57-FD6F-4BED-91BA-E61848EC2D01}" name="Projected _x000a_Cost" totalsRowFunction="sum" dataDxfId="777" totalsRowDxfId="86" dataCellStyle="20% - Accent4" totalsRowCellStyle="Total"/>
    <tableColumn id="3" xr3:uid="{B34D49D0-5E08-4525-9205-6645E97F4A58}" name="Actual _x000a_Cost" totalsRowFunction="sum" dataDxfId="776" totalsRowDxfId="85" dataCellStyle="40% - Accent4" totalsRowCellStyle="Total"/>
    <tableColumn id="4" xr3:uid="{F89698C9-E73C-4445-A5C2-200F0A89C45D}" name="Difference" totalsRowFunction="sum" dataDxfId="775" totalsRowDxfId="84" dataCellStyle="60% - Accent4" totalsRowCellStyle="Total">
      <calculatedColumnFormula>Entertainment28[[#This Row],[Projected 
Cost]]-Entertainment28[[#This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DCDC4A9-EA23-4B43-AB2A-36739D1FF990}" name="Loans29" displayName="Loans29" ref="G34:J41" totalsRowCount="1" headerRowDxfId="774" dataDxfId="772" totalsRowDxfId="770" headerRowBorderDxfId="773" tableBorderDxfId="771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54E4C16C-0C52-4122-AA84-F69E9ABF063E}" name="-" totalsRowLabel="Subtotal" dataDxfId="769" totalsRowDxfId="83" dataCellStyle="60% - Accent4" totalsRowCellStyle="Total"/>
    <tableColumn id="2" xr3:uid="{561F3280-F5CF-4CAD-96BA-375EF4CE83C5}" name="Projected _x000a_Cost" totalsRowFunction="sum" dataDxfId="768" totalsRowDxfId="82" dataCellStyle="20% - Accent4" totalsRowCellStyle="Total"/>
    <tableColumn id="3" xr3:uid="{6EEDD2B3-A600-4642-A0DB-9643DC8CDCD3}" name="Actual _x000a_Cost" totalsRowFunction="sum" dataDxfId="767" totalsRowDxfId="81" dataCellStyle="40% - Accent4" totalsRowCellStyle="Total"/>
    <tableColumn id="4" xr3:uid="{0D19826A-B331-4C6D-9DFF-FCD27C996F0A}" name="Difference" totalsRowFunction="sum" dataDxfId="766" totalsRowDxfId="80" dataCellStyle="60% - Accent4" totalsRowCellStyle="Total">
      <calculatedColumnFormula>Loans29[[#This Row],[Projected 
Cost]]-Loans29[[#This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99552ED-EB92-451C-AF45-A8DCA12BFD50}" name="Transportation30" displayName="Transportation30" ref="B34:E42" totalsRowCount="1" headerRowDxfId="765" dataDxfId="763" totalsRowDxfId="761" headerRowBorderDxfId="764" tableBorderDxfId="762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8AAB9B81-DB93-43D8-994D-DF4F1C4072E2}" name="-" totalsRowLabel="Subtotal" dataDxfId="760" totalsRowDxfId="95" dataCellStyle="60% - Accent4" totalsRowCellStyle="Total"/>
    <tableColumn id="2" xr3:uid="{96AE37FD-A1C3-4B0E-A0AC-C33D96D94DB4}" name="Projected _x000a_Cost" totalsRowFunction="sum" dataDxfId="759" totalsRowDxfId="94" dataCellStyle="20% - Accent4" totalsRowCellStyle="Total"/>
    <tableColumn id="3" xr3:uid="{14D514BD-CA58-488A-A545-16D67BB92873}" name="Actual _x000a_Cost" totalsRowFunction="sum" dataDxfId="758" totalsRowDxfId="93" dataCellStyle="40% - Accent4" totalsRowCellStyle="Total"/>
    <tableColumn id="4" xr3:uid="{006425DD-80B8-4CC2-92B8-F69CA89F82C3}" name="Difference" totalsRowFunction="sum" dataDxfId="757" totalsRowDxfId="92" dataCellStyle="60% - Accent4" totalsRowCellStyle="Total">
      <calculatedColumnFormula>Transportation30[[#This Row],[Projected 
Cost]]-Transportation30[[#This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6CEB989-AC43-412C-93EF-6CE76D9CD7A5}" name="Insurance31" displayName="Insurance31" ref="B45:E50" totalsRowCount="1" headerRowDxfId="756" dataDxfId="754" totalsRowDxfId="752" headerRowBorderDxfId="755" tableBorderDxfId="753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4C785E97-07DD-47DB-A40E-69A3A3598C1F}" name="-" totalsRowLabel="Subtotal" dataDxfId="751" totalsRowDxfId="99" dataCellStyle="60% - Accent4" totalsRowCellStyle="Total"/>
    <tableColumn id="2" xr3:uid="{D060702A-A5D6-4789-A763-7011C5AAA58E}" name="Projected _x000a_Cost" totalsRowFunction="sum" dataDxfId="750" totalsRowDxfId="98" dataCellStyle="20% - Accent4" totalsRowCellStyle="Total"/>
    <tableColumn id="3" xr3:uid="{F96CE915-75C0-4B11-AF9A-67645C9F26C8}" name="Actual _x000a_Cost" totalsRowFunction="sum" dataDxfId="749" totalsRowDxfId="97" dataCellStyle="40% - Accent4" totalsRowCellStyle="Total"/>
    <tableColumn id="4" xr3:uid="{B2443FCD-76C1-400E-95FB-01C7EC927F4B}" name="Difference" totalsRowFunction="sum" dataDxfId="748" totalsRowDxfId="96" dataCellStyle="60% - Accent4" totalsRowCellStyle="Total">
      <calculatedColumnFormula>Insurance31[[#This Row],[Projected 
Cost]]-Insurance31[[#This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51DEC60-3A9F-4F7F-9291-34E8F9680BF2}" name="Savings32" displayName="Savings32" ref="G45:J49" totalsRowCount="1" headerRowDxfId="747" dataDxfId="745" totalsRowDxfId="744" headerRowBorderDxfId="746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FF211A06-B99B-478E-A35C-A4119E26A42D}" name="-" totalsRowLabel="Subtotal" dataDxfId="743" totalsRowDxfId="742" dataCellStyle="60% - Accent6" totalsRowCellStyle="Total"/>
    <tableColumn id="2" xr3:uid="{45CE07CD-8C0C-41E1-802A-D2A0880455FD}" name="Projected _x000a_Cost" totalsRowFunction="sum" dataDxfId="741" totalsRowDxfId="740" dataCellStyle="20% - Accent6" totalsRowCellStyle="Total"/>
    <tableColumn id="3" xr3:uid="{597C17E0-D661-4A44-AE16-180BA6D9ED55}" name="Actual _x000a_Cost" totalsRowFunction="sum" dataDxfId="739" totalsRowDxfId="738" dataCellStyle="40% - Accent6" totalsRowCellStyle="Total"/>
    <tableColumn id="4" xr3:uid="{12009FCE-37A4-431B-B6C9-6FCF8ADC5A4D}" name="Difference" totalsRowFunction="sum" dataDxfId="737" totalsRowDxfId="736" dataCellStyle="60% - Accent6" totalsRowCellStyle="Total">
      <calculatedColumnFormula>Savings32[[#This Row],[Projected 
Cost]]-Savings32[[#This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51E6A19-AD28-4C61-BC2D-5659099CF2F7}" name="Food33" displayName="Food33" ref="B53:E57" totalsRowCount="1" headerRowDxfId="735" dataDxfId="733" totalsRowDxfId="731" headerRowBorderDxfId="734" tableBorderDxfId="732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FD677DDC-C054-4AC1-A134-1B0C6A420CFD}" name="-" totalsRowLabel="Subtotal" dataDxfId="730" totalsRowDxfId="103" dataCellStyle="60% - Accent4" totalsRowCellStyle="Total"/>
    <tableColumn id="2" xr3:uid="{B6991A4E-D671-4CFC-B4A4-2580C4DB42B3}" name="Projected _x000a_Cost" totalsRowFunction="sum" dataDxfId="729" totalsRowDxfId="102" dataCellStyle="20% - Accent4" totalsRowCellStyle="Total"/>
    <tableColumn id="3" xr3:uid="{B400318A-6DFE-472D-9C7B-CC52ECE986FF}" name="Actual _x000a_Cost" totalsRowFunction="sum" dataDxfId="728" totalsRowDxfId="101" dataCellStyle="40% - Accent4" totalsRowCellStyle="Total"/>
    <tableColumn id="4" xr3:uid="{1DA2347E-FA89-4DDA-9655-6416AFE92EED}" name="Difference" totalsRowFunction="sum" dataDxfId="727" totalsRowDxfId="100" dataCellStyle="60% - Accent4" totalsRowCellStyle="Total">
      <calculatedColumnFormula>Food33[[#This Row],[Projected 
Cost]]-Food33[[#This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CB07B37-98D2-4E5A-88FD-AFFFD11BC2A3}" name="Gifts34" displayName="Gifts34" ref="G53:J57" totalsRowCount="1" headerRowDxfId="726" dataDxfId="724" totalsRowDxfId="723" headerRowBorderDxfId="725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A42F2C80-2720-4B73-95CE-09D3702C9739}" name="-" totalsRowLabel="Subtotal" dataDxfId="722" totalsRowDxfId="107" dataCellStyle="60% - Accent4" totalsRowCellStyle="Total"/>
    <tableColumn id="2" xr3:uid="{8BC7E5BB-3252-453F-986E-0E9B2471DCA4}" name="Projected _x000a_Cost" totalsRowFunction="sum" dataDxfId="721" totalsRowDxfId="106" dataCellStyle="20% - Accent4" totalsRowCellStyle="Total"/>
    <tableColumn id="3" xr3:uid="{3F9ED198-A01C-4A94-AC38-4F0B4057F447}" name="Actual _x000a_Cost" totalsRowFunction="sum" dataDxfId="720" totalsRowDxfId="105" dataCellStyle="40% - Accent4" totalsRowCellStyle="Total"/>
    <tableColumn id="4" xr3:uid="{37E6FD61-A282-4B17-9030-587102C8B8EF}" name="Difference" totalsRowFunction="sum" dataDxfId="719" totalsRowDxfId="104" dataCellStyle="60% - Accent4" totalsRowCellStyle="Total">
      <calculatedColumnFormula>Gifts34[[#This Row],[Projected 
Cost]]-Gifts34[[#This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01713FA-3F57-4747-AB76-FE750311E829}" name="Pets35" displayName="Pets35" ref="B60:E66" totalsRowCount="1" headerRowDxfId="718" dataDxfId="716" totalsRowDxfId="715" headerRowBorderDxfId="717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8ABE74DB-DF5F-4C09-940F-76D9399A4B5B}" name="-" totalsRowLabel="Subtotal" dataDxfId="714" totalsRowDxfId="115" dataCellStyle="60% - Accent4" totalsRowCellStyle="Total"/>
    <tableColumn id="2" xr3:uid="{93F0AAA8-6083-4894-B629-DA69A7E52A2E}" name="Projected _x000a_Cost" totalsRowFunction="sum" dataDxfId="713" totalsRowDxfId="114" dataCellStyle="20% - Accent4" totalsRowCellStyle="Total"/>
    <tableColumn id="3" xr3:uid="{AFD4ECE9-AA13-4AB0-9964-92BF6B407ACB}" name="Actual _x000a_Cost" totalsRowFunction="sum" dataDxfId="712" totalsRowDxfId="113" dataCellStyle="40% - Accent4" totalsRowCellStyle="Total"/>
    <tableColumn id="4" xr3:uid="{91E047CF-1FAA-4FD5-8E93-4FCC8430A548}" name="Difference" totalsRowFunction="sum" dataDxfId="711" totalsRowDxfId="112" dataCellStyle="60% - Accent4" totalsRowCellStyle="Total">
      <calculatedColumnFormula>Pets35[[#This Row],[Projected 
Cost]]-Pets35[[#This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3B7C6506-7F49-4F54-ADBA-4590539916D4}" name="Housing273963758799111123135" displayName="Housing273963758799111123135" ref="B20:E31" totalsRowCount="1" headerRowDxfId="1715" dataDxfId="1713" totalsRowDxfId="1711" headerRowBorderDxfId="1714" tableBorderDxfId="1712" headerRowCellStyle="60% - Accent4" dataCellStyle="60% - Accent4" totalsRowCellStyle="Total">
  <tableColumns count="4">
    <tableColumn id="1" xr3:uid="{BC0C0E8D-5295-46F0-86C0-D8BC53252A59}" name="-" totalsRowLabel="Subtotal" dataDxfId="1710" totalsRowDxfId="479" dataCellStyle="60% - Accent4" totalsRowCellStyle="Total"/>
    <tableColumn id="2" xr3:uid="{895E4B69-2E71-4305-A246-FB48D94A1181}" name="Projected_x000a_Cost" totalsRowFunction="sum" dataDxfId="1709" totalsRowDxfId="478" dataCellStyle="20% - Accent4" totalsRowCellStyle="Total"/>
    <tableColumn id="3" xr3:uid="{F057B672-435C-4B24-9808-32B16DF06155}" name="Actual _x000a_Cost" totalsRowFunction="sum" dataDxfId="1708" totalsRowDxfId="477" dataCellStyle="40% - Accent4" totalsRowCellStyle="Total"/>
    <tableColumn id="4" xr3:uid="{38A895EF-DA50-4240-91C1-D2F0ADF718C2}" name="Difference" totalsRowFunction="sum" dataDxfId="1707" totalsRowDxfId="476" dataCellStyle="60% - Accent4" totalsRowCellStyle="Total">
      <calculatedColumnFormula>Housing273963758799111123135[[#This Row],[Projected
Cost]]-Housing273963758799111123135[[#This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61246FC-D5ED-4556-8FBA-06DA00F8E044}" name="Legal36" displayName="Legal36" ref="G60:J65" totalsRowCount="1" headerRowDxfId="710" dataDxfId="708" totalsRowDxfId="707" headerRowBorderDxfId="709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E692E4B9-0F3C-4A31-8D18-E03C3487C4C8}" name="-" totalsRowLabel="Subtotal" dataDxfId="706" totalsRowDxfId="111" dataCellStyle="60% - Accent4" totalsRowCellStyle="Total"/>
    <tableColumn id="2" xr3:uid="{0A07FF9E-2E61-4AAC-ACE1-BF9DE785843A}" name="Projected _x000a_Cost" totalsRowFunction="sum" dataDxfId="705" totalsRowDxfId="110" dataCellStyle="20% - Accent4" totalsRowCellStyle="Total"/>
    <tableColumn id="3" xr3:uid="{D8FF256A-D5DC-4861-A801-8EF36E942F10}" name="Actual _x000a_Cost" totalsRowFunction="sum" dataDxfId="704" totalsRowDxfId="109" dataCellStyle="40% - Accent4" totalsRowCellStyle="Total"/>
    <tableColumn id="4" xr3:uid="{FEE9F6D4-6CEE-4A2A-A548-ABA80CBE71FE}" name="Difference" totalsRowFunction="sum" dataDxfId="703" totalsRowDxfId="108" dataCellStyle="60% - Accent4" totalsRowCellStyle="Total">
      <calculatedColumnFormula>Legal36[[#This Row],[Projected 
Cost]]-Legal36[[#This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FCB8DBE-3C3C-4D01-A56B-E3E76F7576B8}" name="PersonalCare37" displayName="PersonalCare37" ref="B69:E77" totalsRowCount="1" headerRowDxfId="702" dataDxfId="700" totalsRowDxfId="699" headerRowBorderDxfId="701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62AF43BE-A841-4C2F-B26E-EA0EC1D24C48}" name="-" totalsRowLabel="Subtotal" dataDxfId="698" totalsRowDxfId="119" dataCellStyle="60% - Accent4" totalsRowCellStyle="Total"/>
    <tableColumn id="2" xr3:uid="{531125B5-3C37-4761-829B-6F6B418856F2}" name="Projected _x000a_Cost" totalsRowFunction="sum" dataDxfId="697" totalsRowDxfId="118" dataCellStyle="20% - Accent4" totalsRowCellStyle="Total"/>
    <tableColumn id="3" xr3:uid="{A1A1AC77-4A73-4B38-BDF4-00F9C669F907}" name="Actual _x000a_Cost" totalsRowFunction="sum" dataDxfId="696" totalsRowDxfId="117" dataCellStyle="40% - Accent4" totalsRowCellStyle="Total"/>
    <tableColumn id="4" xr3:uid="{CD785AF7-E138-4A85-8189-5A0221F7AFB6}" name="Difference" totalsRowFunction="sum" dataDxfId="695" totalsRowDxfId="116" dataCellStyle="60% - Accent4" totalsRowCellStyle="Total">
      <calculatedColumnFormula>PersonalCare37[[#This Row],[Projected 
Cost]]-PersonalCare37[[#This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4A391AF-B346-40AB-814E-0ED87E865CCD}" name="Table1338" displayName="Table1338" ref="B3:C9" totalsRowShown="0" headerRowDxfId="694" dataDxfId="693" tableBorderDxfId="692" headerRowCellStyle="40% - Accent6" dataCellStyle="40% - Accent6">
  <autoFilter ref="B3:C9" xr:uid="{684E4A77-11D4-4D20-B209-12B12AB09032}"/>
  <tableColumns count="2">
    <tableColumn id="1" xr3:uid="{29F8E2FE-4390-47DB-AC40-1FB89059B176}" name="Projected Monthly Income" dataDxfId="691" dataCellStyle="40% - Accent6"/>
    <tableColumn id="2" xr3:uid="{40BB7125-7F24-4587-A9B4-F5F52D64FC67}" name="Amount" dataDxfId="690" dataCellStyle="40% - Accent6"/>
  </tableColumns>
  <tableStyleInfo name="TableStyleMedium7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0D2F2A8-BFD9-4747-96DF-D43E3B92E2E9}" name="Housing15" displayName="Housing15" ref="B20:E31" totalsRowCount="1" headerRowDxfId="689" dataDxfId="687" totalsRowDxfId="685" headerRowBorderDxfId="688" tableBorderDxfId="686" headerRowCellStyle="60% - Accent4" dataCellStyle="60% - Accent4" totalsRowCellStyle="Total">
  <tableColumns count="4">
    <tableColumn id="1" xr3:uid="{180349EC-9388-46EA-B89D-E9BD0A0821C6}" name="-" totalsRowLabel="Subtotal" dataDxfId="684" totalsRowDxfId="51" dataCellStyle="60% - Accent4" totalsRowCellStyle="Total"/>
    <tableColumn id="2" xr3:uid="{7DF716CC-318A-48D3-A2E8-6630CD4892FA}" name="Projected_x000a_Cost" totalsRowFunction="sum" dataDxfId="683" totalsRowDxfId="50" dataCellStyle="20% - Accent4" totalsRowCellStyle="Total"/>
    <tableColumn id="3" xr3:uid="{AAB17E60-16F4-4252-9D35-D7D0AEAFF051}" name="Actual _x000a_Cost" totalsRowFunction="sum" dataDxfId="682" totalsRowDxfId="49" dataCellStyle="40% - Accent4" totalsRowCellStyle="Total"/>
    <tableColumn id="4" xr3:uid="{1D86DBF1-1AF5-43C6-A29C-B27A56795B34}" name="Difference" totalsRowFunction="sum" dataDxfId="681" totalsRowDxfId="48" dataCellStyle="60% - Accent4" totalsRowCellStyle="Total">
      <calculatedColumnFormula>Housing15[[#This Row],[Projected
Cost]]-Housing15[[#This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19EEB9B-D2EB-4850-8A69-248A6B51B347}" name="Entertainment16" displayName="Entertainment16" ref="G20:J30" totalsRowCount="1" headerRowDxfId="680" dataDxfId="678" totalsRowDxfId="676" headerRowBorderDxfId="679" tableBorderDxfId="677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A592462A-B14B-4FCE-BF13-E923C5E52D89}" name="-" totalsRowLabel="Subtotal" dataDxfId="675" totalsRowDxfId="47" dataCellStyle="60% - Accent4" totalsRowCellStyle="Total"/>
    <tableColumn id="2" xr3:uid="{0DF2E81A-EE90-413F-918D-151AC86E3C32}" name="Projected _x000a_Cost" totalsRowFunction="sum" dataDxfId="674" totalsRowDxfId="46" dataCellStyle="20% - Accent4" totalsRowCellStyle="Total"/>
    <tableColumn id="3" xr3:uid="{33B4370E-B2A5-440D-B952-F7B11D907A4D}" name="Actual _x000a_Cost" totalsRowFunction="sum" dataDxfId="673" totalsRowDxfId="45" dataCellStyle="40% - Accent4" totalsRowCellStyle="Total"/>
    <tableColumn id="4" xr3:uid="{650D04EE-F575-41DC-95A8-5EE5AB604062}" name="Difference" totalsRowFunction="sum" dataDxfId="672" totalsRowDxfId="44" dataCellStyle="60% - Accent4" totalsRowCellStyle="Total">
      <calculatedColumnFormula>Entertainment16[[#This Row],[Projected 
Cost]]-Entertainment16[[#This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0B0F10F-80AE-4901-B302-E9E03B4C3B14}" name="Loans17" displayName="Loans17" ref="G34:J41" totalsRowCount="1" headerRowDxfId="671" dataDxfId="669" totalsRowDxfId="667" headerRowBorderDxfId="670" tableBorderDxfId="668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D53A8677-4A1F-4BC9-AD7A-9A3FA903A9DD}" name="-" totalsRowLabel="Subtotal" dataDxfId="666" totalsRowDxfId="43" dataCellStyle="60% - Accent4" totalsRowCellStyle="Total"/>
    <tableColumn id="2" xr3:uid="{9C874F9F-683B-4E0F-A7B7-1376E1B8C1CA}" name="Projected _x000a_Cost" totalsRowFunction="sum" dataDxfId="665" totalsRowDxfId="42" dataCellStyle="20% - Accent4" totalsRowCellStyle="Total"/>
    <tableColumn id="3" xr3:uid="{9E0D43FC-ACE4-4135-B334-0CB708ECF2B3}" name="Actual _x000a_Cost" totalsRowFunction="sum" dataDxfId="664" totalsRowDxfId="41" dataCellStyle="40% - Accent4" totalsRowCellStyle="Total"/>
    <tableColumn id="4" xr3:uid="{14D8E282-13AD-452F-AAE2-1F7310F1D200}" name="Difference" totalsRowFunction="sum" dataDxfId="663" totalsRowDxfId="40" dataCellStyle="60% - Accent4" totalsRowCellStyle="Total">
      <calculatedColumnFormula>Loans17[[#This Row],[Projected 
Cost]]-Loans17[[#This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3BFD18B-A86E-435F-8A3B-D6BE8741065B}" name="Transportation18" displayName="Transportation18" ref="B34:E42" totalsRowCount="1" headerRowDxfId="662" dataDxfId="660" totalsRowDxfId="658" headerRowBorderDxfId="661" tableBorderDxfId="659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6C9FE49D-27AF-4770-A58C-DC36C9CF787B}" name="-" totalsRowLabel="Subtotal" dataDxfId="657" totalsRowDxfId="55" dataCellStyle="60% - Accent4" totalsRowCellStyle="Total"/>
    <tableColumn id="2" xr3:uid="{3162F660-2678-410E-8DC9-8F25858B5A0A}" name="Projected _x000a_Cost" totalsRowFunction="sum" dataDxfId="656" totalsRowDxfId="54" dataCellStyle="20% - Accent4" totalsRowCellStyle="Total"/>
    <tableColumn id="3" xr3:uid="{072BCFCA-4FA3-48F9-BDA7-186A48252442}" name="Actual _x000a_Cost" totalsRowFunction="sum" dataDxfId="655" totalsRowDxfId="53" dataCellStyle="40% - Accent4" totalsRowCellStyle="Total"/>
    <tableColumn id="4" xr3:uid="{9F1C4AA5-2F7D-43A3-B165-E06AF135DE75}" name="Difference" totalsRowFunction="sum" dataDxfId="654" totalsRowDxfId="52" dataCellStyle="60% - Accent4" totalsRowCellStyle="Total">
      <calculatedColumnFormula>Transportation18[[#This Row],[Projected 
Cost]]-Transportation18[[#This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5378729-53AA-4591-A5FD-2C302E54C352}" name="Insurance19" displayName="Insurance19" ref="B45:E50" totalsRowCount="1" headerRowDxfId="653" dataDxfId="651" totalsRowDxfId="649" headerRowBorderDxfId="652" tableBorderDxfId="650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F4AE6C1D-2B58-4F4B-BD52-209113431228}" name="-" totalsRowLabel="Subtotal" dataDxfId="648" totalsRowDxfId="67" dataCellStyle="60% - Accent4" totalsRowCellStyle="Total"/>
    <tableColumn id="2" xr3:uid="{0B2148D2-1881-4B5F-BEB3-116C789D0CFF}" name="Projected _x000a_Cost" totalsRowFunction="sum" dataDxfId="647" totalsRowDxfId="66" dataCellStyle="20% - Accent4" totalsRowCellStyle="Total"/>
    <tableColumn id="3" xr3:uid="{7A3F31E6-CE52-44CC-AA93-1F76EAE295D8}" name="Actual _x000a_Cost" totalsRowFunction="sum" dataDxfId="646" totalsRowDxfId="65" dataCellStyle="40% - Accent4" totalsRowCellStyle="Total"/>
    <tableColumn id="4" xr3:uid="{4EDC62BE-B6B8-4CEF-A1B0-8D3C3A8FC7B8}" name="Difference" totalsRowFunction="sum" dataDxfId="645" totalsRowDxfId="64" dataCellStyle="60% - Accent4" totalsRowCellStyle="Total">
      <calculatedColumnFormula>Insurance19[[#This Row],[Projected 
Cost]]-Insurance19[[#This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2FD0A32-DC68-46DC-B709-10B5A3D9845B}" name="Savings20" displayName="Savings20" ref="G45:J49" totalsRowCount="1" headerRowDxfId="644" dataDxfId="642" totalsRowDxfId="641" headerRowBorderDxfId="643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461D3E42-4E5F-4C14-9FEF-D97C5E7BC5A3}" name="-" totalsRowLabel="Subtotal" dataDxfId="640" totalsRowDxfId="639" dataCellStyle="60% - Accent6" totalsRowCellStyle="Total"/>
    <tableColumn id="2" xr3:uid="{DEF44383-AE62-418B-B58E-8D81DC8E6CF3}" name="Projected _x000a_Cost" totalsRowFunction="sum" dataDxfId="638" totalsRowDxfId="637" dataCellStyle="20% - Accent6" totalsRowCellStyle="Total"/>
    <tableColumn id="3" xr3:uid="{4C76F1DB-0A64-4015-9B42-0C237CBBB29C}" name="Actual _x000a_Cost" totalsRowFunction="sum" dataDxfId="636" totalsRowDxfId="635" dataCellStyle="40% - Accent6" totalsRowCellStyle="Total"/>
    <tableColumn id="4" xr3:uid="{F8664037-183A-47C5-A6C9-8218B93A39D6}" name="Difference" totalsRowFunction="sum" dataDxfId="634" totalsRowDxfId="633" dataCellStyle="60% - Accent6" totalsRowCellStyle="Total">
      <calculatedColumnFormula>Savings20[[#This Row],[Projected 
Cost]]-Savings20[[#This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4C0799B-8470-4C0B-916F-88CBCE78D26A}" name="Food21" displayName="Food21" ref="B53:E57" totalsRowCount="1" headerRowDxfId="632" dataDxfId="630" totalsRowDxfId="628" headerRowBorderDxfId="631" tableBorderDxfId="629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D2A16EE9-B4E1-4CE1-9714-8F3FA1C09512}" name="-" totalsRowLabel="Subtotal" dataDxfId="627" totalsRowDxfId="71" dataCellStyle="60% - Accent4" totalsRowCellStyle="Total"/>
    <tableColumn id="2" xr3:uid="{3B9D3D92-3615-45D8-812B-372AFF0D51E2}" name="Projected _x000a_Cost" totalsRowFunction="sum" dataDxfId="626" totalsRowDxfId="70" dataCellStyle="20% - Accent4" totalsRowCellStyle="Total"/>
    <tableColumn id="3" xr3:uid="{862A0283-7131-4257-BF9B-A37ED0649461}" name="Actual _x000a_Cost" totalsRowFunction="sum" dataDxfId="625" totalsRowDxfId="69" dataCellStyle="40% - Accent4" totalsRowCellStyle="Total"/>
    <tableColumn id="4" xr3:uid="{BCAD77AD-ECA7-474C-9128-F578FDBF354C}" name="Difference" totalsRowFunction="sum" dataDxfId="624" totalsRowDxfId="68" dataCellStyle="60% - Accent4" totalsRowCellStyle="Total">
      <calculatedColumnFormula>Food21[[#This Row],[Projected 
Cost]]-Food21[[#This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5DE53FEB-533D-494D-8923-599EEBFCA70E}" name="Entertainment2840647688100112124136" displayName="Entertainment2840647688100112124136" ref="G20:J30" totalsRowCount="1" headerRowDxfId="1706" dataDxfId="1704" totalsRowDxfId="1702" headerRowBorderDxfId="1705" tableBorderDxfId="1703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F214BF7D-6E3A-4C13-A44A-6854FD526115}" name="-" totalsRowLabel="Subtotal" dataDxfId="1701" totalsRowDxfId="475" dataCellStyle="60% - Accent4" totalsRowCellStyle="Total"/>
    <tableColumn id="2" xr3:uid="{E1322126-E1F5-4958-BDEF-0A42C5F5C553}" name="Projected _x000a_Cost" totalsRowFunction="sum" dataDxfId="1700" totalsRowDxfId="474" dataCellStyle="20% - Accent4" totalsRowCellStyle="Total"/>
    <tableColumn id="3" xr3:uid="{D0892752-AD8C-4CDD-AAF1-2DAD0B6E0B8D}" name="Actual _x000a_Cost" totalsRowFunction="sum" dataDxfId="1699" totalsRowDxfId="473" dataCellStyle="40% - Accent4" totalsRowCellStyle="Total"/>
    <tableColumn id="4" xr3:uid="{B117E938-F3B0-4CF9-A53A-F1DEF6BBC40F}" name="Difference" totalsRowFunction="sum" dataDxfId="1698" totalsRowDxfId="472" dataCellStyle="60% - Accent4" totalsRowCellStyle="Total">
      <calculatedColumnFormula>Entertainment2840647688100112124136[[#This Row],[Projected 
Cost]]-Entertainment2840647688100112124136[[#This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5CBDEB-8992-43E3-B10A-E6027FB439DD}" name="Gifts22" displayName="Gifts22" ref="G53:J57" totalsRowCount="1" headerRowDxfId="623" dataDxfId="621" totalsRowDxfId="620" headerRowBorderDxfId="622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5B3FBAF2-1B79-4108-8ABF-D19562AF38F3}" name="-" totalsRowLabel="Subtotal" dataDxfId="619" totalsRowDxfId="59" dataCellStyle="60% - Accent4" totalsRowCellStyle="Total"/>
    <tableColumn id="2" xr3:uid="{9FBD1E1F-82D1-4002-A7B3-2C338C8A436D}" name="Projected _x000a_Cost" totalsRowFunction="sum" dataDxfId="618" totalsRowDxfId="58" dataCellStyle="20% - Accent4" totalsRowCellStyle="Total"/>
    <tableColumn id="3" xr3:uid="{D95D17FE-3EAD-42E8-84DE-755B05C36369}" name="Actual _x000a_Cost" totalsRowFunction="sum" dataDxfId="617" totalsRowDxfId="57" dataCellStyle="40% - Accent4" totalsRowCellStyle="Total"/>
    <tableColumn id="4" xr3:uid="{2275DE9F-0AC2-429F-A666-BA504E2F3BA0}" name="Difference" totalsRowFunction="sum" dataDxfId="616" totalsRowDxfId="56" dataCellStyle="60% - Accent4" totalsRowCellStyle="Total">
      <calculatedColumnFormula>Gifts22[[#This Row],[Projected 
Cost]]-Gifts22[[#This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AD604E6-A899-435E-B63B-6443DCA801AA}" name="Pets23" displayName="Pets23" ref="B60:E66" totalsRowCount="1" headerRowDxfId="615" dataDxfId="613" totalsRowDxfId="612" headerRowBorderDxfId="614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BB112E32-7C21-409D-A4E4-F874FDD21E3D}" name="-" totalsRowLabel="Subtotal" dataDxfId="611" totalsRowDxfId="75" dataCellStyle="60% - Accent4" totalsRowCellStyle="Total"/>
    <tableColumn id="2" xr3:uid="{A98B86B8-C802-4862-AEB9-E011D8100510}" name="Projected _x000a_Cost" totalsRowFunction="sum" dataDxfId="610" totalsRowDxfId="74" dataCellStyle="20% - Accent4" totalsRowCellStyle="Total"/>
    <tableColumn id="3" xr3:uid="{F3A05BE9-E014-4372-9A6B-C4623B344C57}" name="Actual _x000a_Cost" totalsRowFunction="sum" dataDxfId="609" totalsRowDxfId="73" dataCellStyle="40% - Accent4" totalsRowCellStyle="Total"/>
    <tableColumn id="4" xr3:uid="{5E60018A-8236-4505-8A13-F1B2B40771DD}" name="Difference" totalsRowFunction="sum" dataDxfId="608" totalsRowDxfId="72" dataCellStyle="60% - Accent4" totalsRowCellStyle="Total">
      <calculatedColumnFormula>Pets23[[#This Row],[Projected 
Cost]]-Pets23[[#This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F21E27-3491-47A8-A540-8FA63E8E82FE}" name="Legal24" displayName="Legal24" ref="G60:J65" totalsRowCount="1" headerRowDxfId="607" dataDxfId="605" totalsRowDxfId="604" headerRowBorderDxfId="606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FD6128D5-66D5-4FAE-95CC-6CF6A556A37A}" name="-" totalsRowLabel="Subtotal" dataDxfId="603" totalsRowDxfId="63" dataCellStyle="60% - Accent4" totalsRowCellStyle="Total"/>
    <tableColumn id="2" xr3:uid="{44A46EA8-FBE8-4672-97CE-E1AA9C6DD805}" name="Projected _x000a_Cost" totalsRowFunction="sum" dataDxfId="602" totalsRowDxfId="62" dataCellStyle="20% - Accent4" totalsRowCellStyle="Total"/>
    <tableColumn id="3" xr3:uid="{BEA934FA-7085-4418-9DE4-F0B7695D65C2}" name="Actual _x000a_Cost" totalsRowFunction="sum" dataDxfId="601" totalsRowDxfId="61" dataCellStyle="40% - Accent4" totalsRowCellStyle="Total"/>
    <tableColumn id="4" xr3:uid="{93D043C7-9DAB-4846-971B-B0B94B52161C}" name="Difference" totalsRowFunction="sum" dataDxfId="600" totalsRowDxfId="60" dataCellStyle="60% - Accent4" totalsRowCellStyle="Total">
      <calculatedColumnFormula>Legal24[[#This Row],[Projected 
Cost]]-Legal24[[#This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8674B1E-E5E6-4182-8268-C3FDD297A7D9}" name="PersonalCare25" displayName="PersonalCare25" ref="B69:E77" totalsRowCount="1" headerRowDxfId="599" dataDxfId="597" totalsRowDxfId="596" headerRowBorderDxfId="598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BD0F570D-CC2E-4328-B000-E7BEF1CE3967}" name="-" totalsRowLabel="Subtotal" dataDxfId="595" totalsRowDxfId="79" dataCellStyle="60% - Accent4" totalsRowCellStyle="Total"/>
    <tableColumn id="2" xr3:uid="{6AC91112-1EAA-4146-9B2E-1EB2C7C0AF85}" name="Projected _x000a_Cost" totalsRowFunction="sum" dataDxfId="594" totalsRowDxfId="78" dataCellStyle="20% - Accent4" totalsRowCellStyle="Total"/>
    <tableColumn id="3" xr3:uid="{9A4B77B5-B3EC-4C74-8ABF-1562387C1206}" name="Actual _x000a_Cost" totalsRowFunction="sum" dataDxfId="593" totalsRowDxfId="77" dataCellStyle="40% - Accent4" totalsRowCellStyle="Total"/>
    <tableColumn id="4" xr3:uid="{81FE72B5-7FEE-42AB-A76A-3DFA1E4834E0}" name="Difference" totalsRowFunction="sum" dataDxfId="592" totalsRowDxfId="76" dataCellStyle="60% - Accent4" totalsRowCellStyle="Total">
      <calculatedColumnFormula>PersonalCare25[[#This Row],[Projected 
Cost]]-PersonalCare25[[#This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CD08883-9829-4BE2-A2D7-A83C1B13B0CE}" name="Table1326" displayName="Table1326" ref="B3:C9" totalsRowShown="0" headerRowDxfId="591" dataDxfId="590" tableBorderDxfId="589" headerRowCellStyle="40% - Accent6" dataCellStyle="40% - Accent6">
  <autoFilter ref="B3:C9" xr:uid="{684E4A77-11D4-4D20-B209-12B12AB09032}"/>
  <tableColumns count="2">
    <tableColumn id="1" xr3:uid="{45547A39-B1F8-4042-BBBB-805EC219F45D}" name="Projected Monthly Income" dataDxfId="588" dataCellStyle="40% - Accent6"/>
    <tableColumn id="2" xr3:uid="{33A08A5F-EC77-4F55-B686-F72850A033FA}" name="Amount" dataDxfId="587" dataCellStyle="40% - Accent6"/>
  </tableColumns>
  <tableStyleInfo name="TableStyleMedium7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20:E31" totalsRowCount="1" headerRowDxfId="586" dataDxfId="584" totalsRowDxfId="582" headerRowBorderDxfId="585" tableBorderDxfId="583" headerRowCellStyle="60% - Accent4" dataCellStyle="60% - Accent4" totalsRowCellStyle="Total">
  <tableColumns count="4">
    <tableColumn id="1" xr3:uid="{00000000-0010-0000-0000-000001000000}" name="-" totalsRowLabel="Subtotal" dataDxfId="581" totalsRowDxfId="39" dataCellStyle="60% - Accent4" totalsRowCellStyle="Total"/>
    <tableColumn id="2" xr3:uid="{00000000-0010-0000-0000-000002000000}" name="Projected_x000a_Cost" totalsRowFunction="sum" dataDxfId="580" totalsRowDxfId="38" dataCellStyle="20% - Accent4" totalsRowCellStyle="Total"/>
    <tableColumn id="3" xr3:uid="{00000000-0010-0000-0000-000003000000}" name="Actual _x000a_Cost" totalsRowFunction="sum" dataDxfId="579" totalsRowDxfId="37" dataCellStyle="40% - Accent4" totalsRowCellStyle="Total"/>
    <tableColumn id="4" xr3:uid="{00000000-0010-0000-0000-000004000000}" name="Difference" totalsRowFunction="sum" dataDxfId="578" totalsRowDxfId="36" dataCellStyle="60% - Accent4" totalsRowCellStyle="Total">
      <calculatedColumnFormula>Housing[[#This Row],[Projected
Cost]]-Housing[[#This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20:J30" totalsRowCount="1" headerRowDxfId="577" dataDxfId="575" totalsRowDxfId="573" headerRowBorderDxfId="576" tableBorderDxfId="574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-" totalsRowLabel="Subtotal" dataDxfId="572" totalsRowDxfId="35" dataCellStyle="60% - Accent4" totalsRowCellStyle="Total"/>
    <tableColumn id="2" xr3:uid="{00000000-0010-0000-0100-000002000000}" name="Projected _x000a_Cost" totalsRowFunction="sum" dataDxfId="571" totalsRowDxfId="34" dataCellStyle="20% - Accent4" totalsRowCellStyle="Total"/>
    <tableColumn id="3" xr3:uid="{00000000-0010-0000-0100-000003000000}" name="Actual _x000a_Cost" totalsRowFunction="sum" dataDxfId="570" totalsRowDxfId="33" dataCellStyle="40% - Accent4" totalsRowCellStyle="Total"/>
    <tableColumn id="4" xr3:uid="{00000000-0010-0000-0100-000004000000}" name="Difference" totalsRowFunction="sum" dataDxfId="569" totalsRowDxfId="32" dataCellStyle="60% - Accent4" totalsRowCellStyle="Total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34:J41" totalsRowCount="1" headerRowDxfId="568" dataDxfId="566" totalsRowDxfId="564" headerRowBorderDxfId="567" tableBorderDxfId="565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-" totalsRowLabel="Subtotal" dataDxfId="563" totalsRowDxfId="27" dataCellStyle="60% - Accent4" totalsRowCellStyle="Total"/>
    <tableColumn id="2" xr3:uid="{00000000-0010-0000-0200-000002000000}" name="Projected _x000a_Cost" totalsRowFunction="sum" dataDxfId="562" totalsRowDxfId="26" dataCellStyle="20% - Accent4" totalsRowCellStyle="Total"/>
    <tableColumn id="3" xr3:uid="{00000000-0010-0000-0200-000003000000}" name="Actual _x000a_Cost" totalsRowFunction="sum" dataDxfId="561" totalsRowDxfId="25" dataCellStyle="40% - Accent4" totalsRowCellStyle="Total"/>
    <tableColumn id="4" xr3:uid="{00000000-0010-0000-0200-000004000000}" name="Difference" totalsRowFunction="sum" dataDxfId="560" totalsRowDxfId="24" dataCellStyle="60% - Accent4" totalsRowCellStyle="Total">
      <calculatedColumnFormula>Loans[[#This Row],[Projected 
Cost]]-Loans[[#This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34:E42" totalsRowCount="1" headerRowDxfId="559" dataDxfId="557" totalsRowDxfId="555" headerRowBorderDxfId="558" tableBorderDxfId="556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-" totalsRowLabel="Subtotal" dataDxfId="554" totalsRowDxfId="31" dataCellStyle="60% - Accent4" totalsRowCellStyle="Total"/>
    <tableColumn id="2" xr3:uid="{00000000-0010-0000-0300-000002000000}" name="Projected _x000a_Cost" totalsRowFunction="sum" dataDxfId="553" totalsRowDxfId="30" dataCellStyle="20% - Accent4" totalsRowCellStyle="Total"/>
    <tableColumn id="3" xr3:uid="{00000000-0010-0000-0300-000003000000}" name="Actual _x000a_Cost" totalsRowFunction="sum" dataDxfId="552" totalsRowDxfId="29" dataCellStyle="40% - Accent4" totalsRowCellStyle="Total"/>
    <tableColumn id="4" xr3:uid="{00000000-0010-0000-0300-000004000000}" name="Difference" totalsRowFunction="sum" dataDxfId="551" totalsRowDxfId="28" dataCellStyle="60% - Accent4" totalsRowCellStyle="Total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5:E50" totalsRowCount="1" headerRowDxfId="550" dataDxfId="548" totalsRowDxfId="546" headerRowBorderDxfId="549" tableBorderDxfId="547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-" totalsRowLabel="Subtotal" dataDxfId="545" totalsRowDxfId="23" dataCellStyle="60% - Accent4" totalsRowCellStyle="Total"/>
    <tableColumn id="2" xr3:uid="{00000000-0010-0000-0400-000002000000}" name="Projected _x000a_Cost" totalsRowFunction="sum" dataDxfId="544" totalsRowDxfId="22" dataCellStyle="20% - Accent4" totalsRowCellStyle="Total"/>
    <tableColumn id="3" xr3:uid="{00000000-0010-0000-0400-000003000000}" name="Actual _x000a_Cost" totalsRowFunction="sum" dataDxfId="543" totalsRowDxfId="21" dataCellStyle="40% - Accent4" totalsRowCellStyle="Total"/>
    <tableColumn id="4" xr3:uid="{00000000-0010-0000-0400-000004000000}" name="Difference" totalsRowFunction="sum" dataDxfId="542" totalsRowDxfId="20" dataCellStyle="60% - Accent4" totalsRowCellStyle="Total">
      <calculatedColumnFormula>Insurance[[#This Row],[Projected 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6E55C82E-87F2-4057-AF6B-A03BAA0D213C}" name="Loans2941657789101113125137" displayName="Loans2941657789101113125137" ref="G34:J41" totalsRowCount="1" headerRowDxfId="1697" dataDxfId="1695" totalsRowDxfId="1693" headerRowBorderDxfId="1696" tableBorderDxfId="1694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D878789A-0CF3-49B4-8E3F-DA1BBADB7C09}" name="-" totalsRowLabel="Subtotal" dataDxfId="1692" totalsRowDxfId="467" dataCellStyle="60% - Accent4"/>
    <tableColumn id="2" xr3:uid="{B5048341-D8BC-440B-B66B-406B2D33D1A2}" name="Projected _x000a_Cost" totalsRowFunction="sum" dataDxfId="1691" totalsRowDxfId="466" dataCellStyle="20% - Accent4"/>
    <tableColumn id="3" xr3:uid="{76C78325-75D2-4535-85A1-629084C4C328}" name="Actual _x000a_Cost" totalsRowFunction="sum" dataDxfId="1690" totalsRowDxfId="465" dataCellStyle="40% - Accent4"/>
    <tableColumn id="4" xr3:uid="{C916B15F-E2C7-4E5E-98AB-2F7673B8C3FA}" name="Difference" totalsRowFunction="sum" dataDxfId="1689" totalsRowDxfId="464" dataCellStyle="60% - Accent4">
      <calculatedColumnFormula>Loans2941657789101113125137[[#This Row],[Projected 
Cost]]-Loans2941657789101113125137[[#This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5:J49" totalsRowCount="1" headerRowDxfId="541" dataDxfId="539" totalsRowDxfId="538" headerRowBorderDxfId="540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-" totalsRowLabel="Subtotal" dataDxfId="537" totalsRowDxfId="536" dataCellStyle="60% - Accent6" totalsRowCellStyle="Total"/>
    <tableColumn id="2" xr3:uid="{00000000-0010-0000-0600-000002000000}" name="Projected _x000a_Cost" totalsRowFunction="sum" dataDxfId="535" totalsRowDxfId="534" dataCellStyle="20% - Accent6" totalsRowCellStyle="Total"/>
    <tableColumn id="3" xr3:uid="{00000000-0010-0000-0600-000003000000}" name="Actual _x000a_Cost" totalsRowFunction="sum" dataDxfId="533" totalsRowDxfId="532" dataCellStyle="40% - Accent6" totalsRowCellStyle="Total"/>
    <tableColumn id="4" xr3:uid="{00000000-0010-0000-0600-000004000000}" name="Difference" totalsRowFunction="sum" dataDxfId="531" totalsRowDxfId="530" dataCellStyle="60% - Accent6" totalsRowCellStyle="Total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53:E57" totalsRowCount="1" headerRowDxfId="529" dataDxfId="527" totalsRowDxfId="525" headerRowBorderDxfId="528" tableBorderDxfId="526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-" totalsRowLabel="Subtotal" dataDxfId="524" totalsRowDxfId="19" dataCellStyle="60% - Accent4" totalsRowCellStyle="Total"/>
    <tableColumn id="2" xr3:uid="{00000000-0010-0000-0700-000002000000}" name="Projected _x000a_Cost" totalsRowFunction="sum" dataDxfId="523" totalsRowDxfId="18" dataCellStyle="20% - Accent4" totalsRowCellStyle="Total"/>
    <tableColumn id="3" xr3:uid="{00000000-0010-0000-0700-000003000000}" name="Actual _x000a_Cost" totalsRowFunction="sum" dataDxfId="522" totalsRowDxfId="17" dataCellStyle="40% - Accent4" totalsRowCellStyle="Total"/>
    <tableColumn id="4" xr3:uid="{00000000-0010-0000-0700-000004000000}" name="Difference" totalsRowFunction="sum" dataDxfId="521" totalsRowDxfId="16" dataCellStyle="60% - Accent4" totalsRowCellStyle="Total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3:J57" totalsRowCount="1" headerRowDxfId="520" dataDxfId="518" totalsRowDxfId="517" headerRowBorderDxfId="519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-" totalsRowLabel="Subtotal" dataDxfId="516" totalsRowDxfId="15" dataCellStyle="60% - Accent4" totalsRowCellStyle="Total"/>
    <tableColumn id="2" xr3:uid="{00000000-0010-0000-0800-000002000000}" name="Projected _x000a_Cost" totalsRowFunction="sum" dataDxfId="515" totalsRowDxfId="14" dataCellStyle="20% - Accent4" totalsRowCellStyle="Total"/>
    <tableColumn id="3" xr3:uid="{00000000-0010-0000-0800-000003000000}" name="Actual _x000a_Cost" totalsRowFunction="sum" dataDxfId="514" totalsRowDxfId="13" dataCellStyle="40% - Accent4" totalsRowCellStyle="Total"/>
    <tableColumn id="4" xr3:uid="{00000000-0010-0000-0800-000004000000}" name="Difference" totalsRowFunction="sum" dataDxfId="513" totalsRowDxfId="12" dataCellStyle="60% - Accent4" totalsRowCellStyle="Total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60:E66" totalsRowCount="1" headerRowDxfId="512" dataDxfId="510" totalsRowDxfId="509" headerRowBorderDxfId="511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-" totalsRowLabel="Subtotal" dataDxfId="508" totalsRowDxfId="11" dataCellStyle="60% - Accent4" totalsRowCellStyle="Total"/>
    <tableColumn id="2" xr3:uid="{00000000-0010-0000-0900-000002000000}" name="Projected _x000a_Cost" totalsRowFunction="sum" dataDxfId="507" totalsRowDxfId="10" dataCellStyle="20% - Accent4" totalsRowCellStyle="Total"/>
    <tableColumn id="3" xr3:uid="{00000000-0010-0000-0900-000003000000}" name="Actual _x000a_Cost" totalsRowFunction="sum" dataDxfId="506" totalsRowDxfId="9" dataCellStyle="40% - Accent4" totalsRowCellStyle="Total"/>
    <tableColumn id="4" xr3:uid="{00000000-0010-0000-0900-000004000000}" name="Difference" totalsRowFunction="sum" dataDxfId="505" totalsRowDxfId="8" dataCellStyle="60% - Accent4" totalsRowCellStyle="Total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0:J65" totalsRowCount="1" headerRowDxfId="504" dataDxfId="502" totalsRowDxfId="501" headerRowBorderDxfId="503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-" totalsRowLabel="Subtotal" dataDxfId="500" totalsRowDxfId="7" dataCellStyle="60% - Accent4" totalsRowCellStyle="Total"/>
    <tableColumn id="2" xr3:uid="{00000000-0010-0000-0A00-000002000000}" name="Projected _x000a_Cost" totalsRowFunction="sum" dataDxfId="499" totalsRowDxfId="6" dataCellStyle="20% - Accent4" totalsRowCellStyle="Total"/>
    <tableColumn id="3" xr3:uid="{00000000-0010-0000-0A00-000003000000}" name="Actual _x000a_Cost" totalsRowFunction="sum" dataDxfId="498" totalsRowDxfId="5" dataCellStyle="40% - Accent4" totalsRowCellStyle="Total"/>
    <tableColumn id="4" xr3:uid="{00000000-0010-0000-0A00-000004000000}" name="Difference" totalsRowFunction="sum" dataDxfId="497" totalsRowDxfId="4" dataCellStyle="60% - Accent4" totalsRowCellStyle="Total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9:E77" totalsRowCount="1" headerRowDxfId="496" dataDxfId="494" totalsRowDxfId="493" headerRowBorderDxfId="495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-" totalsRowLabel="Subtotal" dataDxfId="492" totalsRowDxfId="3" dataCellStyle="60% - Accent4" totalsRowCellStyle="Total"/>
    <tableColumn id="2" xr3:uid="{00000000-0010-0000-0B00-000002000000}" name="Projected _x000a_Cost" totalsRowFunction="sum" dataDxfId="491" totalsRowDxfId="2" dataCellStyle="20% - Accent4" totalsRowCellStyle="Total"/>
    <tableColumn id="3" xr3:uid="{00000000-0010-0000-0B00-000003000000}" name="Actual _x000a_Cost" totalsRowFunction="sum" dataDxfId="490" totalsRowDxfId="1" dataCellStyle="40% - Accent4" totalsRowCellStyle="Total"/>
    <tableColumn id="4" xr3:uid="{00000000-0010-0000-0B00-000004000000}" name="Difference" totalsRowFunction="sum" dataDxfId="489" totalsRowDxfId="0" dataCellStyle="60% - Accent4" totalsRowCellStyle="Total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84E4A77-11D4-4D20-B209-12B12AB09032}" name="Table13" displayName="Table13" ref="B3:C9" totalsRowShown="0" headerRowDxfId="488" dataDxfId="487" tableBorderDxfId="486" headerRowCellStyle="40% - Accent6" dataCellStyle="40% - Accent6">
  <autoFilter ref="B3:C9" xr:uid="{684E4A77-11D4-4D20-B209-12B12AB09032}"/>
  <tableColumns count="2">
    <tableColumn id="1" xr3:uid="{6C588359-9E73-4578-B0C7-7F197AA7F50D}" name="Projected Monthly Income" dataDxfId="485" dataCellStyle="40% - Accent6"/>
    <tableColumn id="2" xr3:uid="{1214AAE8-157D-4268-92CE-2304FA564111}" name="Amount" dataDxfId="484" dataCellStyle="40% - Accent6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8ACD5EB9-18E4-43D2-A2F1-3029B62365B7}" name="Transportation3042667890102114126138" displayName="Transportation3042667890102114126138" ref="B34:E42" totalsRowCount="1" headerRowDxfId="1688" dataDxfId="1686" totalsRowDxfId="1684" headerRowBorderDxfId="1687" tableBorderDxfId="1685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3586606-41BA-40A5-A624-03D05C595BD4}" name="-" totalsRowLabel="Subtotal" dataDxfId="1683" totalsRowDxfId="471" dataCellStyle="60% - Accent4" totalsRowCellStyle="Total"/>
    <tableColumn id="2" xr3:uid="{A800AD90-C455-4CE2-819D-C0CDB2A48B90}" name="Projected _x000a_Cost" totalsRowFunction="sum" dataDxfId="1682" totalsRowDxfId="470" dataCellStyle="20% - Accent4" totalsRowCellStyle="Total"/>
    <tableColumn id="3" xr3:uid="{B84EF7BE-7D87-4E25-BA8F-6CF0A7354D98}" name="Actual _x000a_Cost" totalsRowFunction="sum" dataDxfId="1681" totalsRowDxfId="469" dataCellStyle="40% - Accent4" totalsRowCellStyle="Total"/>
    <tableColumn id="4" xr3:uid="{78AF5283-6E77-4230-85AA-8F53B7351F01}" name="Difference" totalsRowFunction="sum" dataDxfId="1680" totalsRowDxfId="468" dataCellStyle="60% - Accent4" totalsRowCellStyle="Total">
      <calculatedColumnFormula>Transportation3042667890102114126138[[#This Row],[Projected 
Cost]]-Transportation3042667890102114126138[[#This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E3C3DCE8-80E0-4706-BC0F-319AC2F29F16}" name="Insurance3143677991103115127139" displayName="Insurance3143677991103115127139" ref="B45:E50" totalsRowCount="1" headerRowDxfId="1679" dataDxfId="1677" totalsRowDxfId="1675" headerRowBorderDxfId="1678" tableBorderDxfId="1676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56BA636-1343-427D-B42F-6E8F00D56755}" name="-" totalsRowLabel="Subtotal" dataDxfId="1674" totalsRowDxfId="463" dataCellStyle="60% - Accent4" totalsRowCellStyle="Total"/>
    <tableColumn id="2" xr3:uid="{03116821-4F74-49D2-9C92-184B044BD845}" name="Projected _x000a_Cost" totalsRowFunction="sum" dataDxfId="1673" totalsRowDxfId="462" dataCellStyle="20% - Accent4" totalsRowCellStyle="Total"/>
    <tableColumn id="3" xr3:uid="{E961A1D7-3E04-4FCE-9C66-DF07770B3E81}" name="Actual _x000a_Cost" totalsRowFunction="sum" dataDxfId="1672" totalsRowDxfId="461" dataCellStyle="40% - Accent4" totalsRowCellStyle="Total"/>
    <tableColumn id="4" xr3:uid="{475809E7-E36B-4434-9CA2-EF1F87E910E8}" name="Difference" totalsRowFunction="sum" dataDxfId="1671" totalsRowDxfId="460" dataCellStyle="60% - Accent4" totalsRowCellStyle="Total">
      <calculatedColumnFormula>Insurance3143677991103115127139[[#This Row],[Projected 
Cost]]-Insurance3143677991103115127139[[#This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5B242E11-E0DA-4706-8434-4F52567DE15D}" name="Savings3244688092104116128140" displayName="Savings3244688092104116128140" ref="G45:J50" totalsRowCount="1" headerRowDxfId="1670" dataDxfId="1668" totalsRowDxfId="1667" headerRowBorderDxfId="1669" headerRowCellStyle="60% - Accent6" dataCellStyle="60% - Accent6" totalsRowCellStyle="Total">
  <autoFilter ref="G45:J49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362B73C5-DADF-4B94-85FD-99B1A6FB3B1D}" name="-" totalsRowLabel="Subtotal" dataDxfId="1666" totalsRowDxfId="1665" dataCellStyle="60% - Accent6"/>
    <tableColumn id="2" xr3:uid="{7F52EF28-E8B9-4617-B0C2-EC21915325B9}" name="Projected _x000a_Cost" totalsRowFunction="sum" dataDxfId="1664" totalsRowDxfId="1663" dataCellStyle="20% - Accent6"/>
    <tableColumn id="3" xr3:uid="{3420524B-2DFE-4CA4-B831-1995FF9CF2BF}" name="Actual _x000a_Cost" totalsRowFunction="sum" dataDxfId="1662" totalsRowDxfId="1661" dataCellStyle="40% - Accent6"/>
    <tableColumn id="4" xr3:uid="{CE075EA2-672B-401C-8299-3AEF5CA66C6E}" name="Difference" totalsRowFunction="sum" dataDxfId="1660" totalsRowDxfId="1659" dataCellStyle="60% - Accent6">
      <calculatedColumnFormula>Savings3244688092104116128140[[#This Row],[Projected 
Cost]]-Savings3244688092104116128140[[#This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598F9659-F026-476B-A27B-F5AB42E2098F}" name="Food3345698193105117129141" displayName="Food3345698193105117129141" ref="B53:E57" totalsRowCount="1" headerRowDxfId="1658" dataDxfId="1656" totalsRowDxfId="1654" headerRowBorderDxfId="1657" tableBorderDxfId="1655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E383F63-FE74-479B-8DCD-7BF4D4EB5947}" name="-" totalsRowLabel="Subtotal" dataDxfId="1653" totalsRowDxfId="459" dataCellStyle="60% - Accent4" totalsRowCellStyle="Total"/>
    <tableColumn id="2" xr3:uid="{9FB1F0AC-42AC-47E2-8EC5-D1E7006A1CE0}" name="Projected _x000a_Cost" totalsRowFunction="sum" dataDxfId="1652" totalsRowDxfId="458" dataCellStyle="20% - Accent4" totalsRowCellStyle="Total"/>
    <tableColumn id="3" xr3:uid="{7F30A1F9-4180-4737-BFCE-5A1D48F913DB}" name="Actual _x000a_Cost" totalsRowFunction="sum" dataDxfId="1651" totalsRowDxfId="457" dataCellStyle="40% - Accent4" totalsRowCellStyle="Total"/>
    <tableColumn id="4" xr3:uid="{C1CAF61C-B8BB-478B-BD6E-DEE6785C18B0}" name="Difference" totalsRowFunction="sum" dataDxfId="1650" totalsRowDxfId="456" dataCellStyle="60% - Accent4" totalsRowCellStyle="Total">
      <calculatedColumnFormula>Food3345698193105117129141[[#This Row],[Projected 
Cost]]-Food3345698193105117129141[[#This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9E10C012-FC91-4B05-BAAB-8FE7A1692B91}" name="Entertainment2840647688100112124136148" displayName="Entertainment2840647688100112124136148" ref="G20:J30" totalsRowCount="1" headerRowDxfId="1845" dataDxfId="1843" totalsRowDxfId="1841" headerRowBorderDxfId="1844" tableBorderDxfId="1842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45B5DF98-B3BA-4316-B68E-43633E145122}" name="-" totalsRowLabel="Subtotal" dataDxfId="1840" totalsRowDxfId="1839" dataCellStyle="60% - Accent4"/>
    <tableColumn id="2" xr3:uid="{CFF87531-596E-4290-BB5B-A8F705B65947}" name="Projected _x000a_Cost" totalsRowFunction="sum" dataDxfId="1838" totalsRowDxfId="1837" dataCellStyle="20% - Accent4">
      <calculatedColumnFormula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calculatedColumnFormula>
    </tableColumn>
    <tableColumn id="3" xr3:uid="{6BAD268C-D1D1-4156-AE08-02C25DE00FFD}" name="Actual _x000a_Cost" totalsRowFunction="sum" dataDxfId="1836" totalsRowDxfId="1835" dataCellStyle="40% - Accent4">
      <calculatedColumnFormula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calculatedColumnFormula>
    </tableColumn>
    <tableColumn id="4" xr3:uid="{88FE9515-E29E-4DA7-A56E-4A58094FCCAE}" name="Difference" totalsRowFunction="sum" dataDxfId="1834" totalsRowDxfId="1833" dataCellStyle="60% - Accent4">
      <calculatedColumnFormula>Entertainment2840647688100112124136148[[#This Row],[Projected 
Cost]]-Entertainment2840647688100112124136148[[#This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7FD77335-C322-47C9-BA6C-407FD4AE2AE9}" name="Gifts3446708294106118130142" displayName="Gifts3446708294106118130142" ref="G53:J57" totalsRowCount="1" headerRowDxfId="1649" dataDxfId="1647" totalsRowDxfId="1646" headerRowBorderDxfId="1648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C1034025-F1F7-4E9B-8782-5EAA1A8FDB42}" name="-" totalsRowLabel="Subtotal" dataDxfId="1645" totalsRowDxfId="455" dataCellStyle="60% - Accent4" totalsRowCellStyle="Total"/>
    <tableColumn id="2" xr3:uid="{2C3CEDB7-3804-47FA-97BA-D081645BC6F0}" name="Projected _x000a_Cost" totalsRowFunction="sum" dataDxfId="1644" totalsRowDxfId="454" dataCellStyle="20% - Accent4" totalsRowCellStyle="Total"/>
    <tableColumn id="3" xr3:uid="{56B43B1C-E4C9-4572-B4F1-254FB87368F0}" name="Actual _x000a_Cost" totalsRowFunction="sum" dataDxfId="1643" totalsRowDxfId="453" dataCellStyle="40% - Accent4" totalsRowCellStyle="Total"/>
    <tableColumn id="4" xr3:uid="{4E5C1B21-6954-45B0-B162-6A0D4EF82CC6}" name="Difference" totalsRowFunction="sum" dataDxfId="1642" totalsRowDxfId="452" dataCellStyle="60% - Accent4" totalsRowCellStyle="Total">
      <calculatedColumnFormula>Gifts3446708294106118130142[[#This Row],[Projected 
Cost]]-Gifts3446708294106118130142[[#This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88289D09-9B15-46E0-B964-191553707886}" name="Pets3547718395107119131143" displayName="Pets3547718395107119131143" ref="B60:E66" totalsRowCount="1" headerRowDxfId="1641" dataDxfId="1639" totalsRowDxfId="1638" headerRowBorderDxfId="1640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94B7211-6DF2-43DB-93B0-EE9163E67D82}" name="-" totalsRowLabel="Subtotal" dataDxfId="1637" totalsRowDxfId="451" dataCellStyle="60% - Accent4" totalsRowCellStyle="Total"/>
    <tableColumn id="2" xr3:uid="{40C8CB9A-C749-4124-94D1-5A9552F9021C}" name="Projected _x000a_Cost" totalsRowFunction="sum" dataDxfId="1636" totalsRowDxfId="450" dataCellStyle="20% - Accent4" totalsRowCellStyle="Total"/>
    <tableColumn id="3" xr3:uid="{785D4B23-DFCF-44DD-BF25-6BE56388A93C}" name="Actual _x000a_Cost" totalsRowFunction="sum" dataDxfId="1635" totalsRowDxfId="449" dataCellStyle="40% - Accent4" totalsRowCellStyle="Total"/>
    <tableColumn id="4" xr3:uid="{9F84CB5E-3E1C-4CB7-A0E3-105A9481E93D}" name="Difference" totalsRowFunction="sum" dataDxfId="1634" totalsRowDxfId="448" dataCellStyle="60% - Accent4" totalsRowCellStyle="Total">
      <calculatedColumnFormula>Pets3547718395107119131143[[#This Row],[Projected 
Cost]]-Pets3547718395107119131143[[#This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19B9FA0E-48B7-4DD0-A282-A03E69C37EC4}" name="Legal3648728496108120132144" displayName="Legal3648728496108120132144" ref="G60:J65" totalsRowCount="1" headerRowDxfId="1633" dataDxfId="1631" totalsRowDxfId="1630" headerRowBorderDxfId="1632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6A6E871D-26F3-4200-AE56-D900AC096DCF}" name="-" totalsRowLabel="Subtotal" dataDxfId="1629" totalsRowDxfId="447" dataCellStyle="60% - Accent4" totalsRowCellStyle="Total"/>
    <tableColumn id="2" xr3:uid="{CE2E5EB7-500A-46A0-93A9-93CF5F3DA339}" name="Projected _x000a_Cost" totalsRowFunction="sum" dataDxfId="1628" totalsRowDxfId="446" dataCellStyle="20% - Accent4" totalsRowCellStyle="Total"/>
    <tableColumn id="3" xr3:uid="{9D530DE0-9B1D-4321-B8CB-33F1B82E9104}" name="Actual _x000a_Cost" totalsRowFunction="sum" dataDxfId="1627" totalsRowDxfId="445" dataCellStyle="40% - Accent4" totalsRowCellStyle="Total"/>
    <tableColumn id="4" xr3:uid="{5B6446D0-9DCE-49AD-A1E3-0A1FEDF803EA}" name="Difference" totalsRowFunction="sum" dataDxfId="1626" totalsRowDxfId="444" dataCellStyle="60% - Accent4" totalsRowCellStyle="Total">
      <calculatedColumnFormula>Legal3648728496108120132144[[#This Row],[Projected 
Cost]]-Legal3648728496108120132144[[#This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69FD02C5-4D5D-4855-A8EB-8056A010A88A}" name="PersonalCare3749738597109121133145" displayName="PersonalCare3749738597109121133145" ref="B69:E77" totalsRowCount="1" headerRowDxfId="1625" dataDxfId="1623" totalsRowDxfId="1622" headerRowBorderDxfId="1624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4C61A6E6-6552-4415-9C83-CE7F282D580F}" name="-" totalsRowLabel="Subtotal" dataDxfId="1621" totalsRowDxfId="443" dataCellStyle="60% - Accent4" totalsRowCellStyle="Total"/>
    <tableColumn id="2" xr3:uid="{FB6ABC25-9933-4E83-BDC3-7F2D9A67A8D0}" name="Projected _x000a_Cost" totalsRowFunction="sum" dataDxfId="1620" totalsRowDxfId="442" dataCellStyle="20% - Accent4" totalsRowCellStyle="Total"/>
    <tableColumn id="3" xr3:uid="{EE3B2175-4044-42A5-AAE5-697184C9B48F}" name="Actual _x000a_Cost" totalsRowFunction="sum" dataDxfId="1619" totalsRowDxfId="441" dataCellStyle="40% - Accent4" totalsRowCellStyle="Total"/>
    <tableColumn id="4" xr3:uid="{D6F6C6DC-4D32-462B-9FA5-65376CF7EEB6}" name="Difference" totalsRowFunction="sum" dataDxfId="1618" totalsRowDxfId="440" dataCellStyle="60% - Accent4" totalsRowCellStyle="Total">
      <calculatedColumnFormula>PersonalCare3749738597109121133145[[#This Row],[Projected 
Cost]]-PersonalCare3749738597109121133145[[#This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3D1D3555-D2D7-492C-B92D-6E0E9840BC64}" name="Table133850748698110122134146" displayName="Table133850748698110122134146" ref="B3:C9" totalsRowShown="0" headerRowDxfId="1617" dataDxfId="1616" tableBorderDxfId="1615" headerRowCellStyle="40% - Accent6" dataCellStyle="40% - Accent6">
  <autoFilter ref="B3:C9" xr:uid="{684E4A77-11D4-4D20-B209-12B12AB09032}"/>
  <tableColumns count="2">
    <tableColumn id="1" xr3:uid="{87D98A33-0212-4132-8B04-B8FFD962E26F}" name="Projected Monthly Income" dataDxfId="1614" dataCellStyle="40% - Accent6"/>
    <tableColumn id="2" xr3:uid="{1FED81FA-C518-4A5F-9B93-6DD08E08638F}" name="Amount" dataDxfId="1613" dataCellStyle="40% - Accent6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C94C1B96-326D-47F5-9047-85BB3DE3C09E}" name="Housing273963758799111123" displayName="Housing273963758799111123" ref="B20:E31" totalsRowCount="1" headerRowDxfId="1612" dataDxfId="1610" totalsRowDxfId="1608" headerRowBorderDxfId="1611" tableBorderDxfId="1609" headerRowCellStyle="60% - Accent4" dataCellStyle="60% - Accent4" totalsRowCellStyle="Total">
  <tableColumns count="4">
    <tableColumn id="1" xr3:uid="{B6626B0A-43DC-4067-B1F5-04826CD40F56}" name="-" totalsRowLabel="Subtotal" dataDxfId="1607" totalsRowDxfId="439" dataCellStyle="60% - Accent4" totalsRowCellStyle="Total"/>
    <tableColumn id="2" xr3:uid="{19870AF7-045C-446B-8F54-C58CB4A686BF}" name="Projected_x000a_Cost" totalsRowFunction="sum" dataDxfId="1606" totalsRowDxfId="438" dataCellStyle="20% - Accent4" totalsRowCellStyle="Total"/>
    <tableColumn id="3" xr3:uid="{162D81BF-5185-4726-9FDD-6290B6F79EB8}" name="Actual _x000a_Cost" totalsRowFunction="sum" dataDxfId="1605" totalsRowDxfId="437" dataCellStyle="40% - Accent4" totalsRowCellStyle="Total"/>
    <tableColumn id="4" xr3:uid="{56C21344-0412-4F9A-B870-9C41237D75F2}" name="Difference" totalsRowFunction="sum" dataDxfId="1604" totalsRowDxfId="436" dataCellStyle="60% - Accent4" totalsRowCellStyle="Total">
      <calculatedColumnFormula>Housing273963758799111123[[#This Row],[Projected
Cost]]-Housing273963758799111123[[#This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D1DF4160-AD3B-43F1-931C-AA599B020DC8}" name="Entertainment2840647688100112124" displayName="Entertainment2840647688100112124" ref="G20:J30" totalsRowCount="1" headerRowDxfId="1603" dataDxfId="1601" totalsRowDxfId="1599" headerRowBorderDxfId="1602" tableBorderDxfId="1600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56E44404-FD78-40E7-9172-33D4B361E6FC}" name="-" totalsRowLabel="Subtotal" dataDxfId="1598" totalsRowDxfId="435" dataCellStyle="60% - Accent4" totalsRowCellStyle="Total"/>
    <tableColumn id="2" xr3:uid="{F5B6E282-40D4-4E2F-A65C-9E1484DEEE09}" name="Projected _x000a_Cost" totalsRowFunction="sum" dataDxfId="1597" totalsRowDxfId="434" dataCellStyle="20% - Accent4" totalsRowCellStyle="Total"/>
    <tableColumn id="3" xr3:uid="{8F35CD94-FB00-4C04-92F9-FD8764DC5D08}" name="Actual _x000a_Cost" totalsRowFunction="sum" dataDxfId="1596" totalsRowDxfId="433" dataCellStyle="40% - Accent4" totalsRowCellStyle="Total"/>
    <tableColumn id="4" xr3:uid="{E37212A6-7F9A-49F7-A43A-E3103D07020B}" name="Difference" totalsRowFunction="sum" dataDxfId="1595" totalsRowDxfId="432" dataCellStyle="60% - Accent4" totalsRowCellStyle="Total">
      <calculatedColumnFormula>Entertainment2840647688100112124[[#This Row],[Projected 
Cost]]-Entertainment2840647688100112124[[#This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63E3B695-86E1-4814-BE92-44313F710EBD}" name="Loans2941657789101113125" displayName="Loans2941657789101113125" ref="G34:J41" totalsRowCount="1" headerRowDxfId="1594" dataDxfId="1592" totalsRowDxfId="1590" headerRowBorderDxfId="1593" tableBorderDxfId="1591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3AED1E29-C759-4C9E-9CCA-DEF93B6D4DFC}" name="-" totalsRowLabel="Subtotal" dataDxfId="1589" totalsRowDxfId="427" dataCellStyle="60% - Accent4" totalsRowCellStyle="Total"/>
    <tableColumn id="2" xr3:uid="{E2791426-34F8-485E-BADF-0C96E2DBDF73}" name="Projected _x000a_Cost" totalsRowFunction="sum" dataDxfId="1588" totalsRowDxfId="426" dataCellStyle="20% - Accent4" totalsRowCellStyle="Total"/>
    <tableColumn id="3" xr3:uid="{7DB82F37-7EDB-495A-8740-B51E617F8908}" name="Actual _x000a_Cost" totalsRowFunction="sum" dataDxfId="1587" totalsRowDxfId="425" dataCellStyle="40% - Accent4" totalsRowCellStyle="Total"/>
    <tableColumn id="4" xr3:uid="{B0EB1F0E-7DE5-4771-ABE2-CD2F2670E0BF}" name="Difference" totalsRowFunction="sum" dataDxfId="1586" totalsRowDxfId="424" dataCellStyle="60% - Accent4" totalsRowCellStyle="Total">
      <calculatedColumnFormula>Loans2941657789101113125[[#This Row],[Projected 
Cost]]-Loans2941657789101113125[[#This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A25E0D93-AD7F-4BF7-82E8-1A5C520A2473}" name="Transportation3042667890102114126" displayName="Transportation3042667890102114126" ref="B34:E42" totalsRowCount="1" headerRowDxfId="1585" dataDxfId="1583" totalsRowDxfId="1581" headerRowBorderDxfId="1584" tableBorderDxfId="1582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D204E150-C826-494C-A673-D6E21C22030A}" name="-" totalsRowLabel="Subtotal" dataDxfId="1580" totalsRowDxfId="431" dataCellStyle="60% - Accent4" totalsRowCellStyle="Total"/>
    <tableColumn id="2" xr3:uid="{D00DB183-911E-4772-BB8C-A23BF604DEBE}" name="Projected _x000a_Cost" totalsRowFunction="sum" dataDxfId="1579" totalsRowDxfId="430" dataCellStyle="20% - Accent4" totalsRowCellStyle="Total"/>
    <tableColumn id="3" xr3:uid="{4E65F1DA-5A2D-4D06-97DB-7E3D84680C54}" name="Actual _x000a_Cost" totalsRowFunction="sum" dataDxfId="1578" totalsRowDxfId="429" dataCellStyle="40% - Accent4" totalsRowCellStyle="Total"/>
    <tableColumn id="4" xr3:uid="{07692A36-67EF-4BB5-8014-D2086A4D639F}" name="Difference" totalsRowFunction="sum" dataDxfId="1577" totalsRowDxfId="428" dataCellStyle="60% - Accent4" totalsRowCellStyle="Total">
      <calculatedColumnFormula>Transportation3042667890102114126[[#This Row],[Projected 
Cost]]-Transportation3042667890102114126[[#This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DC30BD0-D7A6-434F-A676-6147916CAB32}" name="Insurance3143677991103115127" displayName="Insurance3143677991103115127" ref="B45:E50" totalsRowCount="1" headerRowDxfId="1576" dataDxfId="1574" totalsRowDxfId="1572" headerRowBorderDxfId="1575" tableBorderDxfId="1573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CB5E8277-CE5B-4611-8294-46820E57A325}" name="-" totalsRowLabel="Subtotal" dataDxfId="1571" totalsRowDxfId="423" dataCellStyle="60% - Accent4" totalsRowCellStyle="Total"/>
    <tableColumn id="2" xr3:uid="{0157DB34-3E64-408F-B435-DAA504534DDC}" name="Projected _x000a_Cost" totalsRowFunction="sum" dataDxfId="1570" totalsRowDxfId="422" dataCellStyle="20% - Accent4" totalsRowCellStyle="Total"/>
    <tableColumn id="3" xr3:uid="{35E057C5-A6BD-4DCD-AF90-4D098E29D433}" name="Actual _x000a_Cost" totalsRowFunction="sum" dataDxfId="1569" totalsRowDxfId="421" dataCellStyle="40% - Accent4" totalsRowCellStyle="Total"/>
    <tableColumn id="4" xr3:uid="{25FE7AFF-E605-45F2-AC7B-898CD5D22319}" name="Difference" totalsRowFunction="sum" dataDxfId="1568" totalsRowDxfId="420" dataCellStyle="60% - Accent4" totalsRowCellStyle="Total">
      <calculatedColumnFormula>Insurance3143677991103115127[[#This Row],[Projected 
Cost]]-Insurance3143677991103115127[[#This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84BE2BBD-548D-4713-865E-D93B3577B750}" name="Loans2941657789101113125137149" displayName="Loans2941657789101113125137149" ref="G34:J41" totalsRowCount="1" headerRowDxfId="1832" dataDxfId="1830" totalsRowDxfId="1828" headerRowBorderDxfId="1831" tableBorderDxfId="1829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DEB06EB9-934D-4066-8E52-305DEBF0E6F4}" name="-" totalsRowLabel="Subtotal" dataDxfId="1827" totalsRowDxfId="1826" dataCellStyle="60% - Accent4"/>
    <tableColumn id="2" xr3:uid="{3C7D03DF-4545-494C-8CEC-2D1170401DBA}" name="Projected _x000a_Cost" totalsRowFunction="sum" dataDxfId="1825" totalsRowDxfId="1824" dataCellStyle="20% - Accent4">
      <calculatedColumnFormula>Loans2941657789101113125137[[#This Row],[Projected 
Cost]]+Loans2941657789101113125[[#This Row],[Projected 
Cost]]+Loans2941657789101113[[#This Row],[Projected 
Cost]]+Loans2941657789101[[#This Row],[Projected 
Cost]]+Loans2941657789[[#This Row],[Projected 
Cost]]+Loans29416577[[#This Row],[Projected 
Cost]]+Loans294165[[#This Row],[Projected 
Cost]]+Loans294153[[#This Row],[Projected 
Cost]]+Loans2941[[#This Row],[Projected 
Cost]]+Loans29[[#This Row],[Projected 
Cost]]+Loans17[[#This Row],[Projected 
Cost]]+Loans[[#This Row],[Projected 
Cost]]</calculatedColumnFormula>
    </tableColumn>
    <tableColumn id="3" xr3:uid="{007610B5-EE8C-467F-BC9C-B5A749D754B4}" name="Actual _x000a_Cost" totalsRowFunction="sum" dataDxfId="1823" totalsRowDxfId="1822" dataCellStyle="40% - Accent4">
      <calculatedColumnFormula>Loans2941657789101113125137[[#This Row],[Actual 
Cost]]+Loans2941657789101113125[[#This Row],[Actual 
Cost]]+Loans2941657789101113[[#This Row],[Actual 
Cost]]+Loans2941657789101[[#This Row],[Actual 
Cost]]+Loans2941657789[[#This Row],[Actual 
Cost]]+Loans29416577[[#This Row],[Actual 
Cost]]+Loans294165[[#This Row],[Actual 
Cost]]+Loans294153[[#This Row],[Actual 
Cost]]+Loans2941[[#This Row],[Actual 
Cost]]+Loans29[[#This Row],[Actual 
Cost]]+Loans17[[#This Row],[Actual 
Cost]]+Loans[[#This Row],[Actual 
Cost]]</calculatedColumnFormula>
    </tableColumn>
    <tableColumn id="4" xr3:uid="{920450BC-B70B-4670-BF01-2B87A097A443}" name="Difference" totalsRowFunction="sum" dataDxfId="1821" totalsRowDxfId="1820" dataCellStyle="60% - Accent4">
      <calculatedColumnFormula>Loans2941657789101113125137149[[#This Row],[Projected 
Cost]]-Loans2941657789101113125137149[[#This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E582100B-A08A-4045-B06E-DC0E303F9B0E}" name="Savings3244688092104116128" displayName="Savings3244688092104116128" ref="G45:J50" totalsRowCount="1" headerRowDxfId="1567" dataDxfId="1565" totalsRowDxfId="1564" headerRowBorderDxfId="1566" headerRowCellStyle="60% - Accent6" dataCellStyle="60% - Accent6" totalsRowCellStyle="Total">
  <autoFilter ref="G45:J49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15DD5C9F-014A-405F-988D-B6921B15FF54}" name="-" totalsRowLabel="Subtotal" dataDxfId="1563" totalsRowDxfId="1562" dataCellStyle="60% - Accent6"/>
    <tableColumn id="2" xr3:uid="{26B18CF5-32AF-4DB6-AFD0-657241EEE89D}" name="Projected _x000a_Cost" totalsRowFunction="sum" dataDxfId="1561" totalsRowDxfId="1560" dataCellStyle="20% - Accent6"/>
    <tableColumn id="3" xr3:uid="{475C76AA-5B4D-4F90-A3BC-BE534B08B98A}" name="Actual _x000a_Cost" totalsRowFunction="sum" dataDxfId="1559" totalsRowDxfId="1558" dataCellStyle="40% - Accent6"/>
    <tableColumn id="4" xr3:uid="{A296C96C-647E-4D63-9B24-1C3F23E97F0E}" name="Difference" totalsRowFunction="sum" dataDxfId="1557" totalsRowDxfId="1556" dataCellStyle="60% - Accent6">
      <calculatedColumnFormula>Savings3244688092104116128[[#This Row],[Projected 
Cost]]-Savings3244688092104116128[[#This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FD9985E3-0611-4DC8-B94C-351A4EADF407}" name="Food3345698193105117129" displayName="Food3345698193105117129" ref="B53:E57" totalsRowCount="1" headerRowDxfId="1555" dataDxfId="1553" totalsRowDxfId="1551" headerRowBorderDxfId="1554" tableBorderDxfId="1552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E584C5BA-1FCC-4E99-8894-5E150B087E6A}" name="-" totalsRowLabel="Subtotal" dataDxfId="1550" totalsRowDxfId="419" dataCellStyle="60% - Accent4" totalsRowCellStyle="Total"/>
    <tableColumn id="2" xr3:uid="{F9E44F56-A49B-486A-AFF9-F0F765BC699A}" name="Projected _x000a_Cost" totalsRowFunction="sum" dataDxfId="1549" totalsRowDxfId="418" dataCellStyle="20% - Accent4" totalsRowCellStyle="Total"/>
    <tableColumn id="3" xr3:uid="{45E5EF45-B79E-4AD7-8EBC-A975CF9CB92A}" name="Actual _x000a_Cost" totalsRowFunction="sum" dataDxfId="1548" totalsRowDxfId="417" dataCellStyle="40% - Accent4" totalsRowCellStyle="Total"/>
    <tableColumn id="4" xr3:uid="{AB080B88-FF1F-4E1E-A24F-4B89A191A032}" name="Difference" totalsRowFunction="sum" dataDxfId="1547" totalsRowDxfId="416" dataCellStyle="60% - Accent4" totalsRowCellStyle="Total">
      <calculatedColumnFormula>Food3345698193105117129[[#This Row],[Projected 
Cost]]-Food3345698193105117129[[#This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566D23A4-E358-444B-93C0-753F28035785}" name="Gifts3446708294106118130" displayName="Gifts3446708294106118130" ref="G53:J57" totalsRowCount="1" headerRowDxfId="1546" dataDxfId="1544" totalsRowDxfId="1543" headerRowBorderDxfId="1545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ED7E43F4-047B-449D-980A-03DDF9531B6B}" name="-" totalsRowLabel="Subtotal" dataDxfId="1542" totalsRowDxfId="415" dataCellStyle="60% - Accent4" totalsRowCellStyle="Total"/>
    <tableColumn id="2" xr3:uid="{A8B43DCE-6B23-4955-B15A-1C5A4E143B12}" name="Projected _x000a_Cost" totalsRowFunction="sum" dataDxfId="1541" totalsRowDxfId="414" dataCellStyle="20% - Accent4" totalsRowCellStyle="Total"/>
    <tableColumn id="3" xr3:uid="{7D19D5F4-79C9-47E0-AEB2-007A296CB745}" name="Actual _x000a_Cost" totalsRowFunction="sum" dataDxfId="1540" totalsRowDxfId="413" dataCellStyle="40% - Accent4" totalsRowCellStyle="Total"/>
    <tableColumn id="4" xr3:uid="{AE219187-0BF8-4726-A802-05AE6AF6D2BB}" name="Difference" totalsRowFunction="sum" dataDxfId="1539" totalsRowDxfId="412" dataCellStyle="60% - Accent4" totalsRowCellStyle="Total">
      <calculatedColumnFormula>Gifts3446708294106118130[[#This Row],[Projected 
Cost]]-Gifts3446708294106118130[[#This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A7FFF6B7-6DBC-4BE8-B5F3-490DC52AD97C}" name="Pets3547718395107119131" displayName="Pets3547718395107119131" ref="B60:E66" totalsRowCount="1" headerRowDxfId="1538" dataDxfId="1536" totalsRowDxfId="1535" headerRowBorderDxfId="1537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17491C2B-33FF-48F2-B9E5-BF89F1A9B2CC}" name="-" totalsRowLabel="Subtotal" dataDxfId="1534" totalsRowDxfId="411" dataCellStyle="60% - Accent4" totalsRowCellStyle="Total"/>
    <tableColumn id="2" xr3:uid="{7EA4E12D-5B06-47F3-826C-F1C73D6CA0BA}" name="Projected _x000a_Cost" totalsRowFunction="sum" dataDxfId="1533" totalsRowDxfId="410" dataCellStyle="20% - Accent4" totalsRowCellStyle="Total"/>
    <tableColumn id="3" xr3:uid="{4F460C84-BB5A-4BFF-9298-BB55E423CBFA}" name="Actual _x000a_Cost" totalsRowFunction="sum" dataDxfId="1532" totalsRowDxfId="409" dataCellStyle="40% - Accent4" totalsRowCellStyle="Total"/>
    <tableColumn id="4" xr3:uid="{FEC157B8-61B9-4D17-92C8-FF118965BFB5}" name="Difference" totalsRowFunction="sum" dataDxfId="1531" totalsRowDxfId="408" dataCellStyle="60% - Accent4" totalsRowCellStyle="Total">
      <calculatedColumnFormula>Pets3547718395107119131[[#This Row],[Projected 
Cost]]-Pets3547718395107119131[[#This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393797AB-6BC8-4FD0-B7D3-F9E13F59C336}" name="Legal3648728496108120132" displayName="Legal3648728496108120132" ref="G60:J65" totalsRowCount="1" headerRowDxfId="1530" dataDxfId="1528" totalsRowDxfId="1527" headerRowBorderDxfId="1529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F769765D-EF5C-4F1F-8365-782A7486FF1D}" name="-" totalsRowLabel="Subtotal" dataDxfId="1526" totalsRowDxfId="407" dataCellStyle="60% - Accent4" totalsRowCellStyle="Total"/>
    <tableColumn id="2" xr3:uid="{B25A9032-45E2-4393-B0E1-8E9BCB3FB3FE}" name="Projected _x000a_Cost" totalsRowFunction="sum" dataDxfId="1525" totalsRowDxfId="406" dataCellStyle="20% - Accent4" totalsRowCellStyle="Total"/>
    <tableColumn id="3" xr3:uid="{B80B44F9-C34D-4856-96E4-C67E40E5820A}" name="Actual _x000a_Cost" totalsRowFunction="sum" dataDxfId="1524" totalsRowDxfId="405" dataCellStyle="40% - Accent4" totalsRowCellStyle="Total"/>
    <tableColumn id="4" xr3:uid="{C4D263E2-4304-40F4-9E46-CD3E935B4F81}" name="Difference" totalsRowFunction="sum" dataDxfId="1523" totalsRowDxfId="404" dataCellStyle="60% - Accent4" totalsRowCellStyle="Total">
      <calculatedColumnFormula>Legal3648728496108120132[[#This Row],[Projected 
Cost]]-Legal3648728496108120132[[#This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60F6ACAE-0AE4-420C-8A80-6DA1349ADC8A}" name="PersonalCare3749738597109121133" displayName="PersonalCare3749738597109121133" ref="B69:E77" totalsRowCount="1" headerRowDxfId="1522" dataDxfId="1520" totalsRowDxfId="1519" headerRowBorderDxfId="1521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FE587A3C-0E13-45BF-A984-9ECFA883A4A6}" name="-" totalsRowLabel="Subtotal" dataDxfId="1518" totalsRowDxfId="403" dataCellStyle="60% - Accent4" totalsRowCellStyle="Total"/>
    <tableColumn id="2" xr3:uid="{0CD21904-C569-4951-B0E6-6B1F293F123C}" name="Projected _x000a_Cost" totalsRowFunction="sum" dataDxfId="1517" totalsRowDxfId="402" dataCellStyle="20% - Accent4" totalsRowCellStyle="Total"/>
    <tableColumn id="3" xr3:uid="{71C2F4B0-1E1C-4781-8E92-B83EA5F8CD55}" name="Actual _x000a_Cost" totalsRowFunction="sum" dataDxfId="1516" totalsRowDxfId="401" dataCellStyle="40% - Accent4" totalsRowCellStyle="Total"/>
    <tableColumn id="4" xr3:uid="{301780B3-DE94-46B3-8990-C3E81F8F9B5F}" name="Difference" totalsRowFunction="sum" dataDxfId="1515" totalsRowDxfId="400" dataCellStyle="60% - Accent4" totalsRowCellStyle="Total">
      <calculatedColumnFormula>PersonalCare3749738597109121133[[#This Row],[Projected 
Cost]]-PersonalCare3749738597109121133[[#This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8135BB5B-2878-44D7-8563-B3981D10B9AC}" name="Table133850748698110122134" displayName="Table133850748698110122134" ref="B3:C9" totalsRowShown="0" headerRowDxfId="1514" dataDxfId="1513" tableBorderDxfId="1512" headerRowCellStyle="40% - Accent6" dataCellStyle="40% - Accent6">
  <autoFilter ref="B3:C9" xr:uid="{684E4A77-11D4-4D20-B209-12B12AB09032}"/>
  <tableColumns count="2">
    <tableColumn id="1" xr3:uid="{A29CB9B9-C6AA-4C1D-B326-06F5C5FE5E76}" name="Projected Monthly Income" dataDxfId="1511" dataCellStyle="40% - Accent6"/>
    <tableColumn id="2" xr3:uid="{6CB6DE14-ED6F-464B-88C8-36520FF651C7}" name="Amount" dataDxfId="1510" dataCellStyle="40% - Accent6"/>
  </tableColumns>
  <tableStyleInfo name="TableStyleMedium7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B93B4A6B-6E34-4EDC-A590-BED53D24D2A5}" name="Housing273963758799111" displayName="Housing273963758799111" ref="B20:E31" totalsRowCount="1" headerRowDxfId="1509" dataDxfId="1507" totalsRowDxfId="1505" headerRowBorderDxfId="1508" tableBorderDxfId="1506" headerRowCellStyle="60% - Accent4" dataCellStyle="60% - Accent4" totalsRowCellStyle="Total">
  <tableColumns count="4">
    <tableColumn id="1" xr3:uid="{94FF618A-4823-4D6C-A7DF-E93AC1BF8DEE}" name="-" totalsRowLabel="Subtotal" dataDxfId="1504" totalsRowDxfId="399" dataCellStyle="60% - Accent4" totalsRowCellStyle="Total"/>
    <tableColumn id="2" xr3:uid="{A9D2847B-B8C2-4BFE-9240-DAFC0E1AA6BB}" name="Projected_x000a_Cost" totalsRowFunction="sum" dataDxfId="1503" totalsRowDxfId="398" dataCellStyle="20% - Accent4" totalsRowCellStyle="Total"/>
    <tableColumn id="3" xr3:uid="{64A6F626-ECD8-44B7-8308-4D30AAB5ACC7}" name="Actual _x000a_Cost" totalsRowFunction="sum" dataDxfId="1502" totalsRowDxfId="397" dataCellStyle="40% - Accent4" totalsRowCellStyle="Total"/>
    <tableColumn id="4" xr3:uid="{5CACF268-82C5-4C7B-B380-8831763E6677}" name="Difference" totalsRowFunction="sum" dataDxfId="1501" totalsRowDxfId="396" dataCellStyle="60% - Accent4" totalsRowCellStyle="Total">
      <calculatedColumnFormula>Housing273963758799111[[#This Row],[Projected
Cost]]-Housing273963758799111[[#This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87D0202-C7AA-4122-8B80-97E99B507A3B}" name="Entertainment2840647688100112" displayName="Entertainment2840647688100112" ref="G20:J30" totalsRowCount="1" headerRowDxfId="1500" dataDxfId="1498" totalsRowDxfId="1496" headerRowBorderDxfId="1499" tableBorderDxfId="1497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FC3BA7FD-BA0F-410B-96E2-91E308316F52}" name="-" totalsRowLabel="Subtotal" dataDxfId="1495" totalsRowDxfId="395" dataCellStyle="60% - Accent4" totalsRowCellStyle="Total"/>
    <tableColumn id="2" xr3:uid="{D2712B8F-5732-4763-A364-6D232438B9D1}" name="Projected _x000a_Cost" totalsRowFunction="sum" dataDxfId="1494" totalsRowDxfId="394" dataCellStyle="20% - Accent4" totalsRowCellStyle="Total"/>
    <tableColumn id="3" xr3:uid="{65D7F866-F31C-468B-BF51-52E4DF19D460}" name="Actual _x000a_Cost" totalsRowFunction="sum" dataDxfId="1493" totalsRowDxfId="393" dataCellStyle="40% - Accent4" totalsRowCellStyle="Total"/>
    <tableColumn id="4" xr3:uid="{268DF4BA-D46B-42B0-ABD7-0F433AF01295}" name="Difference" totalsRowFunction="sum" dataDxfId="1492" totalsRowDxfId="392" dataCellStyle="60% - Accent4" totalsRowCellStyle="Total">
      <calculatedColumnFormula>Entertainment2840647688100112[[#This Row],[Projected 
Cost]]-Entertainment2840647688100112[[#This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EF898327-FAA3-4007-BA5F-44D09FCEE367}" name="Loans2941657789101113" displayName="Loans2941657789101113" ref="G34:J41" totalsRowCount="1" headerRowDxfId="1491" dataDxfId="1489" totalsRowDxfId="1487" headerRowBorderDxfId="1490" tableBorderDxfId="1488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138FA6A8-66EC-481B-9D25-57EF73ADD139}" name="-" totalsRowLabel="Subtotal" dataDxfId="1486" totalsRowDxfId="387" dataCellStyle="60% - Accent4" totalsRowCellStyle="Total"/>
    <tableColumn id="2" xr3:uid="{A472D847-8814-4EC4-B324-AF43EEBEF9EB}" name="Projected _x000a_Cost" totalsRowFunction="sum" dataDxfId="1485" totalsRowDxfId="386" dataCellStyle="20% - Accent4" totalsRowCellStyle="Total"/>
    <tableColumn id="3" xr3:uid="{9B7A03B8-2CD7-480B-84FD-E0A9DFBA9109}" name="Actual _x000a_Cost" totalsRowFunction="sum" dataDxfId="1484" totalsRowDxfId="385" dataCellStyle="40% - Accent4" totalsRowCellStyle="Total"/>
    <tableColumn id="4" xr3:uid="{EE555CBE-0DB1-4913-98DB-CB535E939752}" name="Difference" totalsRowFunction="sum" dataDxfId="1483" totalsRowDxfId="384" dataCellStyle="60% - Accent4" totalsRowCellStyle="Total">
      <calculatedColumnFormula>Loans2941657789101113[[#This Row],[Projected 
Cost]]-Loans2941657789101113[[#This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0F641F4D-D5C1-42AB-A533-9EBF47625CE1}" name="Transportation3042667890102114126138150" displayName="Transportation3042667890102114126138150" ref="B34:E42" totalsRowCount="1" headerRowDxfId="1819" dataDxfId="1817" totalsRowDxfId="1815" headerRowBorderDxfId="1818" tableBorderDxfId="1816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B7025181-4D41-4CFA-B8BC-9D17898CF520}" name="-" totalsRowLabel="Subtotal" dataDxfId="1814" totalsRowDxfId="1813" dataCellStyle="60% - Accent4"/>
    <tableColumn id="2" xr3:uid="{0D96C771-10A2-4284-BB9B-ED6D342C3910}" name="Projected _x000a_Cost" totalsRowFunction="sum" dataDxfId="1812" totalsRowDxfId="1811" dataCellStyle="20% - Accent4">
      <calculatedColumnFormula>Transportation3042667890102114126138[[#This Row],[Projected 
Cost]]+Transportation3042667890102114126[[#This Row],[Projected 
Cost]]+Transportation3042667890102114[[#This Row],[Projected 
Cost]]+Transportation3042667890102[[#This Row],[Projected 
Cost]]+Transportation3042667890[[#This Row],[Projected 
Cost]]+Transportation30426678[[#This Row],[Projected 
Cost]]+Transportation304266[[#This Row],[Projected 
Cost]]+Transportation304254[[#This Row],[Projected 
Cost]]+Transportation3042[[#This Row],[Projected 
Cost]]+Transportation30[[#This Row],[Projected 
Cost]]+Transportation18[[#This Row],[Projected 
Cost]]+Transportation[[#This Row],[Projected 
Cost]]</calculatedColumnFormula>
    </tableColumn>
    <tableColumn id="3" xr3:uid="{89F7240F-15B5-460D-827D-10D162771982}" name="Actual _x000a_Cost" totalsRowFunction="sum" dataDxfId="1810" totalsRowDxfId="1809" dataCellStyle="40% - Accent4">
      <calculatedColumnFormula>Transportation3042667890102114126138[[#This Row],[Actual 
Cost]]+Transportation3042667890102114126[[#This Row],[Actual 
Cost]]+Transportation3042667890102114[[#This Row],[Actual 
Cost]]+Transportation3042667890102[[#This Row],[Actual 
Cost]]+Transportation3042667890[[#This Row],[Actual 
Cost]]+Transportation30426678[[#This Row],[Actual 
Cost]]+Transportation304266[[#This Row],[Actual 
Cost]]+Transportation304254[[#This Row],[Actual 
Cost]]+Transportation3042[[#This Row],[Actual 
Cost]]+Transportation30[[#This Row],[Actual 
Cost]]+Transportation18[[#This Row],[Actual 
Cost]]+Transportation[[#This Row],[Actual 
Cost]]</calculatedColumnFormula>
    </tableColumn>
    <tableColumn id="4" xr3:uid="{24FE9220-BA95-4B2B-9E6C-F1FBC8B5EBE8}" name="Difference" totalsRowFunction="sum" dataDxfId="1808" totalsRowDxfId="1807" dataCellStyle="60% - Accent4">
      <calculatedColumnFormula>Transportation3042667890102114126138150[[#This Row],[Projected 
Cost]]-Transportation3042667890102114126138150[[#This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A35B4F9E-D30C-4DA9-ABC4-347A666613FA}" name="Transportation3042667890102114" displayName="Transportation3042667890102114" ref="B34:E42" totalsRowCount="1" headerRowDxfId="1482" dataDxfId="1480" totalsRowDxfId="1478" headerRowBorderDxfId="1481" tableBorderDxfId="1479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62317FE6-2385-4901-A05D-102AF5596B0F}" name="-" totalsRowLabel="Subtotal" dataDxfId="1477" totalsRowDxfId="391" dataCellStyle="60% - Accent4" totalsRowCellStyle="Total"/>
    <tableColumn id="2" xr3:uid="{BDA3AD8C-8019-4106-BB36-F50B56E36E2E}" name="Projected _x000a_Cost" totalsRowFunction="sum" dataDxfId="1476" totalsRowDxfId="390" dataCellStyle="20% - Accent4" totalsRowCellStyle="Total"/>
    <tableColumn id="3" xr3:uid="{FBD10614-1360-440F-B3C5-F9785591B665}" name="Actual _x000a_Cost" totalsRowFunction="sum" dataDxfId="1475" totalsRowDxfId="389" dataCellStyle="40% - Accent4" totalsRowCellStyle="Total"/>
    <tableColumn id="4" xr3:uid="{85240FFE-11D5-46EA-A2C6-52281D695001}" name="Difference" totalsRowFunction="sum" dataDxfId="1474" totalsRowDxfId="388" dataCellStyle="60% - Accent4" totalsRowCellStyle="Total">
      <calculatedColumnFormula>Transportation3042667890102114[[#This Row],[Projected 
Cost]]-Transportation3042667890102114[[#This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BEE73609-ED30-4380-B367-468B97C871C6}" name="Insurance3143677991103115" displayName="Insurance3143677991103115" ref="B45:E50" totalsRowCount="1" headerRowDxfId="1473" dataDxfId="1471" totalsRowDxfId="1469" headerRowBorderDxfId="1472" tableBorderDxfId="1470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FACFD449-183A-4016-A5F5-2729753D85D2}" name="-" totalsRowLabel="Subtotal" dataDxfId="1468" totalsRowDxfId="383" dataCellStyle="60% - Accent4" totalsRowCellStyle="Total"/>
    <tableColumn id="2" xr3:uid="{113A1622-2D83-44A7-8CC3-E56F50196E09}" name="Projected _x000a_Cost" totalsRowFunction="sum" dataDxfId="1467" totalsRowDxfId="382" dataCellStyle="20% - Accent4" totalsRowCellStyle="Total"/>
    <tableColumn id="3" xr3:uid="{B4C59FE4-E47F-48BD-A3E6-6F6CC4EEB443}" name="Actual _x000a_Cost" totalsRowFunction="sum" dataDxfId="1466" totalsRowDxfId="381" dataCellStyle="40% - Accent4" totalsRowCellStyle="Total"/>
    <tableColumn id="4" xr3:uid="{6CFBFC98-33F3-443B-8D68-4E192EAAAA44}" name="Difference" totalsRowFunction="sum" dataDxfId="1465" totalsRowDxfId="380" dataCellStyle="60% - Accent4" totalsRowCellStyle="Total">
      <calculatedColumnFormula>Insurance3143677991103115[[#This Row],[Projected 
Cost]]-Insurance3143677991103115[[#This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9011A4A7-408F-4F98-8382-1ECBD5021435}" name="Savings3244688092104116" displayName="Savings3244688092104116" ref="G45:J49" totalsRowCount="1" headerRowDxfId="1464" dataDxfId="1462" totalsRowDxfId="1461" headerRowBorderDxfId="1463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78F7C7CD-5D6F-40F6-BCA2-D01EC59494CD}" name="-" totalsRowLabel="Subtotal" dataDxfId="1460" totalsRowDxfId="1459" dataCellStyle="60% - Accent6" totalsRowCellStyle="Total"/>
    <tableColumn id="2" xr3:uid="{35CC895A-391A-4146-B071-6FAF75CE1FD7}" name="Projected _x000a_Cost" totalsRowFunction="sum" dataDxfId="1458" totalsRowDxfId="1457" dataCellStyle="20% - Accent6" totalsRowCellStyle="Total"/>
    <tableColumn id="3" xr3:uid="{F77968A7-8514-4A69-87E4-007D68E81619}" name="Actual _x000a_Cost" totalsRowFunction="sum" dataDxfId="1456" totalsRowDxfId="1455" dataCellStyle="40% - Accent6" totalsRowCellStyle="Total"/>
    <tableColumn id="4" xr3:uid="{25CA89F6-21A2-4FC5-8317-C9A55FD15B40}" name="Difference" totalsRowFunction="sum" dataDxfId="1454" totalsRowDxfId="1453" dataCellStyle="60% - Accent6" totalsRowCellStyle="Total">
      <calculatedColumnFormula>Savings3244688092104116[[#This Row],[Projected 
Cost]]-Savings3244688092104116[[#This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556DA5C-D7F0-4D0C-9A82-9C76ED92706C}" name="Food3345698193105117" displayName="Food3345698193105117" ref="B53:E57" totalsRowCount="1" headerRowDxfId="1452" dataDxfId="1450" totalsRowDxfId="1448" headerRowBorderDxfId="1451" tableBorderDxfId="1449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4A15F9CE-3C8B-418A-9D5B-D5D2117AAB8C}" name="-" totalsRowLabel="Subtotal" dataDxfId="1447" totalsRowDxfId="379" dataCellStyle="60% - Accent4" totalsRowCellStyle="Total"/>
    <tableColumn id="2" xr3:uid="{3D43E45F-FC1D-42D8-A656-F4AC7FEDC1B0}" name="Projected _x000a_Cost" totalsRowFunction="sum" dataDxfId="1446" totalsRowDxfId="378" dataCellStyle="20% - Accent4" totalsRowCellStyle="Total"/>
    <tableColumn id="3" xr3:uid="{C766C35D-0383-4ACE-980E-5C8DCFDA9EBC}" name="Actual _x000a_Cost" totalsRowFunction="sum" dataDxfId="1445" totalsRowDxfId="377" dataCellStyle="40% - Accent4" totalsRowCellStyle="Total"/>
    <tableColumn id="4" xr3:uid="{D37FC44F-C100-4783-AEC0-FFACE734F5B7}" name="Difference" totalsRowFunction="sum" dataDxfId="1444" totalsRowDxfId="376" dataCellStyle="60% - Accent4" totalsRowCellStyle="Total">
      <calculatedColumnFormula>Food3345698193105117[[#This Row],[Projected 
Cost]]-Food3345698193105117[[#This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D4906AA-1C9D-4BE2-BEB1-F0345FAF24E3}" name="Gifts3446708294106118" displayName="Gifts3446708294106118" ref="G53:J57" totalsRowCount="1" headerRowDxfId="1443" dataDxfId="1441" totalsRowDxfId="1440" headerRowBorderDxfId="1442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23FAF606-F340-4A56-825D-4A410CE030D1}" name="-" totalsRowLabel="Subtotal" dataDxfId="1439" totalsRowDxfId="375" dataCellStyle="60% - Accent4" totalsRowCellStyle="Total"/>
    <tableColumn id="2" xr3:uid="{AADB4250-CF7D-4371-BF44-D068C38CB7AA}" name="Projected _x000a_Cost" totalsRowFunction="sum" dataDxfId="1438" totalsRowDxfId="374" dataCellStyle="20% - Accent4" totalsRowCellStyle="Total"/>
    <tableColumn id="3" xr3:uid="{64565283-BA97-451B-A885-0EDE7C6937C3}" name="Actual _x000a_Cost" totalsRowFunction="sum" dataDxfId="1437" totalsRowDxfId="373" dataCellStyle="40% - Accent4" totalsRowCellStyle="Total"/>
    <tableColumn id="4" xr3:uid="{769C91B2-14FD-4D3D-A50D-38B548B478C2}" name="Difference" totalsRowFunction="sum" dataDxfId="1436" totalsRowDxfId="372" dataCellStyle="60% - Accent4" totalsRowCellStyle="Total">
      <calculatedColumnFormula>Gifts3446708294106118[[#This Row],[Projected 
Cost]]-Gifts3446708294106118[[#This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296D1BE9-58D3-45B2-BB23-986D11ACD930}" name="Pets3547718395107119" displayName="Pets3547718395107119" ref="B60:E66" totalsRowCount="1" headerRowDxfId="1435" dataDxfId="1433" totalsRowDxfId="1432" headerRowBorderDxfId="1434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2D400EC3-935E-4BB0-8BDB-92877ACCAED9}" name="-" totalsRowLabel="Subtotal" dataDxfId="1431" totalsRowDxfId="371" dataCellStyle="60% - Accent4" totalsRowCellStyle="Total"/>
    <tableColumn id="2" xr3:uid="{0FEB3E82-147D-450B-8F95-61D8D88A5650}" name="Projected _x000a_Cost" totalsRowFunction="sum" dataDxfId="1430" totalsRowDxfId="370" dataCellStyle="20% - Accent4" totalsRowCellStyle="Total"/>
    <tableColumn id="3" xr3:uid="{F980EC42-12CD-47C6-AF1F-D6D4C7B28210}" name="Actual _x000a_Cost" totalsRowFunction="sum" dataDxfId="1429" totalsRowDxfId="369" dataCellStyle="40% - Accent4" totalsRowCellStyle="Total"/>
    <tableColumn id="4" xr3:uid="{2ABEC0FF-889E-4817-B5AD-E967FB733932}" name="Difference" totalsRowFunction="sum" dataDxfId="1428" totalsRowDxfId="368" dataCellStyle="60% - Accent4" totalsRowCellStyle="Total">
      <calculatedColumnFormula>Pets3547718395107119[[#This Row],[Projected 
Cost]]-Pets3547718395107119[[#This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FB65E112-8ACC-4BA1-AFF7-86DE68CF1585}" name="Legal3648728496108120" displayName="Legal3648728496108120" ref="G60:J65" totalsRowCount="1" headerRowDxfId="1427" dataDxfId="1425" totalsRowDxfId="1424" headerRowBorderDxfId="1426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DE6DAB51-F521-44C3-8EB0-13EC23B93188}" name="-" totalsRowLabel="Subtotal" dataDxfId="1423" totalsRowDxfId="367" dataCellStyle="60% - Accent4" totalsRowCellStyle="Total"/>
    <tableColumn id="2" xr3:uid="{90A68779-B7A6-434C-920A-552E535BFC22}" name="Projected _x000a_Cost" totalsRowFunction="sum" dataDxfId="1422" totalsRowDxfId="366" dataCellStyle="20% - Accent4" totalsRowCellStyle="Total"/>
    <tableColumn id="3" xr3:uid="{B1359805-B90C-4CCA-9AA2-9A56FF94024A}" name="Actual _x000a_Cost" totalsRowFunction="sum" dataDxfId="1421" totalsRowDxfId="365" dataCellStyle="40% - Accent4" totalsRowCellStyle="Total"/>
    <tableColumn id="4" xr3:uid="{76ADD904-FFB0-46F8-89D8-EBBCF89DE4AE}" name="Difference" totalsRowFunction="sum" dataDxfId="1420" totalsRowDxfId="364" dataCellStyle="60% - Accent4" totalsRowCellStyle="Total">
      <calculatedColumnFormula>Legal3648728496108120[[#This Row],[Projected 
Cost]]-Legal3648728496108120[[#This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438AB64C-C2B0-419A-9811-3390CB39C60F}" name="PersonalCare3749738597109121" displayName="PersonalCare3749738597109121" ref="B69:E77" totalsRowCount="1" headerRowDxfId="1419" dataDxfId="1417" totalsRowDxfId="1416" headerRowBorderDxfId="1418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DAFEC3E3-D717-422E-AAEA-1A95733A9154}" name="-" totalsRowLabel="Subtotal" dataDxfId="1415" totalsRowDxfId="363" dataCellStyle="60% - Accent4" totalsRowCellStyle="Total"/>
    <tableColumn id="2" xr3:uid="{F26D4772-E9BF-4A91-BC81-0C71AA6D9DFD}" name="Projected _x000a_Cost" totalsRowFunction="sum" dataDxfId="1414" totalsRowDxfId="362" dataCellStyle="20% - Accent4" totalsRowCellStyle="Total"/>
    <tableColumn id="3" xr3:uid="{141C2C19-2DAC-4EE9-B55E-92010D7F93A5}" name="Actual _x000a_Cost" totalsRowFunction="sum" dataDxfId="1413" totalsRowDxfId="361" dataCellStyle="40% - Accent4" totalsRowCellStyle="Total"/>
    <tableColumn id="4" xr3:uid="{2C107E06-C1EB-48C1-9D9D-D77F503DAD70}" name="Difference" totalsRowFunction="sum" dataDxfId="1412" totalsRowDxfId="360" dataCellStyle="60% - Accent4" totalsRowCellStyle="Total">
      <calculatedColumnFormula>PersonalCare3749738597109121[[#This Row],[Projected 
Cost]]-PersonalCare3749738597109121[[#This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53F36E79-706E-4DAE-8489-5DCC9DEC399C}" name="Table133850748698110122" displayName="Table133850748698110122" ref="B3:C9" totalsRowShown="0" headerRowDxfId="1411" dataDxfId="1410" tableBorderDxfId="1409" headerRowCellStyle="40% - Accent6" dataCellStyle="40% - Accent6">
  <autoFilter ref="B3:C9" xr:uid="{684E4A77-11D4-4D20-B209-12B12AB09032}"/>
  <tableColumns count="2">
    <tableColumn id="1" xr3:uid="{0B5DFE24-C545-4A5F-9605-033AFA5724D4}" name="Projected Monthly Income" dataDxfId="1408" dataCellStyle="40% - Accent6"/>
    <tableColumn id="2" xr3:uid="{A1FE4E21-244B-4CF8-A528-C5013F645C12}" name="Amount" dataDxfId="1407" dataCellStyle="40% - Accent6"/>
  </tableColumns>
  <tableStyleInfo name="TableStyleMedium7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25F03281-B623-4821-839D-107289EA85F2}" name="Housing273963758799" displayName="Housing273963758799" ref="B20:E31" totalsRowCount="1" headerRowDxfId="1406" dataDxfId="1404" totalsRowDxfId="1402" headerRowBorderDxfId="1405" tableBorderDxfId="1403" headerRowCellStyle="60% - Accent4" dataCellStyle="60% - Accent4" totalsRowCellStyle="Total">
  <tableColumns count="4">
    <tableColumn id="1" xr3:uid="{369CCDD5-72BC-43E2-8C35-742BEB6019F8}" name="-" totalsRowLabel="Subtotal" dataDxfId="1401" totalsRowDxfId="327" dataCellStyle="60% - Accent4" totalsRowCellStyle="Total"/>
    <tableColumn id="2" xr3:uid="{83426098-FF5C-4190-A461-0C86ADC6FE59}" name="Projected_x000a_Cost" totalsRowFunction="sum" dataDxfId="1400" totalsRowDxfId="326" dataCellStyle="20% - Accent4" totalsRowCellStyle="Total"/>
    <tableColumn id="3" xr3:uid="{A0FC2DB8-7F95-4CB7-AE46-79B4D36B74B5}" name="Actual _x000a_Cost" totalsRowFunction="sum" dataDxfId="1399" totalsRowDxfId="325" dataCellStyle="40% - Accent4" totalsRowCellStyle="Total"/>
    <tableColumn id="4" xr3:uid="{D51A0692-9578-47FA-ABA8-8D74047756A3}" name="Difference" totalsRowFunction="sum" dataDxfId="1398" totalsRowDxfId="324" dataCellStyle="60% - Accent4" totalsRowCellStyle="Total">
      <calculatedColumnFormula>Housing273963758799[[#This Row],[Projected
Cost]]-Housing273963758799[[#This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0F73A9EE-5079-44D6-92D0-B97F6EA79C6D}" name="Insurance3143677991103115127139151" displayName="Insurance3143677991103115127139151" ref="B45:E50" totalsRowCount="1" headerRowDxfId="1806" dataDxfId="1804" totalsRowDxfId="1802" headerRowBorderDxfId="1805" tableBorderDxfId="1803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7D47AF86-2ED2-4DB6-8E53-1A3F09E4A232}" name="-" totalsRowLabel="Subtotal" dataDxfId="1801" totalsRowDxfId="1800" dataCellStyle="60% - Accent4"/>
    <tableColumn id="2" xr3:uid="{84385F63-90DA-40DC-8518-B0E2BED19108}" name="Projected _x000a_Cost" totalsRowFunction="sum" dataDxfId="1799" totalsRowDxfId="1798" dataCellStyle="20% - Accent4">
      <calculatedColumnFormula>Insurance3143677991103115127139[[#This Row],[Projected 
Cost]]+Insurance3143677991103115127[[#This Row],[Projected 
Cost]]+Insurance3143677991103115[[#This Row],[Projected 
Cost]]+Insurance3143677991103[[#This Row],[Projected 
Cost]]+Insurance3143677991[[#This Row],[Projected 
Cost]]+Insurance31436779[[#This Row],[Projected 
Cost]]+Insurance314367[[#This Row],[Projected 
Cost]]+Insurance314355[[#This Row],[Projected 
Cost]]+Insurance3143[[#This Row],[Projected 
Cost]]+Insurance31[[#This Row],[Projected 
Cost]]+Insurance19[[#This Row],[Projected 
Cost]]+Insurance[[#This Row],[Projected 
Cost]]</calculatedColumnFormula>
    </tableColumn>
    <tableColumn id="3" xr3:uid="{7B3BDF95-53D6-4E2E-B429-2306653870DD}" name="Actual _x000a_Cost" totalsRowFunction="sum" dataDxfId="1797" totalsRowDxfId="1796" dataCellStyle="40% - Accent4">
      <calculatedColumnFormula>Insurance3143677991103115127139[[#This Row],[Actual 
Cost]]+Insurance3143677991103115127[[#This Row],[Actual 
Cost]]+Insurance3143677991103115[[#This Row],[Actual 
Cost]]+Insurance3143677991103[[#This Row],[Actual 
Cost]]+Insurance3143677991[[#This Row],[Actual 
Cost]]+Insurance31436779[[#This Row],[Actual 
Cost]]+Insurance314367[[#This Row],[Actual 
Cost]]+Insurance314355[[#This Row],[Actual 
Cost]]+Insurance3143[[#This Row],[Actual 
Cost]]+Insurance31[[#This Row],[Actual 
Cost]]+Insurance19[[#This Row],[Actual 
Cost]]+Insurance[[#This Row],[Actual 
Cost]]</calculatedColumnFormula>
    </tableColumn>
    <tableColumn id="4" xr3:uid="{EC4F669E-3A67-4C4D-8B36-5DF8CAB458D8}" name="Difference" totalsRowFunction="sum" dataDxfId="1795" totalsRowDxfId="1794" dataCellStyle="60% - Accent4">
      <calculatedColumnFormula>Insurance3143677991103115127139151[[#This Row],[Projected 
Cost]]-Insurance3143677991103115127139151[[#This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D2F1521F-67C1-4981-8850-2864C2CD724E}" name="Entertainment2840647688100" displayName="Entertainment2840647688100" ref="G20:J30" totalsRowCount="1" headerRowDxfId="1397" dataDxfId="1395" totalsRowDxfId="1393" headerRowBorderDxfId="1396" tableBorderDxfId="1394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5233A387-641B-4BAA-B88F-70767627C135}" name="-" totalsRowLabel="Subtotal" dataDxfId="1392" totalsRowDxfId="323" dataCellStyle="60% - Accent4" totalsRowCellStyle="Total"/>
    <tableColumn id="2" xr3:uid="{0004EF2F-5759-479D-9A0D-92971E1D184C}" name="Projected _x000a_Cost" totalsRowFunction="sum" dataDxfId="1391" totalsRowDxfId="322" dataCellStyle="20% - Accent4" totalsRowCellStyle="Total"/>
    <tableColumn id="3" xr3:uid="{C4DD6B2C-0967-4BCC-910C-D067A427E85F}" name="Actual _x000a_Cost" totalsRowFunction="sum" dataDxfId="1390" totalsRowDxfId="321" dataCellStyle="40% - Accent4" totalsRowCellStyle="Total"/>
    <tableColumn id="4" xr3:uid="{31FC5270-671A-4D36-9457-AC1E1065D33D}" name="Difference" totalsRowFunction="sum" dataDxfId="1389" totalsRowDxfId="320" dataCellStyle="60% - Accent4" totalsRowCellStyle="Total">
      <calculatedColumnFormula>Entertainment2840647688100[[#This Row],[Projected 
Cost]]-Entertainment2840647688100[[#This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7487A150-3A9E-4651-B611-F944C5AE9425}" name="Loans2941657789101" displayName="Loans2941657789101" ref="G34:J41" totalsRowCount="1" headerRowDxfId="1388" dataDxfId="1386" totalsRowDxfId="1384" headerRowBorderDxfId="1387" tableBorderDxfId="1385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A46D6C84-CB8A-4A85-BDE3-C1ADE08A3568}" name="-" totalsRowLabel="Subtotal" dataDxfId="1383" totalsRowDxfId="335" dataCellStyle="60% - Accent4" totalsRowCellStyle="Total"/>
    <tableColumn id="2" xr3:uid="{B3DD70CD-5716-498A-9EE5-0859C67C8238}" name="Projected _x000a_Cost" totalsRowFunction="sum" dataDxfId="1382" totalsRowDxfId="334" dataCellStyle="20% - Accent4" totalsRowCellStyle="Total"/>
    <tableColumn id="3" xr3:uid="{4AB3EB04-37C2-4A75-90A9-B8129602D974}" name="Actual _x000a_Cost" totalsRowFunction="sum" dataDxfId="1381" totalsRowDxfId="333" dataCellStyle="40% - Accent4" totalsRowCellStyle="Total"/>
    <tableColumn id="4" xr3:uid="{1C9EE366-0C34-4548-A94D-734622A677D8}" name="Difference" totalsRowFunction="sum" dataDxfId="1380" totalsRowDxfId="332" dataCellStyle="60% - Accent4" totalsRowCellStyle="Total">
      <calculatedColumnFormula>Loans2941657789101[[#This Row],[Projected 
Cost]]-Loans2941657789101[[#This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29B97A00-EF20-4E88-BFAB-623A82A9D036}" name="Transportation3042667890102" displayName="Transportation3042667890102" ref="B34:E42" totalsRowCount="1" headerRowDxfId="1379" dataDxfId="1377" totalsRowDxfId="1375" headerRowBorderDxfId="1378" tableBorderDxfId="1376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D38D8BCE-80CB-43D2-A8CA-BCCFAD1D5FFF}" name="-" totalsRowLabel="Subtotal" dataDxfId="1374" totalsRowDxfId="331" dataCellStyle="60% - Accent4" totalsRowCellStyle="Total"/>
    <tableColumn id="2" xr3:uid="{AF2CD85C-5C4F-4365-9A6A-EAE80EDE974B}" name="Projected _x000a_Cost" totalsRowFunction="sum" dataDxfId="1373" totalsRowDxfId="330" dataCellStyle="20% - Accent4" totalsRowCellStyle="Total"/>
    <tableColumn id="3" xr3:uid="{9E74A2B0-805A-4562-9C42-64A183FC0BFC}" name="Actual _x000a_Cost" totalsRowFunction="sum" dataDxfId="1372" totalsRowDxfId="329" dataCellStyle="40% - Accent4" totalsRowCellStyle="Total"/>
    <tableColumn id="4" xr3:uid="{461342A2-46E1-43EB-AC07-6F8E519B589F}" name="Difference" totalsRowFunction="sum" dataDxfId="1371" totalsRowDxfId="328" dataCellStyle="60% - Accent4" totalsRowCellStyle="Total">
      <calculatedColumnFormula>Transportation3042667890102[[#This Row],[Projected 
Cost]]-Transportation3042667890102[[#This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77DB961C-6D17-4801-B6BA-88A685585CA6}" name="Insurance3143677991103" displayName="Insurance3143677991103" ref="B45:E50" totalsRowCount="1" headerRowDxfId="1370" dataDxfId="1368" totalsRowDxfId="1366" headerRowBorderDxfId="1369" tableBorderDxfId="1367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2EE19DFD-B37A-4622-A63F-76189B16D68F}" name="-" totalsRowLabel="Subtotal" dataDxfId="1365" totalsRowDxfId="339" dataCellStyle="60% - Accent4" totalsRowCellStyle="Total"/>
    <tableColumn id="2" xr3:uid="{52860603-9997-42DC-A412-97FA69D73EEA}" name="Projected _x000a_Cost" totalsRowFunction="sum" dataDxfId="1364" totalsRowDxfId="338" dataCellStyle="20% - Accent4" totalsRowCellStyle="Total"/>
    <tableColumn id="3" xr3:uid="{DDE43E11-A8D0-4E2A-AFA2-964B520D23C2}" name="Actual _x000a_Cost" totalsRowFunction="sum" dataDxfId="1363" totalsRowDxfId="337" dataCellStyle="40% - Accent4" totalsRowCellStyle="Total"/>
    <tableColumn id="4" xr3:uid="{A8A78C9F-9E20-4046-99CB-9D5AD9CE64B9}" name="Difference" totalsRowFunction="sum" dataDxfId="1362" totalsRowDxfId="336" dataCellStyle="60% - Accent4" totalsRowCellStyle="Total">
      <calculatedColumnFormula>Insurance3143677991103[[#This Row],[Projected 
Cost]]-Insurance3143677991103[[#This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8C90F96F-E6F3-4E04-9AC5-E0D1F908A968}" name="Savings3244688092104" displayName="Savings3244688092104" ref="G45:J49" totalsRowCount="1" headerRowDxfId="1361" dataDxfId="1359" totalsRowDxfId="1358" headerRowBorderDxfId="1360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6B712E3E-4103-4315-BCAF-D958A877AF98}" name="-" totalsRowLabel="Subtotal" dataDxfId="1357" totalsRowDxfId="1356" dataCellStyle="60% - Accent6" totalsRowCellStyle="Total"/>
    <tableColumn id="2" xr3:uid="{228AA144-35C1-41B5-BB8F-B20E3E6AF1FD}" name="Projected _x000a_Cost" totalsRowFunction="sum" dataDxfId="1355" totalsRowDxfId="1354" dataCellStyle="20% - Accent6" totalsRowCellStyle="Total"/>
    <tableColumn id="3" xr3:uid="{8A37CFFF-10F1-4804-A29B-511311ACD283}" name="Actual _x000a_Cost" totalsRowFunction="sum" dataDxfId="1353" totalsRowDxfId="1352" dataCellStyle="40% - Accent6" totalsRowCellStyle="Total"/>
    <tableColumn id="4" xr3:uid="{500570E0-A8E5-49EF-B4A5-B2ECA5400733}" name="Difference" totalsRowFunction="sum" dataDxfId="1351" totalsRowDxfId="1350" dataCellStyle="60% - Accent6" totalsRowCellStyle="Total">
      <calculatedColumnFormula>Savings3244688092104[[#This Row],[Projected 
Cost]]-Savings3244688092104[[#This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898BBAD5-A306-4D24-8713-5D35ABE9B5EB}" name="Food3345698193105" displayName="Food3345698193105" ref="B53:E57" totalsRowCount="1" headerRowDxfId="1349" dataDxfId="1347" totalsRowDxfId="1345" headerRowBorderDxfId="1348" tableBorderDxfId="1346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DE54B947-2550-40EB-80C1-10F05C935350}" name="-" totalsRowLabel="Subtotal" dataDxfId="1344" totalsRowDxfId="347" dataCellStyle="60% - Accent4" totalsRowCellStyle="Total"/>
    <tableColumn id="2" xr3:uid="{996EF946-9D10-4D8B-88E1-7A191E1E5CEA}" name="Projected _x000a_Cost" totalsRowFunction="sum" dataDxfId="1343" totalsRowDxfId="346" dataCellStyle="20% - Accent4" totalsRowCellStyle="Total"/>
    <tableColumn id="3" xr3:uid="{068401AA-F781-447E-9F27-02BA3EDA7CEB}" name="Actual _x000a_Cost" totalsRowFunction="sum" dataDxfId="1342" totalsRowDxfId="345" dataCellStyle="40% - Accent4" totalsRowCellStyle="Total"/>
    <tableColumn id="4" xr3:uid="{32F9F6A2-ADA3-4130-B6B1-657097D5880C}" name="Difference" totalsRowFunction="sum" dataDxfId="1341" totalsRowDxfId="344" dataCellStyle="60% - Accent4" totalsRowCellStyle="Total">
      <calculatedColumnFormula>Food3345698193105[[#This Row],[Projected 
Cost]]-Food3345698193105[[#This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AEC02BAB-8D38-4CD2-9125-FDB885EB80D1}" name="Gifts3446708294106" displayName="Gifts3446708294106" ref="G53:J57" totalsRowCount="1" headerRowDxfId="1340" dataDxfId="1338" totalsRowDxfId="1337" headerRowBorderDxfId="1339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661883FA-7E73-4597-833C-177A444AAC68}" name="-" totalsRowLabel="Subtotal" dataDxfId="1336" totalsRowDxfId="343" dataCellStyle="60% - Accent4" totalsRowCellStyle="Total"/>
    <tableColumn id="2" xr3:uid="{BA793297-2952-4228-88EB-D5AC68D3B9BF}" name="Projected _x000a_Cost" totalsRowFunction="sum" dataDxfId="1335" totalsRowDxfId="342" dataCellStyle="20% - Accent4" totalsRowCellStyle="Total"/>
    <tableColumn id="3" xr3:uid="{84F5122B-91F2-4377-9E13-653E9DC03596}" name="Actual _x000a_Cost" totalsRowFunction="sum" dataDxfId="1334" totalsRowDxfId="341" dataCellStyle="40% - Accent4" totalsRowCellStyle="Total"/>
    <tableColumn id="4" xr3:uid="{9082CBCF-0555-48F3-ACAB-BAB9C4AFFAE5}" name="Difference" totalsRowFunction="sum" dataDxfId="1333" totalsRowDxfId="340" dataCellStyle="60% - Accent4" totalsRowCellStyle="Total">
      <calculatedColumnFormula>Gifts3446708294106[[#This Row],[Projected 
Cost]]-Gifts3446708294106[[#This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7FE147DE-123F-4199-A672-BC9CE8E7ED99}" name="Pets3547718395107" displayName="Pets3547718395107" ref="B60:E66" totalsRowCount="1" headerRowDxfId="1332" dataDxfId="1330" totalsRowDxfId="1329" headerRowBorderDxfId="1331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1F7E8E59-82A1-4533-8FCA-D9E04505B964}" name="-" totalsRowLabel="Subtotal" dataDxfId="1328" totalsRowDxfId="351" dataCellStyle="60% - Accent4" totalsRowCellStyle="Total"/>
    <tableColumn id="2" xr3:uid="{207C1AB0-135D-4068-959B-49983CE00856}" name="Projected _x000a_Cost" totalsRowFunction="sum" dataDxfId="1327" totalsRowDxfId="350" dataCellStyle="20% - Accent4" totalsRowCellStyle="Total"/>
    <tableColumn id="3" xr3:uid="{2F38F2F5-53D8-4D08-8E02-774862DB73DD}" name="Actual _x000a_Cost" totalsRowFunction="sum" dataDxfId="1326" totalsRowDxfId="349" dataCellStyle="40% - Accent4" totalsRowCellStyle="Total"/>
    <tableColumn id="4" xr3:uid="{4EDEC46B-A1BA-4D43-82A3-E080DC5556DC}" name="Difference" totalsRowFunction="sum" dataDxfId="1325" totalsRowDxfId="348" dataCellStyle="60% - Accent4" totalsRowCellStyle="Total">
      <calculatedColumnFormula>Pets3547718395107[[#This Row],[Projected 
Cost]]-Pets3547718395107[[#This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932FF8FB-E92E-46A3-8215-44A60E226AFB}" name="Legal3648728496108" displayName="Legal3648728496108" ref="G60:J65" totalsRowCount="1" headerRowDxfId="1324" dataDxfId="1322" totalsRowDxfId="1321" headerRowBorderDxfId="1323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4AFB13B7-11BE-4636-8FD8-B571A572B1FE}" name="-" totalsRowLabel="Subtotal" dataDxfId="1320" totalsRowDxfId="355" dataCellStyle="60% - Accent4" totalsRowCellStyle="Total"/>
    <tableColumn id="2" xr3:uid="{2D842434-D00E-4FFF-95BE-158AEEB805E9}" name="Projected _x000a_Cost" totalsRowFunction="sum" dataDxfId="1319" totalsRowDxfId="354" dataCellStyle="20% - Accent4" totalsRowCellStyle="Total"/>
    <tableColumn id="3" xr3:uid="{B6B9C17E-6EA5-4732-AB6E-CCE046BD2743}" name="Actual _x000a_Cost" totalsRowFunction="sum" dataDxfId="1318" totalsRowDxfId="353" dataCellStyle="40% - Accent4" totalsRowCellStyle="Total"/>
    <tableColumn id="4" xr3:uid="{3C7F1157-F2F3-46AA-A79B-1CA4CF28FC59}" name="Difference" totalsRowFunction="sum" dataDxfId="1317" totalsRowDxfId="352" dataCellStyle="60% - Accent4" totalsRowCellStyle="Total">
      <calculatedColumnFormula>Legal3648728496108[[#This Row],[Projected 
Cost]]-Legal3648728496108[[#This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5E749F4-6060-4AA9-9712-B618EC3DE55F}" name="PersonalCare3749738597109" displayName="PersonalCare3749738597109" ref="B69:E77" totalsRowCount="1" headerRowDxfId="1316" dataDxfId="1314" totalsRowDxfId="1313" headerRowBorderDxfId="1315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D34D4B8C-5686-4BA7-BEFC-8CB5C3BB2E7A}" name="-" totalsRowLabel="Subtotal" dataDxfId="1312" totalsRowDxfId="359" dataCellStyle="60% - Accent4" totalsRowCellStyle="Total"/>
    <tableColumn id="2" xr3:uid="{73E20EC4-17A3-442A-9FC9-DB3DD653BECD}" name="Projected _x000a_Cost" totalsRowFunction="sum" dataDxfId="1311" totalsRowDxfId="358" dataCellStyle="20% - Accent4" totalsRowCellStyle="Total"/>
    <tableColumn id="3" xr3:uid="{D96C88E4-421B-4A65-B47F-3CEA21FE7D7D}" name="Actual _x000a_Cost" totalsRowFunction="sum" dataDxfId="1310" totalsRowDxfId="357" dataCellStyle="40% - Accent4" totalsRowCellStyle="Total"/>
    <tableColumn id="4" xr3:uid="{29FFB483-C983-4AFB-B0C8-8A850145D45E}" name="Difference" totalsRowFunction="sum" dataDxfId="1309" totalsRowDxfId="356" dataCellStyle="60% - Accent4" totalsRowCellStyle="Total">
      <calculatedColumnFormula>PersonalCare3749738597109[[#This Row],[Projected 
Cost]]-PersonalCare3749738597109[[#This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355959AC-9339-48B4-8625-9991CAA0916A}" name="Savings3244688092104116128140152" displayName="Savings3244688092104116128140152" ref="G45:J49" totalsRowCount="1" headerRowDxfId="1793" dataDxfId="1791" totalsRowDxfId="1790" headerRowBorderDxfId="1792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7C7452D2-5EF2-4E70-9BEA-0193F3CA4532}" name="-" totalsRowLabel="Subtotal" dataDxfId="1789" totalsRowDxfId="1788" dataCellStyle="60% - Accent6"/>
    <tableColumn id="2" xr3:uid="{7A5EBFE6-316E-4023-ABCC-CDC318DE0283}" name="Projected _x000a_Cost" totalsRowFunction="sum" dataDxfId="1787" totalsRowDxfId="1786" dataCellStyle="20% - Accent6">
      <calculatedColumnFormula>Savings3244688092104116128140[[#This Row],[Projected 
Cost]]+Savings3244688092104116128[[#This Row],[Projected 
Cost]]+Savings3244688092104116[[#This Row],[Projected 
Cost]]+Savings3244688092104[[#This Row],[Projected 
Cost]]+Savings3244688092[[#This Row],[Projected 
Cost]]+Savings32446880[[#This Row],[Projected 
Cost]]+Savings324468[[#This Row],[Projected 
Cost]]+Savings324456[[#This Row],[Projected 
Cost]]+Savings3244[[#This Row],[Projected 
Cost]]+Savings32[[#This Row],[Projected 
Cost]]+Savings20[[#This Row],[Projected 
Cost]]+Savings[[#This Row],[Projected 
Cost]]</calculatedColumnFormula>
    </tableColumn>
    <tableColumn id="3" xr3:uid="{CDCB3B21-6B93-4892-A599-0E8AD3C5A4FB}" name="Actual _x000a_Cost" totalsRowFunction="sum" dataDxfId="1785" totalsRowDxfId="1784" dataCellStyle="40% - Accent6">
      <calculatedColumnFormula>Savings3244688092104116128140[[#This Row],[Actual 
Cost]]+Savings3244688092104116128[[#This Row],[Actual 
Cost]]+Savings3244688092104116[[#This Row],[Actual 
Cost]]+Savings3244688092104[[#This Row],[Actual 
Cost]]+Savings3244688092[[#This Row],[Actual 
Cost]]+Savings32446880[[#This Row],[Actual 
Cost]]+Savings324468[[#This Row],[Actual 
Cost]]+Savings324456[[#This Row],[Actual 
Cost]]+Savings3244[[#This Row],[Actual 
Cost]]+Savings32[[#This Row],[Actual 
Cost]]+Savings20[[#This Row],[Actual 
Cost]]+Savings[[#This Row],[Actual 
Cost]]</calculatedColumnFormula>
    </tableColumn>
    <tableColumn id="4" xr3:uid="{D2B427E9-5FCF-4397-9D6C-FA62BAA55F11}" name="Difference" totalsRowFunction="sum" dataDxfId="1783" totalsRowDxfId="1782" dataCellStyle="60% - Accent6">
      <calculatedColumnFormula>Savings3244688092104116128140152[[#This Row],[Projected 
Cost]]-Savings3244688092104116128140152[[#This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ACE8ABB4-FD6C-4839-A93D-C4646E893E48}" name="Table133850748698110" displayName="Table133850748698110" ref="B3:C9" totalsRowShown="0" headerRowDxfId="1308" dataDxfId="1307" tableBorderDxfId="1306" headerRowCellStyle="40% - Accent6" dataCellStyle="40% - Accent6">
  <autoFilter ref="B3:C9" xr:uid="{684E4A77-11D4-4D20-B209-12B12AB09032}"/>
  <tableColumns count="2">
    <tableColumn id="1" xr3:uid="{27B5A534-2695-49DB-90A4-1D9FEFB4767A}" name="Projected Monthly Income" dataDxfId="1305" dataCellStyle="40% - Accent6"/>
    <tableColumn id="2" xr3:uid="{0BA122D4-685D-4C48-B952-19BCB1A64E09}" name="Amount" dataDxfId="1304" dataCellStyle="40% - Accent6"/>
  </tableColumns>
  <tableStyleInfo name="TableStyleMedium7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0152E3A-B1D4-4FFA-8920-A7F59847B51B}" name="Housing2739637587" displayName="Housing2739637587" ref="B20:E31" totalsRowCount="1" headerRowDxfId="1303" dataDxfId="1301" totalsRowDxfId="1299" headerRowBorderDxfId="1302" tableBorderDxfId="1300" headerRowCellStyle="60% - Accent4" dataCellStyle="60% - Accent4" totalsRowCellStyle="Total">
  <tableColumns count="4">
    <tableColumn id="1" xr3:uid="{64297DD9-3259-41E9-9062-86CEEC0C1444}" name="-" totalsRowLabel="Subtotal" dataDxfId="1298" totalsRowDxfId="283" dataCellStyle="60% - Accent4" totalsRowCellStyle="Total"/>
    <tableColumn id="2" xr3:uid="{2E389064-E2F6-447E-A35F-3DED620E7E79}" name="Projected_x000a_Cost" totalsRowFunction="sum" dataDxfId="1297" totalsRowDxfId="282" dataCellStyle="20% - Accent4" totalsRowCellStyle="Total"/>
    <tableColumn id="3" xr3:uid="{74A1C4DE-E2F3-4BC8-AFF2-E63303C3EFDF}" name="Actual _x000a_Cost" totalsRowFunction="sum" dataDxfId="1296" totalsRowDxfId="281" dataCellStyle="40% - Accent4" totalsRowCellStyle="Total"/>
    <tableColumn id="4" xr3:uid="{16EBD875-2F84-4AA6-A678-BAB3952FFF74}" name="Difference" totalsRowFunction="sum" dataDxfId="1295" totalsRowDxfId="280" dataCellStyle="60% - Accent4" totalsRowCellStyle="Total">
      <calculatedColumnFormula>Housing2739637587[[#This Row],[Projected
Cost]]-Housing2739637587[[#This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DA350D49-0BCA-404A-896C-4C2CBF54B669}" name="Entertainment2840647688" displayName="Entertainment2840647688" ref="G20:J30" totalsRowCount="1" headerRowDxfId="1294" dataDxfId="1292" totalsRowDxfId="1290" headerRowBorderDxfId="1293" tableBorderDxfId="1291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5CAF7F50-A436-4CCF-A9D4-0900C2F0FD72}" name="-" totalsRowLabel="Subtotal" dataDxfId="1289" totalsRowDxfId="287" dataCellStyle="60% - Accent4" totalsRowCellStyle="Total"/>
    <tableColumn id="2" xr3:uid="{D4D9D888-ADDB-49E5-B99C-98E68250562F}" name="Projected _x000a_Cost" totalsRowFunction="sum" dataDxfId="1288" totalsRowDxfId="286" dataCellStyle="20% - Accent4" totalsRowCellStyle="Total"/>
    <tableColumn id="3" xr3:uid="{C4D5AB19-3FD5-4DAB-815A-67C05C0A21F6}" name="Actual _x000a_Cost" totalsRowFunction="sum" dataDxfId="1287" totalsRowDxfId="285" dataCellStyle="40% - Accent4" totalsRowCellStyle="Total"/>
    <tableColumn id="4" xr3:uid="{9ABE76C4-80E2-4306-B2C2-8E94C0504411}" name="Difference" totalsRowFunction="sum" dataDxfId="1286" totalsRowDxfId="284" dataCellStyle="60% - Accent4" totalsRowCellStyle="Total">
      <calculatedColumnFormula>Entertainment2840647688[[#This Row],[Projected 
Cost]]-Entertainment2840647688[[#This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7E706574-1457-47D9-ADFA-68400062DF06}" name="Loans2941657789" displayName="Loans2941657789" ref="G34:J41" totalsRowCount="1" headerRowDxfId="1285" dataDxfId="1283" totalsRowDxfId="1281" headerRowBorderDxfId="1284" tableBorderDxfId="1282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95F66982-E34A-4686-A9F7-24CB3C44F3D5}" name="-" totalsRowLabel="Subtotal" dataDxfId="1280" totalsRowDxfId="291" dataCellStyle="60% - Accent4" totalsRowCellStyle="Total"/>
    <tableColumn id="2" xr3:uid="{1F7FDB31-C451-47F0-A973-9B8FE55E2375}" name="Projected _x000a_Cost" totalsRowFunction="sum" dataDxfId="1279" totalsRowDxfId="290" dataCellStyle="20% - Accent4" totalsRowCellStyle="Total"/>
    <tableColumn id="3" xr3:uid="{ED1BB10A-0126-4641-B35D-FBDEC5C2DE0B}" name="Actual _x000a_Cost" totalsRowFunction="sum" dataDxfId="1278" totalsRowDxfId="289" dataCellStyle="40% - Accent4" totalsRowCellStyle="Total"/>
    <tableColumn id="4" xr3:uid="{C8153DB5-479E-446A-8B97-7827A82BC39B}" name="Difference" totalsRowFunction="sum" dataDxfId="1277" totalsRowDxfId="288" dataCellStyle="60% - Accent4" totalsRowCellStyle="Total">
      <calculatedColumnFormula>Loans2941657789[[#This Row],[Projected 
Cost]]-Loans2941657789[[#This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6EC6E6C3-7471-4E61-9F95-08E8A3E9C9FB}" name="Transportation3042667890" displayName="Transportation3042667890" ref="B34:E42" totalsRowCount="1" headerRowDxfId="1276" dataDxfId="1274" totalsRowDxfId="1272" headerRowBorderDxfId="1275" tableBorderDxfId="1273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9C0998D6-B148-4BD2-BB52-610DFA781AAF}" name="-" totalsRowLabel="Subtotal" dataDxfId="1271" totalsRowDxfId="295" dataCellStyle="60% - Accent4" totalsRowCellStyle="Total"/>
    <tableColumn id="2" xr3:uid="{8EDCBD99-DBDD-4AB0-B6D6-8881E0BF2BAD}" name="Projected _x000a_Cost" totalsRowFunction="sum" dataDxfId="1270" totalsRowDxfId="294" dataCellStyle="20% - Accent4" totalsRowCellStyle="Total"/>
    <tableColumn id="3" xr3:uid="{90FA9596-1A26-4DDB-93DF-6A6CE57A1C5F}" name="Actual _x000a_Cost" totalsRowFunction="sum" dataDxfId="1269" totalsRowDxfId="293" dataCellStyle="40% - Accent4" totalsRowCellStyle="Total"/>
    <tableColumn id="4" xr3:uid="{D403C224-D9F4-4C2E-95CB-3427D93363AE}" name="Difference" totalsRowFunction="sum" dataDxfId="1268" totalsRowDxfId="292" dataCellStyle="60% - Accent4" totalsRowCellStyle="Total">
      <calculatedColumnFormula>Transportation3042667890[[#This Row],[Projected 
Cost]]-Transportation3042667890[[#This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7D76ABBE-B2DF-40A5-BF0B-D3C3F4DD4FF5}" name="Insurance3143677991" displayName="Insurance3143677991" ref="B45:E50" totalsRowCount="1" headerRowDxfId="1267" dataDxfId="1265" totalsRowDxfId="1263" headerRowBorderDxfId="1266" tableBorderDxfId="1264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4E8F91CB-CE6B-400F-B7AF-BEFDCE9D8C8C}" name="-" totalsRowLabel="Subtotal" dataDxfId="1262" totalsRowDxfId="299" dataCellStyle="60% - Accent4" totalsRowCellStyle="Total"/>
    <tableColumn id="2" xr3:uid="{769EA759-D9BE-471D-B58B-51CE94EE37D5}" name="Projected _x000a_Cost" totalsRowFunction="sum" dataDxfId="1261" totalsRowDxfId="298" dataCellStyle="20% - Accent4" totalsRowCellStyle="Total"/>
    <tableColumn id="3" xr3:uid="{918372D2-96A3-4B0B-8A25-3A4C91CB0ACA}" name="Actual _x000a_Cost" totalsRowFunction="sum" dataDxfId="1260" totalsRowDxfId="297" dataCellStyle="40% - Accent4" totalsRowCellStyle="Total"/>
    <tableColumn id="4" xr3:uid="{EE6A0CC2-354E-4000-A213-3CE9ED786D38}" name="Difference" totalsRowFunction="sum" dataDxfId="1259" totalsRowDxfId="296" dataCellStyle="60% - Accent4" totalsRowCellStyle="Total">
      <calculatedColumnFormula>Insurance3143677991[[#This Row],[Projected 
Cost]]-Insurance3143677991[[#This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DA3EE9EB-1359-4D40-A2BC-F2DF3D7FED06}" name="Savings3244688092" displayName="Savings3244688092" ref="G45:J49" totalsRowCount="1" headerRowDxfId="1258" dataDxfId="1256" totalsRowDxfId="1255" headerRowBorderDxfId="1257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92B7D958-1605-48C5-AE6B-09E62A88C6D0}" name="-" totalsRowLabel="Subtotal" dataDxfId="1254" totalsRowDxfId="1253" dataCellStyle="60% - Accent6" totalsRowCellStyle="Total"/>
    <tableColumn id="2" xr3:uid="{E4634324-DEF6-4971-825F-F69D6F5DB219}" name="Projected _x000a_Cost" totalsRowFunction="sum" dataDxfId="1252" totalsRowDxfId="1251" dataCellStyle="20% - Accent6" totalsRowCellStyle="Total"/>
    <tableColumn id="3" xr3:uid="{24FBAFB0-5078-4CB6-AE88-1F9DC18781E7}" name="Actual _x000a_Cost" totalsRowFunction="sum" dataDxfId="1250" totalsRowDxfId="1249" dataCellStyle="40% - Accent6" totalsRowCellStyle="Total"/>
    <tableColumn id="4" xr3:uid="{BD934C69-ECFA-4126-84C9-449D10728C09}" name="Difference" totalsRowFunction="sum" dataDxfId="1248" totalsRowDxfId="1247" dataCellStyle="60% - Accent6" totalsRowCellStyle="Total">
      <calculatedColumnFormula>Savings3244688092[[#This Row],[Projected 
Cost]]-Savings3244688092[[#This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433D1164-669D-4362-9BFC-802ED689CE8D}" name="Food3345698193" displayName="Food3345698193" ref="B53:E57" totalsRowCount="1" headerRowDxfId="1246" dataDxfId="1244" totalsRowDxfId="1242" headerRowBorderDxfId="1245" tableBorderDxfId="1243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9CF04CC5-B545-4E22-9AC5-61CC02C8C678}" name="-" totalsRowLabel="Subtotal" dataDxfId="1241" totalsRowDxfId="307" dataCellStyle="60% - Accent4" totalsRowCellStyle="Total"/>
    <tableColumn id="2" xr3:uid="{00D1099B-74B3-4725-A1D4-65377D3AA8B4}" name="Projected _x000a_Cost" totalsRowFunction="sum" dataDxfId="1240" totalsRowDxfId="306" dataCellStyle="20% - Accent4" totalsRowCellStyle="Total"/>
    <tableColumn id="3" xr3:uid="{C0858661-A498-467D-9031-74D3E4E38DE2}" name="Actual _x000a_Cost" totalsRowFunction="sum" dataDxfId="1239" totalsRowDxfId="305" dataCellStyle="40% - Accent4" totalsRowCellStyle="Total"/>
    <tableColumn id="4" xr3:uid="{BE8CA78E-077F-4EBD-8099-90D840829E35}" name="Difference" totalsRowFunction="sum" dataDxfId="1238" totalsRowDxfId="304" dataCellStyle="60% - Accent4" totalsRowCellStyle="Total">
      <calculatedColumnFormula>Food3345698193[[#This Row],[Projected 
Cost]]-Food3345698193[[#This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85BE3229-306D-4371-8AAE-07D7853A2D9B}" name="Gifts3446708294" displayName="Gifts3446708294" ref="G53:J57" totalsRowCount="1" headerRowDxfId="1237" dataDxfId="1235" totalsRowDxfId="1234" headerRowBorderDxfId="1236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669907F6-7FA1-4999-9F8C-CA5E26A85D98}" name="-" totalsRowLabel="Subtotal" dataDxfId="1233" totalsRowDxfId="303" dataCellStyle="60% - Accent4" totalsRowCellStyle="Total"/>
    <tableColumn id="2" xr3:uid="{7307DE46-C93B-408F-A363-38DEFB76E7B6}" name="Projected _x000a_Cost" totalsRowFunction="sum" dataDxfId="1232" totalsRowDxfId="302" dataCellStyle="20% - Accent4" totalsRowCellStyle="Total"/>
    <tableColumn id="3" xr3:uid="{D70AA91E-3A02-4679-9797-B2D7B72B5B56}" name="Actual _x000a_Cost" totalsRowFunction="sum" dataDxfId="1231" totalsRowDxfId="301" dataCellStyle="40% - Accent4" totalsRowCellStyle="Total"/>
    <tableColumn id="4" xr3:uid="{120A361D-B2E4-48ED-92D3-C670758E3F20}" name="Difference" totalsRowFunction="sum" dataDxfId="1230" totalsRowDxfId="300" dataCellStyle="60% - Accent4" totalsRowCellStyle="Total">
      <calculatedColumnFormula>Gifts3446708294[[#This Row],[Projected 
Cost]]-Gifts3446708294[[#This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ACD400FC-C2C3-4C27-B107-25104B22B6A7}" name="Pets3547718395" displayName="Pets3547718395" ref="B60:E66" totalsRowCount="1" headerRowDxfId="1229" dataDxfId="1227" totalsRowDxfId="1226" headerRowBorderDxfId="1228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88F94A00-302A-49A2-8C78-E94B739445F5}" name="-" totalsRowLabel="Subtotal" dataDxfId="1225" totalsRowDxfId="311" dataCellStyle="60% - Accent4" totalsRowCellStyle="Total"/>
    <tableColumn id="2" xr3:uid="{3854040D-04BD-471C-8ED4-006B5D194F49}" name="Projected _x000a_Cost" totalsRowFunction="sum" dataDxfId="1224" totalsRowDxfId="310" dataCellStyle="20% - Accent4" totalsRowCellStyle="Total"/>
    <tableColumn id="3" xr3:uid="{49A51EBC-0C27-4185-A611-4C74D469A4DF}" name="Actual _x000a_Cost" totalsRowFunction="sum" dataDxfId="1223" totalsRowDxfId="309" dataCellStyle="40% - Accent4" totalsRowCellStyle="Total"/>
    <tableColumn id="4" xr3:uid="{16C71840-2FF9-4174-B5A7-FD3B92E3DCB5}" name="Difference" totalsRowFunction="sum" dataDxfId="1222" totalsRowDxfId="308" dataCellStyle="60% - Accent4" totalsRowCellStyle="Total">
      <calculatedColumnFormula>Pets3547718395[[#This Row],[Projected 
Cost]]-Pets3547718395[[#This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BBF606B6-D6D5-431F-B940-E89D322DDCF8}" name="Food3345698193105117129141153" displayName="Food3345698193105117129141153" ref="B53:E57" totalsRowCount="1" headerRowDxfId="1781" dataDxfId="1779" totalsRowDxfId="1777" headerRowBorderDxfId="1780" tableBorderDxfId="1778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2ABF43E3-541B-4AEC-97B8-6D542D40C855}" name="-" totalsRowLabel="Subtotal" dataDxfId="1776" totalsRowDxfId="1775" dataCellStyle="60% - Accent4"/>
    <tableColumn id="2" xr3:uid="{67F0A48A-15D0-4FD8-AFEE-646A54CA782D}" name="Projected _x000a_Cost" totalsRowFunction="sum" dataDxfId="1774" totalsRowDxfId="1773" dataCellStyle="20% - Accent4">
      <calculatedColumnFormula>Food3345698193105117129141[[#This Row],[Projected 
Cost]]+Food3345698193105117129[[#This Row],[Projected 
Cost]]+Food3345698193105117[[#This Row],[Projected 
Cost]]+Food3345698193105[[#This Row],[Projected 
Cost]]+Food3345698193[[#This Row],[Projected 
Cost]]+Food33456981[[#This Row],[Projected 
Cost]]+Food334569[[#This Row],[Projected 
Cost]]+Food334557[[#This Row],[Projected 
Cost]]+Food3345[[#This Row],[Projected 
Cost]]+Food33[[#This Row],[Projected 
Cost]]+Food21[[#This Row],[Projected 
Cost]]+Food[[#This Row],[Projected 
Cost]]</calculatedColumnFormula>
    </tableColumn>
    <tableColumn id="3" xr3:uid="{AEDF0096-EA25-4996-B4EB-9702A4604B54}" name="Actual _x000a_Cost" totalsRowFunction="sum" dataDxfId="1772" totalsRowDxfId="1771" dataCellStyle="40% - Accent4">
      <calculatedColumnFormula>Food3345698193105117129141[[#This Row],[Actual 
Cost]]+Food3345698193105117129[[#This Row],[Actual 
Cost]]+Food3345698193105117[[#This Row],[Actual 
Cost]]+Food3345698193105[[#This Row],[Actual 
Cost]]+Food3345698193[[#This Row],[Actual 
Cost]]+Food33456981[[#This Row],[Actual 
Cost]]+Food334569[[#This Row],[Actual 
Cost]]+Food334557[[#This Row],[Actual 
Cost]]+Food3345[[#This Row],[Actual 
Cost]]+Food33[[#This Row],[Actual 
Cost]]+Food21[[#This Row],[Actual 
Cost]]+Food[[#This Row],[Actual 
Cost]]</calculatedColumnFormula>
    </tableColumn>
    <tableColumn id="4" xr3:uid="{5DDD48BC-2861-4DC5-B8F7-597434E34443}" name="Difference" totalsRowFunction="sum" dataDxfId="1770" totalsRowDxfId="1769" dataCellStyle="60% - Accent4">
      <calculatedColumnFormula>Food3345698193105117129141153[[#This Row],[Projected 
Cost]]-Food3345698193105117129141153[[#This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BCD0E5A-7C62-4A16-BFFB-DD70DF8D5D73}" name="Legal3648728496" displayName="Legal3648728496" ref="G60:J65" totalsRowCount="1" headerRowDxfId="1221" dataDxfId="1219" totalsRowDxfId="1218" headerRowBorderDxfId="1220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8B0BCDCB-52A5-43B1-A77E-1D11A3680B2E}" name="-" totalsRowLabel="Subtotal" dataDxfId="1217" totalsRowDxfId="315" dataCellStyle="60% - Accent4" totalsRowCellStyle="Total"/>
    <tableColumn id="2" xr3:uid="{83E37A91-16F0-47B6-A33F-E77471928AEC}" name="Projected _x000a_Cost" totalsRowFunction="sum" dataDxfId="1216" totalsRowDxfId="314" dataCellStyle="20% - Accent4" totalsRowCellStyle="Total"/>
    <tableColumn id="3" xr3:uid="{E3F2A16E-AE69-468F-924A-513FD7023A60}" name="Actual _x000a_Cost" totalsRowFunction="sum" dataDxfId="1215" totalsRowDxfId="313" dataCellStyle="40% - Accent4" totalsRowCellStyle="Total"/>
    <tableColumn id="4" xr3:uid="{6B7B7629-9EFB-456C-88DF-B8AABDA50647}" name="Difference" totalsRowFunction="sum" dataDxfId="1214" totalsRowDxfId="312" dataCellStyle="60% - Accent4" totalsRowCellStyle="Total">
      <calculatedColumnFormula>Legal3648728496[[#This Row],[Projected 
Cost]]-Legal3648728496[[#This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B5E77916-909D-48AE-99C3-3DCA1EC36380}" name="PersonalCare3749738597" displayName="PersonalCare3749738597" ref="B69:E77" totalsRowCount="1" headerRowDxfId="1213" dataDxfId="1211" totalsRowDxfId="1210" headerRowBorderDxfId="1212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B38C66E6-171D-4DD3-973D-9C3F463CDF99}" name="-" totalsRowLabel="Subtotal" dataDxfId="1209" totalsRowDxfId="319" dataCellStyle="60% - Accent4" totalsRowCellStyle="Total"/>
    <tableColumn id="2" xr3:uid="{17C89318-F41B-4F7A-AD66-2C6B009B68C9}" name="Projected _x000a_Cost" totalsRowFunction="sum" dataDxfId="1208" totalsRowDxfId="318" dataCellStyle="20% - Accent4" totalsRowCellStyle="Total"/>
    <tableColumn id="3" xr3:uid="{C304ACBD-3E21-4B56-AFBA-54245D3AC4E6}" name="Actual _x000a_Cost" totalsRowFunction="sum" dataDxfId="1207" totalsRowDxfId="317" dataCellStyle="40% - Accent4" totalsRowCellStyle="Total"/>
    <tableColumn id="4" xr3:uid="{6F2B7650-A7FE-48D0-886F-48A0522EEC73}" name="Difference" totalsRowFunction="sum" dataDxfId="1206" totalsRowDxfId="316" dataCellStyle="60% - Accent4" totalsRowCellStyle="Total">
      <calculatedColumnFormula>PersonalCare3749738597[[#This Row],[Projected 
Cost]]-PersonalCare3749738597[[#This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A2265F43-1F47-41F5-96AF-55AF59D81956}" name="Table133850748698" displayName="Table133850748698" ref="B3:C9" totalsRowShown="0" headerRowDxfId="1205" dataDxfId="1204" tableBorderDxfId="1203" headerRowCellStyle="40% - Accent6" dataCellStyle="40% - Accent6">
  <autoFilter ref="B3:C9" xr:uid="{684E4A77-11D4-4D20-B209-12B12AB09032}"/>
  <tableColumns count="2">
    <tableColumn id="1" xr3:uid="{06F4BD02-1B64-468A-B43F-D8C18C8A84B3}" name="Projected Monthly Income" dataDxfId="1202" dataCellStyle="40% - Accent6"/>
    <tableColumn id="2" xr3:uid="{0D5CA805-8B3A-4973-A160-69B973EFD4F7}" name="Amount" dataDxfId="1201" dataCellStyle="40% - Accent6"/>
  </tableColumns>
  <tableStyleInfo name="TableStyleMedium7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75DE5282-654C-40FB-8204-153080836AD8}" name="Housing27396375" displayName="Housing27396375" ref="B20:E31" totalsRowCount="1" headerRowDxfId="1200" dataDxfId="1198" totalsRowDxfId="1196" headerRowBorderDxfId="1199" tableBorderDxfId="1197" headerRowCellStyle="60% - Accent4" dataCellStyle="60% - Accent4" totalsRowCellStyle="Total">
  <tableColumns count="4">
    <tableColumn id="1" xr3:uid="{B745EC99-BCED-4CF2-802B-E571ED1E34E0}" name="-" totalsRowLabel="Subtotal" dataDxfId="1195" totalsRowDxfId="251" dataCellStyle="60% - Accent4" totalsRowCellStyle="Total"/>
    <tableColumn id="2" xr3:uid="{DC41C949-1E81-4011-9EFB-83BD8F00F20A}" name="Projected_x000a_Cost" totalsRowFunction="sum" dataDxfId="1194" totalsRowDxfId="250" dataCellStyle="20% - Accent4" totalsRowCellStyle="Total"/>
    <tableColumn id="3" xr3:uid="{6FDB9CFB-EB56-42E6-BCF8-CA91BC67631E}" name="Actual _x000a_Cost" totalsRowFunction="sum" dataDxfId="1193" totalsRowDxfId="249" dataCellStyle="40% - Accent4" totalsRowCellStyle="Total"/>
    <tableColumn id="4" xr3:uid="{2D1563DE-FE79-4856-B419-12422DAC74F6}" name="Difference" totalsRowFunction="sum" dataDxfId="1192" totalsRowDxfId="248" dataCellStyle="60% - Accent4" totalsRowCellStyle="Total">
      <calculatedColumnFormula>Housing27396375[[#This Row],[Projected
Cost]]-Housing27396375[[#This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D18EF4D-5CA5-48F7-914E-123DE63A3F34}" name="Entertainment28406476" displayName="Entertainment28406476" ref="G20:J30" totalsRowCount="1" headerRowDxfId="1191" dataDxfId="1189" totalsRowDxfId="1187" headerRowBorderDxfId="1190" tableBorderDxfId="1188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9B2E8DA3-3E47-4388-A745-7369CA6AC3C5}" name="-" totalsRowLabel="Subtotal" dataDxfId="1186" totalsRowDxfId="243" dataCellStyle="60% - Accent4" totalsRowCellStyle="Total"/>
    <tableColumn id="2" xr3:uid="{1360A3CB-8BE7-4E12-89F3-EBD041BCC42C}" name="Projected _x000a_Cost" totalsRowFunction="sum" dataDxfId="1185" totalsRowDxfId="242" dataCellStyle="20% - Accent4" totalsRowCellStyle="Total"/>
    <tableColumn id="3" xr3:uid="{760D919B-37D4-4B28-A677-C45F96E0ACF3}" name="Actual _x000a_Cost" totalsRowFunction="sum" dataDxfId="1184" totalsRowDxfId="241" dataCellStyle="40% - Accent4" totalsRowCellStyle="Total"/>
    <tableColumn id="4" xr3:uid="{40AF12E1-C433-435B-A7FA-563C908A47F9}" name="Difference" totalsRowFunction="sum" dataDxfId="1183" totalsRowDxfId="240" dataCellStyle="60% - Accent4" totalsRowCellStyle="Total">
      <calculatedColumnFormula>Entertainment28406476[[#This Row],[Projected 
Cost]]-Entertainment28406476[[#This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12EF71AE-5600-4562-98AB-33DFBE229AB4}" name="Loans29416577" displayName="Loans29416577" ref="G34:J41" totalsRowCount="1" headerRowDxfId="1182" dataDxfId="1180" totalsRowDxfId="1178" headerRowBorderDxfId="1181" tableBorderDxfId="1179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5F15A263-A6B6-4948-8F41-600C3F7A7E50}" name="-" totalsRowLabel="Subtotal" dataDxfId="1177" totalsRowDxfId="247" dataCellStyle="60% - Accent4" totalsRowCellStyle="Total"/>
    <tableColumn id="2" xr3:uid="{7871183E-938A-432F-AB7B-24E01A4BEBE7}" name="Projected _x000a_Cost" totalsRowFunction="sum" dataDxfId="1176" totalsRowDxfId="246" dataCellStyle="20% - Accent4" totalsRowCellStyle="Total"/>
    <tableColumn id="3" xr3:uid="{97C178BF-7A86-468C-8185-DDD04BEE0945}" name="Actual _x000a_Cost" totalsRowFunction="sum" dataDxfId="1175" totalsRowDxfId="245" dataCellStyle="40% - Accent4" totalsRowCellStyle="Total"/>
    <tableColumn id="4" xr3:uid="{0B7869AB-710B-4B7B-8360-3828CC563880}" name="Difference" totalsRowFunction="sum" dataDxfId="1174" totalsRowDxfId="244" dataCellStyle="60% - Accent4" totalsRowCellStyle="Total">
      <calculatedColumnFormula>Loans29416577[[#This Row],[Projected 
Cost]]-Loans29416577[[#This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A6999106-8AE5-4146-BE00-3E2E6A6DA855}" name="Transportation30426678" displayName="Transportation30426678" ref="B34:E42" totalsRowCount="1" headerRowDxfId="1173" dataDxfId="1171" totalsRowDxfId="1169" headerRowBorderDxfId="1172" tableBorderDxfId="1170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83DBF86A-F979-40C4-AA7F-78623585A5F2}" name="-" totalsRowLabel="Subtotal" dataDxfId="483" totalsRowDxfId="255" dataCellStyle="60% - Accent4" totalsRowCellStyle="Total"/>
    <tableColumn id="2" xr3:uid="{6267F9BA-5FC6-4103-AD03-B2888880AB21}" name="Projected _x000a_Cost" totalsRowFunction="sum" dataDxfId="482" totalsRowDxfId="254" dataCellStyle="20% - Accent4" totalsRowCellStyle="Total"/>
    <tableColumn id="3" xr3:uid="{1A842432-6777-4D2F-966F-EB41CC119266}" name="Actual _x000a_Cost" totalsRowFunction="sum" dataDxfId="481" totalsRowDxfId="253" dataCellStyle="40% - Accent4" totalsRowCellStyle="Total"/>
    <tableColumn id="4" xr3:uid="{D2D8F8F1-AD4E-4B3A-A3C0-6AD5CD453929}" name="Difference" totalsRowFunction="sum" dataDxfId="480" totalsRowDxfId="252" dataCellStyle="60% - Accent4" totalsRowCellStyle="Total">
      <calculatedColumnFormula>Transportation30426678[[#This Row],[Projected 
Cost]]-Transportation30426678[[#This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CFDB7D57-33A4-40E4-B4AA-95FF0B1F2AC5}" name="Insurance31436779" displayName="Insurance31436779" ref="B45:E50" totalsRowCount="1" headerRowDxfId="1168" dataDxfId="1166" totalsRowDxfId="1164" headerRowBorderDxfId="1167" tableBorderDxfId="1165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E8557016-E599-442B-B551-377E3814FD80}" name="-" totalsRowLabel="Subtotal" dataDxfId="1163" totalsRowDxfId="259" dataCellStyle="60% - Accent4" totalsRowCellStyle="Total"/>
    <tableColumn id="2" xr3:uid="{B6C29999-5B2F-48E2-967B-A555B2E86E44}" name="Projected _x000a_Cost" totalsRowFunction="sum" dataDxfId="1162" totalsRowDxfId="258" dataCellStyle="20% - Accent4" totalsRowCellStyle="Total"/>
    <tableColumn id="3" xr3:uid="{53A17A3B-DC9B-4728-8D49-BDAC73BE070C}" name="Actual _x000a_Cost" totalsRowFunction="sum" dataDxfId="1161" totalsRowDxfId="257" dataCellStyle="40% - Accent4" totalsRowCellStyle="Total"/>
    <tableColumn id="4" xr3:uid="{B3C57AFA-72DF-451C-9857-F7444E1080A9}" name="Difference" totalsRowFunction="sum" dataDxfId="1160" totalsRowDxfId="256" dataCellStyle="60% - Accent4" totalsRowCellStyle="Total">
      <calculatedColumnFormula>Insurance31436779[[#This Row],[Projected 
Cost]]-Insurance31436779[[#This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BE3B4897-9507-411B-A693-2C32A90E7F2B}" name="Savings32446880" displayName="Savings32446880" ref="G45:J49" totalsRowCount="1" headerRowDxfId="1159" dataDxfId="1157" totalsRowDxfId="1156" headerRowBorderDxfId="1158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1A60FDE0-F44A-4587-9610-EC566D1C9E0D}" name="-" totalsRowLabel="Subtotal" dataDxfId="1155" totalsRowDxfId="1154" dataCellStyle="60% - Accent6" totalsRowCellStyle="Total"/>
    <tableColumn id="2" xr3:uid="{40A13B42-242D-4E47-B108-084566EB050E}" name="Projected _x000a_Cost" totalsRowFunction="sum" dataDxfId="1153" totalsRowDxfId="1152" dataCellStyle="20% - Accent6" totalsRowCellStyle="Total"/>
    <tableColumn id="3" xr3:uid="{B2B23BA0-165C-4C95-9B8F-F584DF7FCD4C}" name="Actual _x000a_Cost" totalsRowFunction="sum" dataDxfId="1151" totalsRowDxfId="1150" dataCellStyle="40% - Accent6" totalsRowCellStyle="Total"/>
    <tableColumn id="4" xr3:uid="{97E68E59-D1A3-4225-81CA-B4BF70C84B20}" name="Difference" totalsRowFunction="sum" dataDxfId="1149" totalsRowDxfId="1148" dataCellStyle="60% - Accent6" totalsRowCellStyle="Total">
      <calculatedColumnFormula>Savings32446880[[#This Row],[Projected 
Cost]]-Savings32446880[[#This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2602CA29-C9DB-4671-9451-6021BE8A3D89}" name="Food33456981" displayName="Food33456981" ref="B53:E57" totalsRowCount="1" headerRowDxfId="1147" dataDxfId="1145" totalsRowDxfId="1143" headerRowBorderDxfId="1146" tableBorderDxfId="1144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C009659A-C9C0-4191-BA42-AA9AAD011C8B}" name="-" totalsRowLabel="Subtotal" dataDxfId="1142" totalsRowDxfId="271" dataCellStyle="60% - Accent4" totalsRowCellStyle="Total"/>
    <tableColumn id="2" xr3:uid="{77B4297B-305D-46FD-9DFF-B19898B64916}" name="Projected _x000a_Cost" totalsRowFunction="sum" dataDxfId="1141" totalsRowDxfId="270" dataCellStyle="20% - Accent4" totalsRowCellStyle="Total"/>
    <tableColumn id="3" xr3:uid="{B9ADB38F-57D0-4652-8FBB-C489245E7E34}" name="Actual _x000a_Cost" totalsRowFunction="sum" dataDxfId="1140" totalsRowDxfId="269" dataCellStyle="40% - Accent4" totalsRowCellStyle="Total"/>
    <tableColumn id="4" xr3:uid="{F93990B9-E659-4486-B504-0F6F9FA0332A}" name="Difference" totalsRowFunction="sum" dataDxfId="1139" totalsRowDxfId="268" dataCellStyle="60% - Accent4" totalsRowCellStyle="Total">
      <calculatedColumnFormula>Food33456981[[#This Row],[Projected 
Cost]]-Food33456981[[#This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9846AAF5-32D5-47C1-916B-C38D18A37EA6}" name="Gifts3446708294106118130142154" displayName="Gifts3446708294106118130142154" ref="G53:J57" totalsRowCount="1" headerRowDxfId="1768" dataDxfId="1766" totalsRowDxfId="1765" headerRowBorderDxfId="1767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EC085564-8C54-4F06-81DF-F3AFE90C944A}" name="-" totalsRowLabel="Subtotal" dataDxfId="1764" totalsRowDxfId="1763" dataCellStyle="60% - Accent4"/>
    <tableColumn id="2" xr3:uid="{C2D71111-2B9B-46A8-9BE8-85585EEC90C8}" name="Projected _x000a_Cost" totalsRowFunction="sum" dataDxfId="1762" totalsRowDxfId="1761" dataCellStyle="20% - Accent4">
      <calculatedColumnFormula>Gifts3446708294106118130142[[#This Row],[Projected 
Cost]]+Gifts3446708294106118130[[#This Row],[Projected 
Cost]]+Gifts3446708294106118[[#This Row],[Projected 
Cost]]+Gifts3446708294106[[#This Row],[Projected 
Cost]]+Gifts3446708294[[#This Row],[Projected 
Cost]]+Gifts34467082[[#This Row],[Projected 
Cost]]+Gifts344670[[#This Row],[Projected 
Cost]]+Gifts344658[[#This Row],[Projected 
Cost]]+Gifts3446[[#This Row],[Projected 
Cost]]+Gifts34[[#This Row],[Projected 
Cost]]+Gifts22[[#This Row],[Projected 
Cost]]+Gifts[[#This Row],[Projected 
Cost]]</calculatedColumnFormula>
    </tableColumn>
    <tableColumn id="3" xr3:uid="{55C21D35-6097-45AA-8575-D60F3A6F0CC4}" name="Actual _x000a_Cost" totalsRowFunction="sum" dataDxfId="1760" totalsRowDxfId="1759" dataCellStyle="40% - Accent4">
      <calculatedColumnFormula>Gifts3446708294106118130142[[#This Row],[Actual 
Cost]]+Gifts3446708294106118130[[#This Row],[Actual 
Cost]]+Gifts3446708294106118[[#This Row],[Actual 
Cost]]+Gifts3446708294106[[#This Row],[Actual 
Cost]]+Gifts3446708294[[#This Row],[Actual 
Cost]]+Gifts34467082[[#This Row],[Actual 
Cost]]+Gifts344670[[#This Row],[Actual 
Cost]]+Gifts344658[[#This Row],[Actual 
Cost]]+Gifts3446[[#This Row],[Actual 
Cost]]+Gifts34[[#This Row],[Actual 
Cost]]+Gifts22[[#This Row],[Actual 
Cost]]+Gifts[[#This Row],[Actual 
Cost]]</calculatedColumnFormula>
    </tableColumn>
    <tableColumn id="4" xr3:uid="{8F1DB972-E50B-4F82-B55A-632E788C4172}" name="Difference" totalsRowFunction="sum" dataDxfId="1758" totalsRowDxfId="1757" dataCellStyle="60% - Accent4">
      <calculatedColumnFormula>Gifts3446708294106118130142154[[#This Row],[Projected 
Cost]]-Gifts3446708294106118130142154[[#This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F42AC43D-412C-4EDF-8768-F78E7CBCF689}" name="Gifts34467082" displayName="Gifts34467082" ref="G53:J57" totalsRowCount="1" headerRowDxfId="1138" dataDxfId="1136" totalsRowDxfId="1135" headerRowBorderDxfId="1137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F4E1A94F-1C17-4557-BB53-3681CB1D64F4}" name="-" totalsRowLabel="Subtotal" dataDxfId="1134" totalsRowDxfId="267" dataCellStyle="60% - Accent4" totalsRowCellStyle="Total"/>
    <tableColumn id="2" xr3:uid="{244DFC9E-0BC7-48EE-8635-E664A88FD0F9}" name="Projected _x000a_Cost" totalsRowFunction="sum" dataDxfId="1133" totalsRowDxfId="266" dataCellStyle="20% - Accent4" totalsRowCellStyle="Total"/>
    <tableColumn id="3" xr3:uid="{D70E0F00-6A1C-4FF7-993C-80CF63F95DD3}" name="Actual _x000a_Cost" totalsRowFunction="sum" dataDxfId="1132" totalsRowDxfId="265" dataCellStyle="40% - Accent4" totalsRowCellStyle="Total"/>
    <tableColumn id="4" xr3:uid="{980A639F-914A-4535-8BB1-39A3FABD5125}" name="Difference" totalsRowFunction="sum" dataDxfId="1131" totalsRowDxfId="264" dataCellStyle="60% - Accent4" totalsRowCellStyle="Total">
      <calculatedColumnFormula>Gifts34467082[[#This Row],[Projected 
Cost]]-Gifts34467082[[#This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C3AA60C7-0A25-42C0-BC94-CB5EAF9C68FA}" name="Pets35477183" displayName="Pets35477183" ref="B60:E66" totalsRowCount="1" headerRowDxfId="1130" dataDxfId="1128" totalsRowDxfId="1127" headerRowBorderDxfId="1129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B81486F6-3BAD-4E69-B5CF-06409813EF62}" name="-" totalsRowLabel="Subtotal" dataDxfId="1126" totalsRowDxfId="275" dataCellStyle="60% - Accent4" totalsRowCellStyle="Total"/>
    <tableColumn id="2" xr3:uid="{193FE452-C3DC-47F9-9AA5-1CDB76F24040}" name="Projected _x000a_Cost" totalsRowFunction="sum" dataDxfId="1125" totalsRowDxfId="274" dataCellStyle="20% - Accent4" totalsRowCellStyle="Total"/>
    <tableColumn id="3" xr3:uid="{BD9A2E7C-6FE9-4F33-BCE5-AA1A76CB0807}" name="Actual _x000a_Cost" totalsRowFunction="sum" dataDxfId="1124" totalsRowDxfId="273" dataCellStyle="40% - Accent4" totalsRowCellStyle="Total"/>
    <tableColumn id="4" xr3:uid="{C4F08A4F-3D90-47DD-89F9-51C35B235E7F}" name="Difference" totalsRowFunction="sum" dataDxfId="1123" totalsRowDxfId="272" dataCellStyle="60% - Accent4" totalsRowCellStyle="Total">
      <calculatedColumnFormula>Pets35477183[[#This Row],[Projected 
Cost]]-Pets35477183[[#This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1F3DDEC8-3B4A-40CF-8C8E-B7BC3121C5B6}" name="Legal36487284" displayName="Legal36487284" ref="G60:J65" totalsRowCount="1" headerRowDxfId="1122" dataDxfId="1120" totalsRowDxfId="1119" headerRowBorderDxfId="1121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63936B9D-A0C7-42EA-BB43-6A3D88E108D9}" name="-" totalsRowLabel="Subtotal" dataDxfId="1118" totalsRowDxfId="263" dataCellStyle="60% - Accent4" totalsRowCellStyle="Total"/>
    <tableColumn id="2" xr3:uid="{1DEBDCD5-C981-4BA3-BAC0-15D5F1296D6A}" name="Projected _x000a_Cost" totalsRowFunction="sum" dataDxfId="1117" totalsRowDxfId="262" dataCellStyle="20% - Accent4" totalsRowCellStyle="Total"/>
    <tableColumn id="3" xr3:uid="{11359552-859D-4959-B76F-4CC97FF6B0F0}" name="Actual _x000a_Cost" totalsRowFunction="sum" dataDxfId="1116" totalsRowDxfId="261" dataCellStyle="40% - Accent4" totalsRowCellStyle="Total"/>
    <tableColumn id="4" xr3:uid="{9E423E2B-ED77-4E63-AEC2-E1C8EEC0AC11}" name="Difference" totalsRowFunction="sum" dataDxfId="1115" totalsRowDxfId="260" dataCellStyle="60% - Accent4" totalsRowCellStyle="Total">
      <calculatedColumnFormula>Legal36487284[[#This Row],[Projected 
Cost]]-Legal36487284[[#This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30E6516-181E-4C22-BA17-F9567B49AAE8}" name="PersonalCare37497385" displayName="PersonalCare37497385" ref="B69:E77" totalsRowCount="1" headerRowDxfId="1114" dataDxfId="1112" totalsRowDxfId="1111" headerRowBorderDxfId="1113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81B59B92-6E92-4D7C-AF94-C0C85EB30573}" name="-" totalsRowLabel="Subtotal" dataDxfId="1110" totalsRowDxfId="279" dataCellStyle="60% - Accent4" totalsRowCellStyle="Total"/>
    <tableColumn id="2" xr3:uid="{CD7AA4E4-9ADC-4131-B1A1-7DC25E7F9DF2}" name="Projected _x000a_Cost" totalsRowFunction="sum" dataDxfId="1109" totalsRowDxfId="278" dataCellStyle="20% - Accent4" totalsRowCellStyle="Total"/>
    <tableColumn id="3" xr3:uid="{F70265A1-8186-4D8B-A5EE-6B8287F59713}" name="Actual _x000a_Cost" totalsRowFunction="sum" dataDxfId="1108" totalsRowDxfId="277" dataCellStyle="40% - Accent4" totalsRowCellStyle="Total"/>
    <tableColumn id="4" xr3:uid="{A6A0BF25-83EA-4A0B-A1E5-82A7C851D185}" name="Difference" totalsRowFunction="sum" dataDxfId="1107" totalsRowDxfId="276" dataCellStyle="60% - Accent4" totalsRowCellStyle="Total">
      <calculatedColumnFormula>PersonalCare37497385[[#This Row],[Projected 
Cost]]-PersonalCare37497385[[#This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A980AF88-FED5-40F7-B3B6-8F920163F501}" name="Table1338507486" displayName="Table1338507486" ref="B3:C9" totalsRowShown="0" headerRowDxfId="1106" dataDxfId="1105" tableBorderDxfId="1104" headerRowCellStyle="40% - Accent6" dataCellStyle="40% - Accent6">
  <autoFilter ref="B3:C9" xr:uid="{684E4A77-11D4-4D20-B209-12B12AB09032}"/>
  <tableColumns count="2">
    <tableColumn id="1" xr3:uid="{16D68B0B-736E-4735-86E4-1B6E425CA75D}" name="Projected Monthly Income" dataDxfId="1103" dataCellStyle="40% - Accent6"/>
    <tableColumn id="2" xr3:uid="{977FB046-1268-4C61-8540-EA21790E05F9}" name="Amount" dataDxfId="1102" dataCellStyle="40% - Accent6"/>
  </tableColumns>
  <tableStyleInfo name="TableStyleMedium7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E0204EB-5A14-4914-8CA1-D1BFD6E425FD}" name="Housing273963" displayName="Housing273963" ref="B20:E31" totalsRowCount="1" headerRowDxfId="1101" dataDxfId="1099" totalsRowDxfId="1097" headerRowBorderDxfId="1100" tableBorderDxfId="1098" headerRowCellStyle="60% - Accent4" dataCellStyle="60% - Accent4" totalsRowCellStyle="Total">
  <tableColumns count="4">
    <tableColumn id="1" xr3:uid="{1CEDDA6E-4E21-4202-B339-42880A09DC33}" name="-" totalsRowLabel="Subtotal" dataDxfId="1096" totalsRowDxfId="211" dataCellStyle="60% - Accent4" totalsRowCellStyle="Total"/>
    <tableColumn id="2" xr3:uid="{BF7B0CA6-4229-4C48-999F-91EF021A1659}" name="Projected_x000a_Cost" totalsRowFunction="sum" dataDxfId="1095" totalsRowDxfId="210" dataCellStyle="20% - Accent4" totalsRowCellStyle="Total"/>
    <tableColumn id="3" xr3:uid="{AEBD322E-6B3A-4471-B4E8-64BEF1BFBF5F}" name="Actual _x000a_Cost" totalsRowFunction="sum" dataDxfId="1094" totalsRowDxfId="209" dataCellStyle="40% - Accent4" totalsRowCellStyle="Total"/>
    <tableColumn id="4" xr3:uid="{1D2BE32C-6431-4A4A-AA78-1652C653C9ED}" name="Difference" totalsRowFunction="sum" dataDxfId="1093" totalsRowDxfId="208" dataCellStyle="60% - Accent4" totalsRowCellStyle="Total">
      <calculatedColumnFormula>Housing273963[[#This Row],[Projected
Cost]]-Housing273963[[#This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8385BC6-BF2F-4CED-8A75-F8F38F77A7DD}" name="Entertainment284064" displayName="Entertainment284064" ref="G20:J30" totalsRowCount="1" headerRowDxfId="1092" dataDxfId="1090" totalsRowDxfId="1088" headerRowBorderDxfId="1091" tableBorderDxfId="1089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C63CFD1A-1548-4714-9DCE-EF41E2DC7897}" name="-" totalsRowLabel="Subtotal" dataDxfId="1087" totalsRowDxfId="203" dataCellStyle="60% - Accent4" totalsRowCellStyle="Total"/>
    <tableColumn id="2" xr3:uid="{8D2CDA0B-8235-4455-B9B0-57E39DFB37F4}" name="Projected _x000a_Cost" totalsRowFunction="sum" dataDxfId="1086" totalsRowDxfId="202" dataCellStyle="20% - Accent4" totalsRowCellStyle="Total"/>
    <tableColumn id="3" xr3:uid="{BA1F3CE2-BEE7-484F-AB51-CC2D5486F48F}" name="Actual _x000a_Cost" totalsRowFunction="sum" dataDxfId="1085" totalsRowDxfId="201" dataCellStyle="40% - Accent4" totalsRowCellStyle="Total"/>
    <tableColumn id="4" xr3:uid="{DFDF2B74-1CA5-4FED-A5B4-16D63B985530}" name="Difference" totalsRowFunction="sum" dataDxfId="1084" totalsRowDxfId="200" dataCellStyle="60% - Accent4" totalsRowCellStyle="Total">
      <calculatedColumnFormula>Entertainment284064[[#This Row],[Projected 
Cost]]-Entertainment284064[[#This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FE14E39-BD58-4ADF-925A-335E4DB97280}" name="Loans294165" displayName="Loans294165" ref="G34:J41" totalsRowCount="1" headerRowDxfId="1083" dataDxfId="1081" totalsRowDxfId="1079" headerRowBorderDxfId="1082" tableBorderDxfId="1080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484468CF-B256-4BE6-9224-6CB5F94F292A}" name="-" totalsRowLabel="Subtotal" dataDxfId="1078" totalsRowDxfId="207" dataCellStyle="60% - Accent4" totalsRowCellStyle="Total"/>
    <tableColumn id="2" xr3:uid="{50001444-5A84-4A21-A2B8-D9678DD43A7A}" name="Projected _x000a_Cost" totalsRowFunction="sum" dataDxfId="1077" totalsRowDxfId="206" dataCellStyle="20% - Accent4" totalsRowCellStyle="Total"/>
    <tableColumn id="3" xr3:uid="{B5A9DA8F-F805-45DB-B019-C93A32A8B17D}" name="Actual _x000a_Cost" totalsRowFunction="sum" dataDxfId="1076" totalsRowDxfId="205" dataCellStyle="40% - Accent4" totalsRowCellStyle="Total"/>
    <tableColumn id="4" xr3:uid="{C391AFE4-0C96-4A2E-8D85-3EF02515679A}" name="Difference" totalsRowFunction="sum" dataDxfId="1075" totalsRowDxfId="204" dataCellStyle="60% - Accent4" totalsRowCellStyle="Total">
      <calculatedColumnFormula>Loans294165[[#This Row],[Projected 
Cost]]-Loans294165[[#This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7015E0B9-2720-420D-A94A-5DC60AD8DC13}" name="Transportation304266" displayName="Transportation304266" ref="B34:E42" totalsRowCount="1" headerRowDxfId="1074" dataDxfId="1072" totalsRowDxfId="1070" headerRowBorderDxfId="1073" tableBorderDxfId="1071" headerRowCellStyle="60% - Accent4" dataCellStyle="60% - Accent4" totalsRowCellStyle="Total">
  <autoFilter ref="B34:E4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9AC70936-A1DD-4135-AF92-4E720060BD1F}" name="-" totalsRowLabel="Subtotal" dataDxfId="1069" totalsRowDxfId="215" dataCellStyle="60% - Accent4" totalsRowCellStyle="Total"/>
    <tableColumn id="2" xr3:uid="{BCB2FD24-6D3D-498A-86F1-0A1519061125}" name="Projected _x000a_Cost" totalsRowFunction="sum" dataDxfId="1068" totalsRowDxfId="214" dataCellStyle="20% - Accent4" totalsRowCellStyle="Total"/>
    <tableColumn id="3" xr3:uid="{7F2BA609-B47D-4FB5-BAD8-E9943A4A5061}" name="Actual _x000a_Cost" totalsRowFunction="sum" dataDxfId="1067" totalsRowDxfId="213" dataCellStyle="40% - Accent4" totalsRowCellStyle="Total"/>
    <tableColumn id="4" xr3:uid="{6500522C-77B9-4514-B601-4E6B64563FB4}" name="Difference" totalsRowFunction="sum" dataDxfId="1066" totalsRowDxfId="212" dataCellStyle="60% - Accent4" totalsRowCellStyle="Total">
      <calculatedColumnFormula>Transportation304266[[#This Row],[Projected 
Cost]]-Transportation304266[[#This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502E9DBD-BAFC-491C-BA70-420BF6AA9D53}" name="Insurance314367" displayName="Insurance314367" ref="B45:E50" totalsRowCount="1" headerRowDxfId="1065" dataDxfId="1063" totalsRowDxfId="1061" headerRowBorderDxfId="1064" tableBorderDxfId="1062" headerRowCellStyle="60% - Accent4" dataCellStyle="60% - Accent4" totalsRowCellStyle="Total">
  <autoFilter ref="B45:E4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A6773CA5-1CC8-46BD-BAF3-ABB626DF4257}" name="-" totalsRowLabel="Subtotal" dataDxfId="1060" totalsRowDxfId="227" dataCellStyle="60% - Accent4" totalsRowCellStyle="Total"/>
    <tableColumn id="2" xr3:uid="{096A48BA-15CA-4DF6-B705-951AC2A9AC67}" name="Projected _x000a_Cost" totalsRowFunction="sum" dataDxfId="1059" totalsRowDxfId="226" dataCellStyle="20% - Accent4" totalsRowCellStyle="Total"/>
    <tableColumn id="3" xr3:uid="{787D1C95-9F89-4B89-B80D-047E810A38DF}" name="Actual _x000a_Cost" totalsRowFunction="sum" dataDxfId="1058" totalsRowDxfId="225" dataCellStyle="40% - Accent4" totalsRowCellStyle="Total"/>
    <tableColumn id="4" xr3:uid="{48B1D05C-6A25-4147-840C-AE17F650483A}" name="Difference" totalsRowFunction="sum" dataDxfId="1057" totalsRowDxfId="224" dataCellStyle="60% - Accent4" totalsRowCellStyle="Total">
      <calculatedColumnFormula>Insurance314367[[#This Row],[Projected 
Cost]]-Insurance314367[[#This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BF447E7D-9572-4844-BFB5-02298487935E}" name="Pets3547718395107119131143155" displayName="Pets3547718395107119131143155" ref="B60:E66" totalsRowCount="1" headerRowDxfId="1756" dataDxfId="1754" totalsRowDxfId="1753" headerRowBorderDxfId="1755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C658A4DA-3B31-4310-96D5-C779CFA945EB}" name="-" totalsRowLabel="Subtotal" dataDxfId="1752" totalsRowDxfId="1751" dataCellStyle="60% - Accent4"/>
    <tableColumn id="2" xr3:uid="{7B28FC5B-D25C-4203-ABA9-DDEECC9554A9}" name="Projected _x000a_Cost" totalsRowFunction="sum" dataDxfId="1750" totalsRowDxfId="1749" dataCellStyle="20% - Accent4">
      <calculatedColumnFormula>Pets3547718395107119131143[[#This Row],[Projected 
Cost]]+Pets3547718395107119131[[#This Row],[Projected 
Cost]]+Pets3547718395107119[[#This Row],[Projected 
Cost]]+Pets3547718395107[[#This Row],[Projected 
Cost]]+Pets3547718395[[#This Row],[Projected 
Cost]]+Pets35477183[[#This Row],[Projected 
Cost]]+Pets354771[[#This Row],[Projected 
Cost]]+Pets354759[[#This Row],[Projected 
Cost]]+Pets3547[[#This Row],[Projected 
Cost]]+Pets35[[#This Row],[Projected 
Cost]]+Pets23[[#This Row],[Projected 
Cost]]+Pets[[#This Row],[Projected 
Cost]]</calculatedColumnFormula>
    </tableColumn>
    <tableColumn id="3" xr3:uid="{2480FAFE-F570-4BCA-9D0F-204E6844D5C8}" name="Actual _x000a_Cost" totalsRowFunction="sum" dataDxfId="1748" totalsRowDxfId="1747" dataCellStyle="40% - Accent4">
      <calculatedColumnFormula>Pets3547718395107119131143[[#This Row],[Actual 
Cost]]+Pets3547718395107119131[[#This Row],[Actual 
Cost]]+Pets3547718395107119[[#This Row],[Actual 
Cost]]+Pets3547718395107[[#This Row],[Actual 
Cost]]+Pets3547718395[[#This Row],[Actual 
Cost]]+Pets35477183[[#This Row],[Actual 
Cost]]+Pets354771[[#This Row],[Actual 
Cost]]+Pets354759[[#This Row],[Actual 
Cost]]+Pets3547[[#This Row],[Actual 
Cost]]+Pets35[[#This Row],[Actual 
Cost]]+Pets23[[#This Row],[Actual 
Cost]]+Pets[[#This Row],[Actual 
Cost]]</calculatedColumnFormula>
    </tableColumn>
    <tableColumn id="4" xr3:uid="{1D41AAB5-697E-4E2A-BDC1-23DE2B443511}" name="Difference" totalsRowFunction="sum" dataDxfId="1746" totalsRowDxfId="1745" dataCellStyle="60% - Accent4">
      <calculatedColumnFormula>Pets3547718395107119131143155[[#This Row],[Projected 
Cost]]-Pets3547718395107119131143155[[#This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5516775-C464-4D6C-BEEE-21C177EEF473}" name="Savings324468" displayName="Savings324468" ref="G45:J49" totalsRowCount="1" headerRowDxfId="1056" dataDxfId="1054" totalsRowDxfId="1053" headerRowBorderDxfId="1055" headerRowCellStyle="60% - Accent6" dataCellStyle="60% - Accent6" totalsRowCellStyle="Total">
  <autoFilter ref="G45:J4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AC4DAEEE-52A8-45E9-826A-6D535665161B}" name="-" totalsRowLabel="Subtotal" dataDxfId="1052" totalsRowDxfId="1051" dataCellStyle="60% - Accent6" totalsRowCellStyle="Total"/>
    <tableColumn id="2" xr3:uid="{177F23FD-61B1-4A19-B497-F48F335739EA}" name="Projected _x000a_Cost" totalsRowFunction="sum" dataDxfId="1050" totalsRowDxfId="1049" dataCellStyle="20% - Accent6" totalsRowCellStyle="Total"/>
    <tableColumn id="3" xr3:uid="{5236863F-8E74-4CF7-93A2-1BB6FEB14334}" name="Actual _x000a_Cost" totalsRowFunction="sum" dataDxfId="1048" totalsRowDxfId="1047" dataCellStyle="40% - Accent6" totalsRowCellStyle="Total"/>
    <tableColumn id="4" xr3:uid="{9A073900-F687-4870-85D4-51F1AE34C67F}" name="Difference" totalsRowFunction="sum" dataDxfId="1046" totalsRowDxfId="1045" dataCellStyle="60% - Accent6" totalsRowCellStyle="Total">
      <calculatedColumnFormula>Savings324468[[#This Row],[Projected 
Cost]]-Savings324468[[#This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B4D7EF25-2D10-4969-814E-B0B3F6101264}" name="Food334569" displayName="Food334569" ref="B53:E57" totalsRowCount="1" headerRowDxfId="1044" dataDxfId="1042" totalsRowDxfId="1040" headerRowBorderDxfId="1043" tableBorderDxfId="1041" headerRowCellStyle="60% - Accent4" dataCellStyle="60% - Accent4" totalsRowCellStyle="Total">
  <autoFilter ref="B53:E56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3EB84D49-1151-4404-8B25-CDD2A984FFB4}" name="-" totalsRowLabel="Subtotal" dataDxfId="1039" totalsRowDxfId="231" dataCellStyle="60% - Accent4" totalsRowCellStyle="Total"/>
    <tableColumn id="2" xr3:uid="{A815C6A0-3620-4361-8BE1-14BCA0EB102C}" name="Projected _x000a_Cost" totalsRowFunction="sum" dataDxfId="1038" totalsRowDxfId="230" dataCellStyle="20% - Accent4" totalsRowCellStyle="Total"/>
    <tableColumn id="3" xr3:uid="{AC12A02B-8782-4C4E-95AB-E5E252717671}" name="Actual _x000a_Cost" totalsRowFunction="sum" dataDxfId="1037" totalsRowDxfId="229" dataCellStyle="40% - Accent4" totalsRowCellStyle="Total"/>
    <tableColumn id="4" xr3:uid="{6F9FE044-B2F1-491C-B580-F1E5626309DF}" name="Difference" totalsRowFunction="sum" dataDxfId="1036" totalsRowDxfId="228" dataCellStyle="60% - Accent4" totalsRowCellStyle="Total">
      <calculatedColumnFormula>Food334569[[#This Row],[Projected 
Cost]]-Food334569[[#This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A73E4DB4-6076-4BF0-AA59-BC6FB481C82C}" name="Gifts344670" displayName="Gifts344670" ref="G53:J57" totalsRowCount="1" headerRowDxfId="1035" dataDxfId="1033" totalsRowDxfId="1032" headerRowBorderDxfId="1034" headerRowCellStyle="60% - Accent4" dataCellStyle="60% - Accent4" totalsRowCellStyle="Total">
  <autoFilter ref="G53:J56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132A14E3-B6A5-431D-A5E3-4A7B4CD736EC}" name="-" totalsRowLabel="Subtotal" dataDxfId="1031" totalsRowDxfId="223" dataCellStyle="60% - Accent4" totalsRowCellStyle="Total"/>
    <tableColumn id="2" xr3:uid="{5C8AC4C8-A233-420B-AAF1-4125D0B239A6}" name="Projected _x000a_Cost" totalsRowFunction="sum" dataDxfId="1030" totalsRowDxfId="222" dataCellStyle="20% - Accent4" totalsRowCellStyle="Total"/>
    <tableColumn id="3" xr3:uid="{F30F7FBD-B282-4557-BE3F-4A481CAB3793}" name="Actual _x000a_Cost" totalsRowFunction="sum" dataDxfId="1029" totalsRowDxfId="221" dataCellStyle="40% - Accent4" totalsRowCellStyle="Total"/>
    <tableColumn id="4" xr3:uid="{3DE49605-619C-4ACF-A66B-C9B94587D72B}" name="Difference" totalsRowFunction="sum" dataDxfId="1028" totalsRowDxfId="220" dataCellStyle="60% - Accent4" totalsRowCellStyle="Total">
      <calculatedColumnFormula>Gifts344670[[#This Row],[Projected 
Cost]]-Gifts344670[[#This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63823A4B-FAB2-4226-A4CE-B8163B901570}" name="Pets354771" displayName="Pets354771" ref="B60:E66" totalsRowCount="1" headerRowDxfId="1027" dataDxfId="1025" totalsRowDxfId="1024" headerRowBorderDxfId="1026" headerRowCellStyle="60% - Accent4" dataCellStyle="60% - Accent4" totalsRowCellStyle="Total">
  <autoFilter ref="B60:E6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CD43B6CF-DDD8-4437-9FA0-3E834D2EB13A}" name="-" totalsRowLabel="Subtotal" dataDxfId="1023" totalsRowDxfId="235" dataCellStyle="60% - Accent4" totalsRowCellStyle="Total"/>
    <tableColumn id="2" xr3:uid="{1F4AC564-F3DD-4916-A425-BD3AD413FD5D}" name="Projected _x000a_Cost" totalsRowFunction="sum" dataDxfId="1022" totalsRowDxfId="234" dataCellStyle="20% - Accent4" totalsRowCellStyle="Total"/>
    <tableColumn id="3" xr3:uid="{FEFDDF4D-9201-4328-84BB-0B4DA40E8B52}" name="Actual _x000a_Cost" totalsRowFunction="sum" dataDxfId="1021" totalsRowDxfId="233" dataCellStyle="40% - Accent4" totalsRowCellStyle="Total"/>
    <tableColumn id="4" xr3:uid="{2552C399-8A74-4710-8E7F-64D57761B609}" name="Difference" totalsRowFunction="sum" dataDxfId="1020" totalsRowDxfId="232" dataCellStyle="60% - Accent4" totalsRowCellStyle="Total">
      <calculatedColumnFormula>Pets354771[[#This Row],[Projected 
Cost]]-Pets354771[[#This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21C182B9-DBE0-408B-8042-0E35E44E5FC7}" name="Legal364872" displayName="Legal364872" ref="G60:J65" totalsRowCount="1" headerRowDxfId="1019" dataDxfId="1017" totalsRowDxfId="1016" headerRowBorderDxfId="1018" headerRowCellStyle="60% - Accent4" dataCellStyle="60% - Accent4" totalsRowCellStyle="Total">
  <autoFilter ref="G60:J64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693F2E91-7D9A-4DE3-842A-2794556D47E7}" name="-" totalsRowLabel="Subtotal" dataDxfId="1015" totalsRowDxfId="219" dataCellStyle="60% - Accent4" totalsRowCellStyle="Total"/>
    <tableColumn id="2" xr3:uid="{FB707901-3905-4D94-8065-629BB37C66AC}" name="Projected _x000a_Cost" totalsRowFunction="sum" dataDxfId="1014" totalsRowDxfId="218" dataCellStyle="20% - Accent4" totalsRowCellStyle="Total"/>
    <tableColumn id="3" xr3:uid="{7B0AACFC-CEF9-4C27-8651-24EA0D1ED959}" name="Actual _x000a_Cost" totalsRowFunction="sum" dataDxfId="1013" totalsRowDxfId="217" dataCellStyle="40% - Accent4" totalsRowCellStyle="Total"/>
    <tableColumn id="4" xr3:uid="{0FDF7E91-CA76-4727-9BF4-DEA0E98F47AA}" name="Difference" totalsRowFunction="sum" dataDxfId="1012" totalsRowDxfId="216" dataCellStyle="60% - Accent4" totalsRowCellStyle="Total">
      <calculatedColumnFormula>Legal364872[[#This Row],[Projected 
Cost]]-Legal364872[[#This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68952917-6FB5-4858-B2C1-83B18C7F6B96}" name="PersonalCare374973" displayName="PersonalCare374973" ref="B69:E77" totalsRowCount="1" headerRowDxfId="1011" dataDxfId="1009" totalsRowDxfId="1008" headerRowBorderDxfId="1010" headerRowCellStyle="60% - Accent4" dataCellStyle="60% - Accent4" totalsRowCellStyle="Total">
  <autoFilter ref="B69:E76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C0A8D3B-79D5-4C46-A59B-3FDB873B0D42}" name="-" totalsRowLabel="Subtotal" dataDxfId="1007" totalsRowDxfId="239" dataCellStyle="60% - Accent4" totalsRowCellStyle="Total"/>
    <tableColumn id="2" xr3:uid="{60B68EB9-6BEE-45FF-9F49-D12569492D49}" name="Projected _x000a_Cost" totalsRowFunction="sum" dataDxfId="1006" totalsRowDxfId="238" dataCellStyle="20% - Accent4" totalsRowCellStyle="Total"/>
    <tableColumn id="3" xr3:uid="{29BCC8DA-72DB-4181-881C-BF5D5CCD7D1D}" name="Actual _x000a_Cost" totalsRowFunction="sum" dataDxfId="1005" totalsRowDxfId="237" dataCellStyle="40% - Accent4" totalsRowCellStyle="Total"/>
    <tableColumn id="4" xr3:uid="{E1BF193A-CCF9-439C-B8A7-49B911185889}" name="Difference" totalsRowFunction="sum" dataDxfId="1004" totalsRowDxfId="236" dataCellStyle="60% - Accent4" totalsRowCellStyle="Total">
      <calculatedColumnFormula>PersonalCare374973[[#This Row],[Projected 
Cost]]-PersonalCare374973[[#This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776B6E5A-90D6-4F4B-9671-61B6A40AF83A}" name="Table13385074" displayName="Table13385074" ref="B3:C9" totalsRowShown="0" headerRowDxfId="1003" dataDxfId="1002" tableBorderDxfId="1001" headerRowCellStyle="40% - Accent6" dataCellStyle="40% - Accent6">
  <autoFilter ref="B3:C9" xr:uid="{684E4A77-11D4-4D20-B209-12B12AB09032}"/>
  <tableColumns count="2">
    <tableColumn id="1" xr3:uid="{BA7C1F82-F3A1-43CD-BF7C-4532C8E1F35D}" name="Projected Monthly Income" dataDxfId="1000" dataCellStyle="40% - Accent6"/>
    <tableColumn id="2" xr3:uid="{9E4CB618-091D-4087-9FD5-056D427E52E3}" name="Amount" dataDxfId="999" dataCellStyle="40% - Accent6"/>
  </tableColumns>
  <tableStyleInfo name="TableStyleMedium7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A7DAE46-F4B1-40A3-A2B0-EAF1E6678E23}" name="Housing273951" displayName="Housing273951" ref="B20:E31" totalsRowCount="1" headerRowDxfId="998" dataDxfId="996" totalsRowDxfId="994" headerRowBorderDxfId="997" tableBorderDxfId="995" headerRowCellStyle="60% - Accent4" dataCellStyle="60% - Accent4" totalsRowCellStyle="Total">
  <tableColumns count="4">
    <tableColumn id="1" xr3:uid="{C12F59A4-9F63-4F99-88D5-B28BF0C2BCAF}" name="-" totalsRowLabel="Subtotal" dataDxfId="993" totalsRowDxfId="171" dataCellStyle="60% - Accent4" totalsRowCellStyle="Total"/>
    <tableColumn id="2" xr3:uid="{3FBCD033-749F-4D7A-93EC-79C18DA653FC}" name="Projected_x000a_Cost" totalsRowFunction="sum" dataDxfId="992" totalsRowDxfId="170" dataCellStyle="20% - Accent4" totalsRowCellStyle="Total"/>
    <tableColumn id="3" xr3:uid="{B8CDB074-4463-489A-BD04-CC8D92B1BBB2}" name="Actual _x000a_Cost" totalsRowFunction="sum" dataDxfId="991" totalsRowDxfId="169" dataCellStyle="40% - Accent4" totalsRowCellStyle="Total"/>
    <tableColumn id="4" xr3:uid="{5AADC632-2D11-4B19-9224-B8A4E45B4BB5}" name="Difference" totalsRowFunction="sum" dataDxfId="990" totalsRowDxfId="168" dataCellStyle="60% - Accent4" totalsRowCellStyle="Total">
      <calculatedColumnFormula>Housing273951[[#This Row],[Projected
Cost]]-Housing273951[[#This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11BCF8F-3486-4EBB-81CA-9507E249AE93}" name="Entertainment284052" displayName="Entertainment284052" ref="G20:J30" totalsRowCount="1" headerRowDxfId="989" dataDxfId="987" totalsRowDxfId="985" headerRowBorderDxfId="988" tableBorderDxfId="986" headerRowCellStyle="60% - Accent4" dataCellStyle="60% - Accent4" totalsRowCellStyle="Total">
  <autoFilter ref="G20:J2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E5556A89-B3DD-4B60-BE4E-840C21075C0B}" name="-" totalsRowLabel="Subtotal" dataDxfId="984" totalsRowDxfId="163" dataCellStyle="60% - Accent4" totalsRowCellStyle="Total"/>
    <tableColumn id="2" xr3:uid="{2911084E-AEA4-4FAD-A82A-48E64371EA09}" name="Projected _x000a_Cost" totalsRowFunction="sum" dataDxfId="983" totalsRowDxfId="162" dataCellStyle="20% - Accent4" totalsRowCellStyle="Total"/>
    <tableColumn id="3" xr3:uid="{5E75A214-9CC1-4B5F-B2FE-FFEC7BDC2B45}" name="Actual _x000a_Cost" totalsRowFunction="sum" dataDxfId="982" totalsRowDxfId="161" dataCellStyle="40% - Accent4" totalsRowCellStyle="Total"/>
    <tableColumn id="4" xr3:uid="{D8CB3495-62E4-4A46-8D9F-4780CA230B5C}" name="Difference" totalsRowFunction="sum" dataDxfId="981" totalsRowDxfId="160" dataCellStyle="60% - Accent4" totalsRowCellStyle="Total">
      <calculatedColumnFormula>Entertainment284052[[#This Row],[Projected 
Cost]]-Entertainment284052[[#This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F9C6F73-B6A2-4566-94E0-034895FB0136}" name="Loans294153" displayName="Loans294153" ref="G34:J41" totalsRowCount="1" headerRowDxfId="980" dataDxfId="978" totalsRowDxfId="976" headerRowBorderDxfId="979" tableBorderDxfId="977" headerRowCellStyle="60% - Accent4" dataCellStyle="60% - Accent4" totalsRowCellStyle="Total">
  <autoFilter ref="G34:J4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AA2343F4-21AB-4D86-8D70-FE3E9D8544BD}" name="-" totalsRowLabel="Subtotal" dataDxfId="975" totalsRowDxfId="167" dataCellStyle="60% - Accent4" totalsRowCellStyle="Total"/>
    <tableColumn id="2" xr3:uid="{348219E8-6513-4114-8329-F7F2276AD859}" name="Projected _x000a_Cost" totalsRowFunction="sum" dataDxfId="974" totalsRowDxfId="166" dataCellStyle="20% - Accent4" totalsRowCellStyle="Total"/>
    <tableColumn id="3" xr3:uid="{D461795F-B6EA-45B6-8426-9C9380085563}" name="Actual _x000a_Cost" totalsRowFunction="sum" dataDxfId="973" totalsRowDxfId="165" dataCellStyle="40% - Accent4" totalsRowCellStyle="Total"/>
    <tableColumn id="4" xr3:uid="{5A17777E-6BA2-4704-993A-FBB85B6A37F7}" name="Difference" totalsRowFunction="sum" dataDxfId="972" totalsRowDxfId="164" dataCellStyle="60% - Accent4" totalsRowCellStyle="Total">
      <calculatedColumnFormula>Loans294153[[#This Row],[Projected 
Cost]]-Loans294153[[#This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5.xml"/><Relationship Id="rId13" Type="http://schemas.openxmlformats.org/officeDocument/2006/relationships/table" Target="../tables/table120.xml"/><Relationship Id="rId3" Type="http://schemas.openxmlformats.org/officeDocument/2006/relationships/table" Target="../tables/table110.xml"/><Relationship Id="rId7" Type="http://schemas.openxmlformats.org/officeDocument/2006/relationships/table" Target="../tables/table114.xml"/><Relationship Id="rId12" Type="http://schemas.openxmlformats.org/officeDocument/2006/relationships/table" Target="../tables/table119.xml"/><Relationship Id="rId2" Type="http://schemas.openxmlformats.org/officeDocument/2006/relationships/table" Target="../tables/table109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113.xml"/><Relationship Id="rId11" Type="http://schemas.openxmlformats.org/officeDocument/2006/relationships/table" Target="../tables/table118.xml"/><Relationship Id="rId5" Type="http://schemas.openxmlformats.org/officeDocument/2006/relationships/table" Target="../tables/table112.xml"/><Relationship Id="rId10" Type="http://schemas.openxmlformats.org/officeDocument/2006/relationships/table" Target="../tables/table117.xml"/><Relationship Id="rId4" Type="http://schemas.openxmlformats.org/officeDocument/2006/relationships/table" Target="../tables/table111.xml"/><Relationship Id="rId9" Type="http://schemas.openxmlformats.org/officeDocument/2006/relationships/table" Target="../tables/table116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7.xml"/><Relationship Id="rId13" Type="http://schemas.openxmlformats.org/officeDocument/2006/relationships/table" Target="../tables/table132.xml"/><Relationship Id="rId3" Type="http://schemas.openxmlformats.org/officeDocument/2006/relationships/table" Target="../tables/table122.xml"/><Relationship Id="rId7" Type="http://schemas.openxmlformats.org/officeDocument/2006/relationships/table" Target="../tables/table126.xml"/><Relationship Id="rId12" Type="http://schemas.openxmlformats.org/officeDocument/2006/relationships/table" Target="../tables/table131.xml"/><Relationship Id="rId2" Type="http://schemas.openxmlformats.org/officeDocument/2006/relationships/table" Target="../tables/table12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25.xml"/><Relationship Id="rId11" Type="http://schemas.openxmlformats.org/officeDocument/2006/relationships/table" Target="../tables/table130.xml"/><Relationship Id="rId5" Type="http://schemas.openxmlformats.org/officeDocument/2006/relationships/table" Target="../tables/table124.xml"/><Relationship Id="rId10" Type="http://schemas.openxmlformats.org/officeDocument/2006/relationships/table" Target="../tables/table129.xml"/><Relationship Id="rId4" Type="http://schemas.openxmlformats.org/officeDocument/2006/relationships/table" Target="../tables/table123.xml"/><Relationship Id="rId9" Type="http://schemas.openxmlformats.org/officeDocument/2006/relationships/table" Target="../tables/table128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9.xml"/><Relationship Id="rId13" Type="http://schemas.openxmlformats.org/officeDocument/2006/relationships/table" Target="../tables/table144.xml"/><Relationship Id="rId3" Type="http://schemas.openxmlformats.org/officeDocument/2006/relationships/table" Target="../tables/table134.xml"/><Relationship Id="rId7" Type="http://schemas.openxmlformats.org/officeDocument/2006/relationships/table" Target="../tables/table138.xml"/><Relationship Id="rId12" Type="http://schemas.openxmlformats.org/officeDocument/2006/relationships/table" Target="../tables/table143.xml"/><Relationship Id="rId2" Type="http://schemas.openxmlformats.org/officeDocument/2006/relationships/table" Target="../tables/table133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137.xml"/><Relationship Id="rId11" Type="http://schemas.openxmlformats.org/officeDocument/2006/relationships/table" Target="../tables/table142.xml"/><Relationship Id="rId5" Type="http://schemas.openxmlformats.org/officeDocument/2006/relationships/table" Target="../tables/table136.xml"/><Relationship Id="rId10" Type="http://schemas.openxmlformats.org/officeDocument/2006/relationships/table" Target="../tables/table141.xml"/><Relationship Id="rId4" Type="http://schemas.openxmlformats.org/officeDocument/2006/relationships/table" Target="../tables/table135.xml"/><Relationship Id="rId9" Type="http://schemas.openxmlformats.org/officeDocument/2006/relationships/table" Target="../tables/table140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1.xml"/><Relationship Id="rId13" Type="http://schemas.openxmlformats.org/officeDocument/2006/relationships/table" Target="../tables/table156.xml"/><Relationship Id="rId3" Type="http://schemas.openxmlformats.org/officeDocument/2006/relationships/table" Target="../tables/table146.xml"/><Relationship Id="rId7" Type="http://schemas.openxmlformats.org/officeDocument/2006/relationships/table" Target="../tables/table150.xml"/><Relationship Id="rId12" Type="http://schemas.openxmlformats.org/officeDocument/2006/relationships/table" Target="../tables/table155.xml"/><Relationship Id="rId2" Type="http://schemas.openxmlformats.org/officeDocument/2006/relationships/table" Target="../tables/table145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149.xml"/><Relationship Id="rId11" Type="http://schemas.openxmlformats.org/officeDocument/2006/relationships/table" Target="../tables/table154.xml"/><Relationship Id="rId5" Type="http://schemas.openxmlformats.org/officeDocument/2006/relationships/table" Target="../tables/table148.xml"/><Relationship Id="rId10" Type="http://schemas.openxmlformats.org/officeDocument/2006/relationships/table" Target="../tables/table153.xml"/><Relationship Id="rId4" Type="http://schemas.openxmlformats.org/officeDocument/2006/relationships/table" Target="../tables/table147.xml"/><Relationship Id="rId9" Type="http://schemas.openxmlformats.org/officeDocument/2006/relationships/table" Target="../tables/table15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9.xml"/><Relationship Id="rId13" Type="http://schemas.openxmlformats.org/officeDocument/2006/relationships/table" Target="../tables/table24.xml"/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12" Type="http://schemas.openxmlformats.org/officeDocument/2006/relationships/table" Target="../tables/table23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7.xml"/><Relationship Id="rId11" Type="http://schemas.openxmlformats.org/officeDocument/2006/relationships/table" Target="../tables/table22.xml"/><Relationship Id="rId5" Type="http://schemas.openxmlformats.org/officeDocument/2006/relationships/table" Target="../tables/table16.xml"/><Relationship Id="rId10" Type="http://schemas.openxmlformats.org/officeDocument/2006/relationships/table" Target="../tables/table21.xml"/><Relationship Id="rId4" Type="http://schemas.openxmlformats.org/officeDocument/2006/relationships/table" Target="../tables/table15.xml"/><Relationship Id="rId9" Type="http://schemas.openxmlformats.org/officeDocument/2006/relationships/table" Target="../tables/table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13" Type="http://schemas.openxmlformats.org/officeDocument/2006/relationships/table" Target="../tables/table36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12" Type="http://schemas.openxmlformats.org/officeDocument/2006/relationships/table" Target="../tables/table35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9.xml"/><Relationship Id="rId11" Type="http://schemas.openxmlformats.org/officeDocument/2006/relationships/table" Target="../tables/table34.xml"/><Relationship Id="rId5" Type="http://schemas.openxmlformats.org/officeDocument/2006/relationships/table" Target="../tables/table28.xml"/><Relationship Id="rId10" Type="http://schemas.openxmlformats.org/officeDocument/2006/relationships/table" Target="../tables/table33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3.xml"/><Relationship Id="rId13" Type="http://schemas.openxmlformats.org/officeDocument/2006/relationships/table" Target="../tables/table48.xml"/><Relationship Id="rId3" Type="http://schemas.openxmlformats.org/officeDocument/2006/relationships/table" Target="../tables/table38.xml"/><Relationship Id="rId7" Type="http://schemas.openxmlformats.org/officeDocument/2006/relationships/table" Target="../tables/table42.xml"/><Relationship Id="rId12" Type="http://schemas.openxmlformats.org/officeDocument/2006/relationships/table" Target="../tables/table47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1.xml"/><Relationship Id="rId11" Type="http://schemas.openxmlformats.org/officeDocument/2006/relationships/table" Target="../tables/table46.xml"/><Relationship Id="rId5" Type="http://schemas.openxmlformats.org/officeDocument/2006/relationships/table" Target="../tables/table40.xml"/><Relationship Id="rId10" Type="http://schemas.openxmlformats.org/officeDocument/2006/relationships/table" Target="../tables/table45.xml"/><Relationship Id="rId4" Type="http://schemas.openxmlformats.org/officeDocument/2006/relationships/table" Target="../tables/table39.xml"/><Relationship Id="rId9" Type="http://schemas.openxmlformats.org/officeDocument/2006/relationships/table" Target="../tables/table4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5.xml"/><Relationship Id="rId13" Type="http://schemas.openxmlformats.org/officeDocument/2006/relationships/table" Target="../tables/table60.xml"/><Relationship Id="rId3" Type="http://schemas.openxmlformats.org/officeDocument/2006/relationships/table" Target="../tables/table50.xml"/><Relationship Id="rId7" Type="http://schemas.openxmlformats.org/officeDocument/2006/relationships/table" Target="../tables/table54.xml"/><Relationship Id="rId12" Type="http://schemas.openxmlformats.org/officeDocument/2006/relationships/table" Target="../tables/table59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3.xml"/><Relationship Id="rId11" Type="http://schemas.openxmlformats.org/officeDocument/2006/relationships/table" Target="../tables/table58.xml"/><Relationship Id="rId5" Type="http://schemas.openxmlformats.org/officeDocument/2006/relationships/table" Target="../tables/table52.xml"/><Relationship Id="rId10" Type="http://schemas.openxmlformats.org/officeDocument/2006/relationships/table" Target="../tables/table57.xml"/><Relationship Id="rId4" Type="http://schemas.openxmlformats.org/officeDocument/2006/relationships/table" Target="../tables/table51.xml"/><Relationship Id="rId9" Type="http://schemas.openxmlformats.org/officeDocument/2006/relationships/table" Target="../tables/table5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7.xml"/><Relationship Id="rId13" Type="http://schemas.openxmlformats.org/officeDocument/2006/relationships/table" Target="../tables/table72.xml"/><Relationship Id="rId3" Type="http://schemas.openxmlformats.org/officeDocument/2006/relationships/table" Target="../tables/table62.xml"/><Relationship Id="rId7" Type="http://schemas.openxmlformats.org/officeDocument/2006/relationships/table" Target="../tables/table66.xml"/><Relationship Id="rId12" Type="http://schemas.openxmlformats.org/officeDocument/2006/relationships/table" Target="../tables/table71.xml"/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65.xml"/><Relationship Id="rId11" Type="http://schemas.openxmlformats.org/officeDocument/2006/relationships/table" Target="../tables/table70.xml"/><Relationship Id="rId5" Type="http://schemas.openxmlformats.org/officeDocument/2006/relationships/table" Target="../tables/table64.xml"/><Relationship Id="rId10" Type="http://schemas.openxmlformats.org/officeDocument/2006/relationships/table" Target="../tables/table69.xml"/><Relationship Id="rId4" Type="http://schemas.openxmlformats.org/officeDocument/2006/relationships/table" Target="../tables/table63.xml"/><Relationship Id="rId9" Type="http://schemas.openxmlformats.org/officeDocument/2006/relationships/table" Target="../tables/table6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9.xml"/><Relationship Id="rId13" Type="http://schemas.openxmlformats.org/officeDocument/2006/relationships/table" Target="../tables/table84.xml"/><Relationship Id="rId3" Type="http://schemas.openxmlformats.org/officeDocument/2006/relationships/table" Target="../tables/table74.xml"/><Relationship Id="rId7" Type="http://schemas.openxmlformats.org/officeDocument/2006/relationships/table" Target="../tables/table78.xml"/><Relationship Id="rId12" Type="http://schemas.openxmlformats.org/officeDocument/2006/relationships/table" Target="../tables/table83.xml"/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77.xml"/><Relationship Id="rId11" Type="http://schemas.openxmlformats.org/officeDocument/2006/relationships/table" Target="../tables/table82.xml"/><Relationship Id="rId5" Type="http://schemas.openxmlformats.org/officeDocument/2006/relationships/table" Target="../tables/table76.xml"/><Relationship Id="rId10" Type="http://schemas.openxmlformats.org/officeDocument/2006/relationships/table" Target="../tables/table81.xml"/><Relationship Id="rId4" Type="http://schemas.openxmlformats.org/officeDocument/2006/relationships/table" Target="../tables/table75.xml"/><Relationship Id="rId9" Type="http://schemas.openxmlformats.org/officeDocument/2006/relationships/table" Target="../tables/table8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1.xml"/><Relationship Id="rId13" Type="http://schemas.openxmlformats.org/officeDocument/2006/relationships/table" Target="../tables/table96.xml"/><Relationship Id="rId3" Type="http://schemas.openxmlformats.org/officeDocument/2006/relationships/table" Target="../tables/table86.xml"/><Relationship Id="rId7" Type="http://schemas.openxmlformats.org/officeDocument/2006/relationships/table" Target="../tables/table90.xml"/><Relationship Id="rId12" Type="http://schemas.openxmlformats.org/officeDocument/2006/relationships/table" Target="../tables/table95.xml"/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89.xml"/><Relationship Id="rId11" Type="http://schemas.openxmlformats.org/officeDocument/2006/relationships/table" Target="../tables/table94.xml"/><Relationship Id="rId5" Type="http://schemas.openxmlformats.org/officeDocument/2006/relationships/table" Target="../tables/table88.xml"/><Relationship Id="rId10" Type="http://schemas.openxmlformats.org/officeDocument/2006/relationships/table" Target="../tables/table93.xml"/><Relationship Id="rId4" Type="http://schemas.openxmlformats.org/officeDocument/2006/relationships/table" Target="../tables/table87.xml"/><Relationship Id="rId9" Type="http://schemas.openxmlformats.org/officeDocument/2006/relationships/table" Target="../tables/table9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3.xml"/><Relationship Id="rId13" Type="http://schemas.openxmlformats.org/officeDocument/2006/relationships/table" Target="../tables/table108.xml"/><Relationship Id="rId3" Type="http://schemas.openxmlformats.org/officeDocument/2006/relationships/table" Target="../tables/table98.xml"/><Relationship Id="rId7" Type="http://schemas.openxmlformats.org/officeDocument/2006/relationships/table" Target="../tables/table102.xml"/><Relationship Id="rId12" Type="http://schemas.openxmlformats.org/officeDocument/2006/relationships/table" Target="../tables/table107.xml"/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101.xml"/><Relationship Id="rId11" Type="http://schemas.openxmlformats.org/officeDocument/2006/relationships/table" Target="../tables/table106.xml"/><Relationship Id="rId5" Type="http://schemas.openxmlformats.org/officeDocument/2006/relationships/table" Target="../tables/table100.xml"/><Relationship Id="rId10" Type="http://schemas.openxmlformats.org/officeDocument/2006/relationships/table" Target="../tables/table105.xml"/><Relationship Id="rId4" Type="http://schemas.openxmlformats.org/officeDocument/2006/relationships/table" Target="../tables/table99.xml"/><Relationship Id="rId9" Type="http://schemas.openxmlformats.org/officeDocument/2006/relationships/table" Target="../tables/table10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0863-9724-4F19-A43F-1D9785FCA431}">
  <sheetPr>
    <tabColor theme="4"/>
    <pageSetUpPr autoPageBreaks="0" fitToPage="1"/>
  </sheetPr>
  <dimension ref="A1:J86"/>
  <sheetViews>
    <sheetView tabSelected="1" zoomScaleNormal="100" zoomScaleSheetLayoutView="30" workbookViewId="0">
      <selection activeCell="G16" sqref="G1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81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79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8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10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12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14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82</v>
      </c>
      <c r="C9" s="116">
        <f>Table133850748698110122134146[[#This Row],[Amount]]+Table133850748698110122134[[#This Row],[Amount]]+Table13[[#This Row],[Amount]]+Table133850748698110122[[#This Row],[Amount]]+Table133850748698110[[#This Row],[Amount]]+Table133850748698[[#This Row],[Amount]]+Table1338507486[[#This Row],[Amount]]+Table13385074[[#This Row],[Amount]]+Table13385062[[#This Row],[Amount]]+Table133850[[#This Row],[Amount]]+Table1338[[#This Row],[Amount]]+Table1326[[#This Row],[Amount]]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 t="s">
        <v>84</v>
      </c>
      <c r="D10" s="11"/>
      <c r="E10" s="139" t="s">
        <v>78</v>
      </c>
      <c r="F10" s="139"/>
      <c r="G10" s="139"/>
      <c r="H10" s="140">
        <f>H7-H4</f>
        <v>0</v>
      </c>
      <c r="I10" s="23"/>
      <c r="J10" s="11"/>
    </row>
    <row r="11" spans="1:10" ht="16" x14ac:dyDescent="0.2">
      <c r="B11" s="29" t="s">
        <v>80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8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82</v>
      </c>
      <c r="C17" s="119">
        <f>'January Budget'!C17+'February Budget '!C17+'March Budget'!C17+'April Budget'!C17+'May Budget'!C17+'June Budget'!C17+'July Budget'!C17+'August Budget'!C17+'September Budget'!C17+'October Budget'!C17+'November Budget'!C17+'December Budget'!C17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2" x14ac:dyDescent="0.2">
      <c r="B20" s="35" t="s">
        <v>75</v>
      </c>
      <c r="C20" s="36" t="s">
        <v>57</v>
      </c>
      <c r="D20" s="33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1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1" s="42">
        <f>Housing273963758799111123135147[[#This Row],[Projected
Cost]]-Housing273963758799111123135147[[#This Row],[Actual 
Cost]]</f>
        <v>0</v>
      </c>
      <c r="F21" s="11"/>
      <c r="G21" s="60" t="s">
        <v>73</v>
      </c>
      <c r="H21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1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1" s="63">
        <f>Entertainment2840647688100112124136148[[#This Row],[Projected 
Cost]]-Entertainment2840647688100112124136148[[#This Row],[Actual 
Cost]]</f>
        <v>0</v>
      </c>
    </row>
    <row r="22" spans="1:10" ht="16" x14ac:dyDescent="0.2">
      <c r="B22" s="43" t="s">
        <v>5</v>
      </c>
      <c r="C22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2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2" s="46">
        <f>Housing273963758799111123135147[[#This Row],[Projected
Cost]]-Housing273963758799111123135147[[#This Row],[Actual 
Cost]]</f>
        <v>0</v>
      </c>
      <c r="F22" s="11"/>
      <c r="G22" s="60" t="s">
        <v>74</v>
      </c>
      <c r="H22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2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2" s="63">
        <f>Entertainment2840647688100112124136148[[#This Row],[Projected 
Cost]]-Entertainment2840647688100112124136148[[#This Row],[Actual 
Cost]]</f>
        <v>0</v>
      </c>
    </row>
    <row r="23" spans="1:10" ht="16" x14ac:dyDescent="0.2">
      <c r="B23" s="43" t="s">
        <v>6</v>
      </c>
      <c r="C23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3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3" s="46">
        <f>Housing273963758799111123135147[[#This Row],[Projected
Cost]]-Housing273963758799111123135147[[#This Row],[Actual 
Cost]]</f>
        <v>0</v>
      </c>
      <c r="F23" s="11"/>
      <c r="G23" s="60" t="s">
        <v>7</v>
      </c>
      <c r="H23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3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3" s="63">
        <f>Entertainment2840647688100112124136148[[#This Row],[Projected 
Cost]]-Entertainment2840647688100112124136148[[#This Row],[Actual 
Cost]]</f>
        <v>0</v>
      </c>
    </row>
    <row r="24" spans="1:10" ht="16" x14ac:dyDescent="0.2">
      <c r="B24" s="43" t="s">
        <v>8</v>
      </c>
      <c r="C24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4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4" s="46">
        <f>Housing273963758799111123135147[[#This Row],[Projected
Cost]]-Housing273963758799111123135147[[#This Row],[Actual 
Cost]]</f>
        <v>0</v>
      </c>
      <c r="F24" s="11"/>
      <c r="G24" s="60" t="s">
        <v>9</v>
      </c>
      <c r="H24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4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4" s="63">
        <f>Entertainment2840647688100112124136148[[#This Row],[Projected 
Cost]]-Entertainment2840647688100112124136148[[#This Row],[Actual 
Cost]]</f>
        <v>0</v>
      </c>
    </row>
    <row r="25" spans="1:10" ht="16" x14ac:dyDescent="0.2">
      <c r="B25" s="43" t="s">
        <v>10</v>
      </c>
      <c r="C25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5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5" s="46">
        <f>Housing273963758799111123135147[[#This Row],[Projected
Cost]]-Housing273963758799111123135147[[#This Row],[Actual 
Cost]]</f>
        <v>0</v>
      </c>
      <c r="F25" s="11"/>
      <c r="G25" s="60" t="s">
        <v>11</v>
      </c>
      <c r="H25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5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5" s="63">
        <f>Entertainment2840647688100112124136148[[#This Row],[Projected 
Cost]]-Entertainment2840647688100112124136148[[#This Row],[Actual 
Cost]]</f>
        <v>0</v>
      </c>
    </row>
    <row r="26" spans="1:10" ht="16" x14ac:dyDescent="0.2">
      <c r="B26" s="43" t="s">
        <v>12</v>
      </c>
      <c r="C26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6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6" s="46">
        <f>Housing273963758799111123135147[[#This Row],[Projected
Cost]]-Housing273963758799111123135147[[#This Row],[Actual 
Cost]]</f>
        <v>0</v>
      </c>
      <c r="F26" s="11"/>
      <c r="G26" s="60" t="s">
        <v>13</v>
      </c>
      <c r="H26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6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6" s="63">
        <f>Entertainment2840647688100112124136148[[#This Row],[Projected 
Cost]]-Entertainment2840647688100112124136148[[#This Row],[Actual 
Cost]]</f>
        <v>0</v>
      </c>
    </row>
    <row r="27" spans="1:10" ht="16" x14ac:dyDescent="0.2">
      <c r="B27" s="43" t="s">
        <v>14</v>
      </c>
      <c r="C27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7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7" s="46">
        <f>Housing273963758799111123135147[[#This Row],[Projected
Cost]]-Housing273963758799111123135147[[#This Row],[Actual 
Cost]]</f>
        <v>0</v>
      </c>
      <c r="F27" s="11"/>
      <c r="G27" s="60" t="s">
        <v>15</v>
      </c>
      <c r="H27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7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7" s="63">
        <f>Entertainment2840647688100112124136148[[#This Row],[Projected 
Cost]]-Entertainment2840647688100112124136148[[#This Row],[Actual 
Cost]]</f>
        <v>0</v>
      </c>
    </row>
    <row r="28" spans="1:10" ht="16" x14ac:dyDescent="0.2">
      <c r="B28" s="43" t="s">
        <v>16</v>
      </c>
      <c r="C28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8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8" s="46">
        <f>Housing273963758799111123135147[[#This Row],[Projected
Cost]]-Housing273963758799111123135147[[#This Row],[Actual 
Cost]]</f>
        <v>0</v>
      </c>
      <c r="F28" s="11"/>
      <c r="G28" s="60" t="s">
        <v>15</v>
      </c>
      <c r="H28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8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8" s="63">
        <f>Entertainment2840647688100112124136148[[#This Row],[Projected 
Cost]]-Entertainment2840647688100112124136148[[#This Row],[Actual 
Cost]]</f>
        <v>0</v>
      </c>
    </row>
    <row r="29" spans="1:10" ht="16" x14ac:dyDescent="0.2">
      <c r="B29" s="43" t="s">
        <v>17</v>
      </c>
      <c r="C29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29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29" s="46">
        <f>Housing273963758799111123135147[[#This Row],[Projected
Cost]]-Housing273963758799111123135147[[#This Row],[Actual 
Cost]]</f>
        <v>0</v>
      </c>
      <c r="F29" s="11"/>
      <c r="G29" s="60" t="s">
        <v>15</v>
      </c>
      <c r="H29" s="61">
        <f>Entertainment2840647688100112124136[[#This Row],[Projected 
Cost]]+Entertainment2840647688100112124[[#This Row],[Projected 
Cost]]+Entertainment2840647688100112[[#This Row],[Projected 
Cost]]+Entertainment2840647688100[[#This Row],[Projected 
Cost]]+Entertainment2840647688[[#This Row],[Projected 
Cost]]+Entertainment28406476[[#This Row],[Projected 
Cost]]+Entertainment284064[[#This Row],[Projected 
Cost]]+Entertainment284052[[#This Row],[Projected 
Cost]]+Entertainment2840[[#This Row],[Projected 
Cost]]+Entertainment28[[#This Row],[Projected 
Cost]]+Entertainment16[[#This Row],[Projected 
Cost]]+Entertainment[[#This Row],[Projected 
Cost]]</f>
        <v>0</v>
      </c>
      <c r="I29" s="61">
        <f>Entertainment2840647688100112124136[[#This Row],[Actual 
Cost]]+Entertainment2840647688100112124[[#This Row],[Actual 
Cost]]+Entertainment2840647688100112[[#This Row],[Actual 
Cost]]+Entertainment2840647688100[[#This Row],[Actual 
Cost]]+Entertainment2840647688[[#This Row],[Actual 
Cost]]+Entertainment28406476[[#This Row],[Actual 
Cost]]+Entertainment284064[[#This Row],[Actual 
Cost]]+Entertainment284052[[#This Row],[Actual 
Cost]]+Entertainment2840[[#This Row],[Actual 
Cost]]+Entertainment28[[#This Row],[Actual 
Cost]]+Entertainment16[[#This Row],[Actual 
Cost]]+Entertainment[[#This Row],[Actual 
Cost]]</f>
        <v>0</v>
      </c>
      <c r="J29" s="63">
        <f>Entertainment2840647688100112124136148[[#This Row],[Projected 
Cost]]-Entertainment2840647688100112124136148[[#This Row],[Actual 
Cost]]</f>
        <v>0</v>
      </c>
    </row>
    <row r="30" spans="1:10" ht="17" thickBot="1" x14ac:dyDescent="0.25">
      <c r="B30" s="47" t="s">
        <v>15</v>
      </c>
      <c r="C30" s="40">
        <f>Housing273963758799111123135[[#This Row],[Projected
Cost]]+Housing273963758799111123[[#This Row],[Projected
Cost]]+Housing273963758799111[[#This Row],[Projected
Cost]]+Housing273963758799[[#This Row],[Projected
Cost]]+Housing2739637587[[#This Row],[Projected
Cost]]+Housing27396375[[#This Row],[Projected
Cost]]+Housing273963[[#This Row],[Projected
Cost]]+Housing273951[[#This Row],[Projected
Cost]]+Housing2739[[#This Row],[Projected
Cost]]+Housing27[[#This Row],[Projected
Cost]]+Housing15[[#This Row],[Projected
Cost]]+Housing[[#This Row],[Projected
Cost]]</f>
        <v>0</v>
      </c>
      <c r="D30" s="34">
        <f>Housing273963758799111123135[[#This Row],[Actual 
Cost]]+Housing273963758799111123[[#This Row],[Actual 
Cost]]+Housing273963758799111[[#This Row],[Actual 
Cost]]+Housing273963758799[[#This Row],[Actual 
Cost]]+Housing2739637587[[#This Row],[Actual 
Cost]]+Housing27396375[[#This Row],[Actual 
Cost]]+Housing273963[[#This Row],[Actual 
Cost]]+Housing273951[[#This Row],[Actual 
Cost]]+Housing2739[[#This Row],[Actual 
Cost]]+Housing27[[#This Row],[Actual 
Cost]]+Housing15[[#This Row],[Actual 
Cost]]+Housing[[#This Row],[Actual 
Cost]]</f>
        <v>0</v>
      </c>
      <c r="E30" s="50">
        <f>Housing273963758799111123135147[[#This Row],[Projected
Cost]]-Housing273963758799111123135147[[#This Row],[Actual 
Cost]]</f>
        <v>0</v>
      </c>
      <c r="F30" s="11"/>
      <c r="G30" s="120" t="s">
        <v>49</v>
      </c>
      <c r="H30" s="121">
        <f>SUBTOTAL(109,Entertainment2840647688100112124136148[Projected 
Cost])</f>
        <v>0</v>
      </c>
      <c r="I30" s="122">
        <f>SUBTOTAL(109,Entertainment2840647688100112124136148[Actual 
Cost])</f>
        <v>0</v>
      </c>
      <c r="J30" s="123">
        <f>SUBTOTAL(109,Entertainment2840647688100112124136148[Difference])</f>
        <v>0</v>
      </c>
    </row>
    <row r="31" spans="1:10" ht="18" thickTop="1" thickBot="1" x14ac:dyDescent="0.25">
      <c r="B31" s="120" t="s">
        <v>49</v>
      </c>
      <c r="C31" s="121">
        <f>SUBTOTAL(109,Housing273963758799111123135147[Projected
Cost])</f>
        <v>0</v>
      </c>
      <c r="D31" s="122">
        <f>SUBTOTAL(109,Housing273963758799111123135147[Actual 
Cost])</f>
        <v>0</v>
      </c>
      <c r="E31" s="123">
        <f>SUBTOTAL(109,Housing273963758799111123135147[Difference])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>
        <f>Transportation3042667890102114126138[[#This Row],[Projected 
Cost]]+Transportation3042667890102114126[[#This Row],[Projected 
Cost]]+Transportation3042667890102114[[#This Row],[Projected 
Cost]]+Transportation3042667890102[[#This Row],[Projected 
Cost]]+Transportation3042667890[[#This Row],[Projected 
Cost]]+Transportation30426678[[#This Row],[Projected 
Cost]]+Transportation304266[[#This Row],[Projected 
Cost]]+Transportation304254[[#This Row],[Projected 
Cost]]+Transportation3042[[#This Row],[Projected 
Cost]]+Transportation30[[#This Row],[Projected 
Cost]]+Transportation18[[#This Row],[Projected 
Cost]]+Transportation[[#This Row],[Projected 
Cost]]</f>
        <v>0</v>
      </c>
      <c r="D35" s="61">
        <f>Transportation3042667890102114126138[[#This Row],[Actual 
Cost]]+Transportation3042667890102114126[[#This Row],[Actual 
Cost]]+Transportation3042667890102114[[#This Row],[Actual 
Cost]]+Transportation3042667890102[[#This Row],[Actual 
Cost]]+Transportation3042667890[[#This Row],[Actual 
Cost]]+Transportation30426678[[#This Row],[Actual 
Cost]]+Transportation304266[[#This Row],[Actual 
Cost]]+Transportation304254[[#This Row],[Actual 
Cost]]+Transportation3042[[#This Row],[Actual 
Cost]]+Transportation30[[#This Row],[Actual 
Cost]]+Transportation18[[#This Row],[Actual 
Cost]]+Transportation[[#This Row],[Actual 
Cost]]</f>
        <v>0</v>
      </c>
      <c r="E35" s="63">
        <f>Transportation3042667890102114126138150[[#This Row],[Projected 
Cost]]-Transportation3042667890102114126138150[[#This Row],[Actual 
Cost]]</f>
        <v>0</v>
      </c>
      <c r="F35" s="11"/>
      <c r="G35" s="60" t="s">
        <v>18</v>
      </c>
      <c r="H35" s="61">
        <f>Loans2941657789101113125137[[#This Row],[Projected 
Cost]]+Loans2941657789101113125[[#This Row],[Projected 
Cost]]+Loans2941657789101113[[#This Row],[Projected 
Cost]]+Loans2941657789101[[#This Row],[Projected 
Cost]]+Loans2941657789[[#This Row],[Projected 
Cost]]+Loans29416577[[#This Row],[Projected 
Cost]]+Loans294165[[#This Row],[Projected 
Cost]]+Loans294153[[#This Row],[Projected 
Cost]]+Loans2941[[#This Row],[Projected 
Cost]]+Loans29[[#This Row],[Projected 
Cost]]+Loans17[[#This Row],[Projected 
Cost]]+Loans[[#This Row],[Projected 
Cost]]</f>
        <v>0</v>
      </c>
      <c r="I35" s="61">
        <f>Loans2941657789101113125137[[#This Row],[Actual 
Cost]]+Loans2941657789101113125[[#This Row],[Actual 
Cost]]+Loans2941657789101113[[#This Row],[Actual 
Cost]]+Loans2941657789101[[#This Row],[Actual 
Cost]]+Loans2941657789[[#This Row],[Actual 
Cost]]+Loans29416577[[#This Row],[Actual 
Cost]]+Loans294165[[#This Row],[Actual 
Cost]]+Loans294153[[#This Row],[Actual 
Cost]]+Loans2941[[#This Row],[Actual 
Cost]]+Loans29[[#This Row],[Actual 
Cost]]+Loans17[[#This Row],[Actual 
Cost]]+Loans[[#This Row],[Actual 
Cost]]</f>
        <v>0</v>
      </c>
      <c r="J35" s="63">
        <f>Loans2941657789101113125137149[[#This Row],[Projected 
Cost]]-Loans2941657789101113125137149[[#This Row],[Actual 
Cost]]</f>
        <v>0</v>
      </c>
    </row>
    <row r="36" spans="1:10" ht="16" x14ac:dyDescent="0.2">
      <c r="B36" s="60" t="s">
        <v>21</v>
      </c>
      <c r="C36" s="61">
        <f>Transportation3042667890102114126138[[#This Row],[Projected 
Cost]]+Transportation3042667890102114126[[#This Row],[Projected 
Cost]]+Transportation3042667890102114[[#This Row],[Projected 
Cost]]+Transportation3042667890102[[#This Row],[Projected 
Cost]]+Transportation3042667890[[#This Row],[Projected 
Cost]]+Transportation30426678[[#This Row],[Projected 
Cost]]+Transportation304266[[#This Row],[Projected 
Cost]]+Transportation304254[[#This Row],[Projected 
Cost]]+Transportation3042[[#This Row],[Projected 
Cost]]+Transportation30[[#This Row],[Projected 
Cost]]+Transportation18[[#This Row],[Projected 
Cost]]+Transportation[[#This Row],[Projected 
Cost]]</f>
        <v>0</v>
      </c>
      <c r="D36" s="61">
        <f>Transportation3042667890102114126138[[#This Row],[Actual 
Cost]]+Transportation3042667890102114126[[#This Row],[Actual 
Cost]]+Transportation3042667890102114[[#This Row],[Actual 
Cost]]+Transportation3042667890102[[#This Row],[Actual 
Cost]]+Transportation3042667890[[#This Row],[Actual 
Cost]]+Transportation30426678[[#This Row],[Actual 
Cost]]+Transportation304266[[#This Row],[Actual 
Cost]]+Transportation304254[[#This Row],[Actual 
Cost]]+Transportation3042[[#This Row],[Actual 
Cost]]+Transportation30[[#This Row],[Actual 
Cost]]+Transportation18[[#This Row],[Actual 
Cost]]+Transportation[[#This Row],[Actual 
Cost]]</f>
        <v>0</v>
      </c>
      <c r="E36" s="63">
        <f>Transportation3042667890102114126138150[[#This Row],[Projected 
Cost]]-Transportation3042667890102114126138150[[#This Row],[Actual 
Cost]]</f>
        <v>0</v>
      </c>
      <c r="F36" s="11"/>
      <c r="G36" s="60" t="s">
        <v>20</v>
      </c>
      <c r="H36" s="61">
        <f>Loans2941657789101113125137[[#This Row],[Projected 
Cost]]+Loans2941657789101113125[[#This Row],[Projected 
Cost]]+Loans2941657789101113[[#This Row],[Projected 
Cost]]+Loans2941657789101[[#This Row],[Projected 
Cost]]+Loans2941657789[[#This Row],[Projected 
Cost]]+Loans29416577[[#This Row],[Projected 
Cost]]+Loans294165[[#This Row],[Projected 
Cost]]+Loans294153[[#This Row],[Projected 
Cost]]+Loans2941[[#This Row],[Projected 
Cost]]+Loans29[[#This Row],[Projected 
Cost]]+Loans17[[#This Row],[Projected 
Cost]]+Loans[[#This Row],[Projected 
Cost]]</f>
        <v>0</v>
      </c>
      <c r="I36" s="61">
        <f>Loans2941657789101113125137[[#This Row],[Actual 
Cost]]+Loans2941657789101113125[[#This Row],[Actual 
Cost]]+Loans2941657789101113[[#This Row],[Actual 
Cost]]+Loans2941657789101[[#This Row],[Actual 
Cost]]+Loans2941657789[[#This Row],[Actual 
Cost]]+Loans29416577[[#This Row],[Actual 
Cost]]+Loans294165[[#This Row],[Actual 
Cost]]+Loans294153[[#This Row],[Actual 
Cost]]+Loans2941[[#This Row],[Actual 
Cost]]+Loans29[[#This Row],[Actual 
Cost]]+Loans17[[#This Row],[Actual 
Cost]]+Loans[[#This Row],[Actual 
Cost]]</f>
        <v>0</v>
      </c>
      <c r="J36" s="63">
        <f>Loans2941657789101113125137149[[#This Row],[Projected 
Cost]]-Loans2941657789101113125137149[[#This Row],[Actual 
Cost]]</f>
        <v>0</v>
      </c>
    </row>
    <row r="37" spans="1:10" ht="16" x14ac:dyDescent="0.2">
      <c r="B37" s="60" t="s">
        <v>23</v>
      </c>
      <c r="C37" s="61">
        <f>Transportation3042667890102114126138[[#This Row],[Projected 
Cost]]+Transportation3042667890102114126[[#This Row],[Projected 
Cost]]+Transportation3042667890102114[[#This Row],[Projected 
Cost]]+Transportation3042667890102[[#This Row],[Projected 
Cost]]+Transportation3042667890[[#This Row],[Projected 
Cost]]+Transportation30426678[[#This Row],[Projected 
Cost]]+Transportation304266[[#This Row],[Projected 
Cost]]+Transportation304254[[#This Row],[Projected 
Cost]]+Transportation3042[[#This Row],[Projected 
Cost]]+Transportation30[[#This Row],[Projected 
Cost]]+Transportation18[[#This Row],[Projected 
Cost]]+Transportation[[#This Row],[Projected 
Cost]]</f>
        <v>0</v>
      </c>
      <c r="D37" s="61">
        <f>Transportation3042667890102114126138[[#This Row],[Actual 
Cost]]+Transportation3042667890102114126[[#This Row],[Actual 
Cost]]+Transportation3042667890102114[[#This Row],[Actual 
Cost]]+Transportation3042667890102[[#This Row],[Actual 
Cost]]+Transportation3042667890[[#This Row],[Actual 
Cost]]+Transportation30426678[[#This Row],[Actual 
Cost]]+Transportation304266[[#This Row],[Actual 
Cost]]+Transportation304254[[#This Row],[Actual 
Cost]]+Transportation3042[[#This Row],[Actual 
Cost]]+Transportation30[[#This Row],[Actual 
Cost]]+Transportation18[[#This Row],[Actual 
Cost]]+Transportation[[#This Row],[Actual 
Cost]]</f>
        <v>0</v>
      </c>
      <c r="E37" s="63">
        <f>Transportation3042667890102114126138150[[#This Row],[Projected 
Cost]]-Transportation3042667890102114126138150[[#This Row],[Actual 
Cost]]</f>
        <v>0</v>
      </c>
      <c r="F37" s="11"/>
      <c r="G37" s="60" t="s">
        <v>22</v>
      </c>
      <c r="H37" s="61">
        <f>Loans2941657789101113125137[[#This Row],[Projected 
Cost]]+Loans2941657789101113125[[#This Row],[Projected 
Cost]]+Loans2941657789101113[[#This Row],[Projected 
Cost]]+Loans2941657789101[[#This Row],[Projected 
Cost]]+Loans2941657789[[#This Row],[Projected 
Cost]]+Loans29416577[[#This Row],[Projected 
Cost]]+Loans294165[[#This Row],[Projected 
Cost]]+Loans294153[[#This Row],[Projected 
Cost]]+Loans2941[[#This Row],[Projected 
Cost]]+Loans29[[#This Row],[Projected 
Cost]]+Loans17[[#This Row],[Projected 
Cost]]+Loans[[#This Row],[Projected 
Cost]]</f>
        <v>0</v>
      </c>
      <c r="I37" s="61">
        <f>Loans2941657789101113125137[[#This Row],[Actual 
Cost]]+Loans2941657789101113125[[#This Row],[Actual 
Cost]]+Loans2941657789101113[[#This Row],[Actual 
Cost]]+Loans2941657789101[[#This Row],[Actual 
Cost]]+Loans2941657789[[#This Row],[Actual 
Cost]]+Loans29416577[[#This Row],[Actual 
Cost]]+Loans294165[[#This Row],[Actual 
Cost]]+Loans294153[[#This Row],[Actual 
Cost]]+Loans2941[[#This Row],[Actual 
Cost]]+Loans29[[#This Row],[Actual 
Cost]]+Loans17[[#This Row],[Actual 
Cost]]+Loans[[#This Row],[Actual 
Cost]]</f>
        <v>0</v>
      </c>
      <c r="J37" s="63">
        <f>Loans2941657789101113125137149[[#This Row],[Projected 
Cost]]-Loans2941657789101113125137149[[#This Row],[Actual 
Cost]]</f>
        <v>0</v>
      </c>
    </row>
    <row r="38" spans="1:10" ht="16" x14ac:dyDescent="0.2">
      <c r="B38" s="60" t="s">
        <v>24</v>
      </c>
      <c r="C38" s="61">
        <f>Transportation3042667890102114126138[[#This Row],[Projected 
Cost]]+Transportation3042667890102114126[[#This Row],[Projected 
Cost]]+Transportation3042667890102114[[#This Row],[Projected 
Cost]]+Transportation3042667890102[[#This Row],[Projected 
Cost]]+Transportation3042667890[[#This Row],[Projected 
Cost]]+Transportation30426678[[#This Row],[Projected 
Cost]]+Transportation304266[[#This Row],[Projected 
Cost]]+Transportation304254[[#This Row],[Projected 
Cost]]+Transportation3042[[#This Row],[Projected 
Cost]]+Transportation30[[#This Row],[Projected 
Cost]]+Transportation18[[#This Row],[Projected 
Cost]]+Transportation[[#This Row],[Projected 
Cost]]</f>
        <v>0</v>
      </c>
      <c r="D38" s="61">
        <f>Transportation3042667890102114126138[[#This Row],[Actual 
Cost]]+Transportation3042667890102114126[[#This Row],[Actual 
Cost]]+Transportation3042667890102114[[#This Row],[Actual 
Cost]]+Transportation3042667890102[[#This Row],[Actual 
Cost]]+Transportation3042667890[[#This Row],[Actual 
Cost]]+Transportation30426678[[#This Row],[Actual 
Cost]]+Transportation304266[[#This Row],[Actual 
Cost]]+Transportation304254[[#This Row],[Actual 
Cost]]+Transportation3042[[#This Row],[Actual 
Cost]]+Transportation30[[#This Row],[Actual 
Cost]]+Transportation18[[#This Row],[Actual 
Cost]]+Transportation[[#This Row],[Actual 
Cost]]</f>
        <v>0</v>
      </c>
      <c r="E38" s="63">
        <f>Transportation3042667890102114126138150[[#This Row],[Projected 
Cost]]-Transportation3042667890102114126138150[[#This Row],[Actual 
Cost]]</f>
        <v>0</v>
      </c>
      <c r="F38" s="11"/>
      <c r="G38" s="60" t="s">
        <v>22</v>
      </c>
      <c r="H38" s="61">
        <f>Loans2941657789101113125137[[#This Row],[Projected 
Cost]]+Loans2941657789101113125[[#This Row],[Projected 
Cost]]+Loans2941657789101113[[#This Row],[Projected 
Cost]]+Loans2941657789101[[#This Row],[Projected 
Cost]]+Loans2941657789[[#This Row],[Projected 
Cost]]+Loans29416577[[#This Row],[Projected 
Cost]]+Loans294165[[#This Row],[Projected 
Cost]]+Loans294153[[#This Row],[Projected 
Cost]]+Loans2941[[#This Row],[Projected 
Cost]]+Loans29[[#This Row],[Projected 
Cost]]+Loans17[[#This Row],[Projected 
Cost]]+Loans[[#This Row],[Projected 
Cost]]</f>
        <v>0</v>
      </c>
      <c r="I38" s="61">
        <f>Loans2941657789101113125137[[#This Row],[Actual 
Cost]]+Loans2941657789101113125[[#This Row],[Actual 
Cost]]+Loans2941657789101113[[#This Row],[Actual 
Cost]]+Loans2941657789101[[#This Row],[Actual 
Cost]]+Loans2941657789[[#This Row],[Actual 
Cost]]+Loans29416577[[#This Row],[Actual 
Cost]]+Loans294165[[#This Row],[Actual 
Cost]]+Loans294153[[#This Row],[Actual 
Cost]]+Loans2941[[#This Row],[Actual 
Cost]]+Loans29[[#This Row],[Actual 
Cost]]+Loans17[[#This Row],[Actual 
Cost]]+Loans[[#This Row],[Actual 
Cost]]</f>
        <v>0</v>
      </c>
      <c r="J38" s="63">
        <f>Loans2941657789101113125137149[[#This Row],[Projected 
Cost]]-Loans2941657789101113125137149[[#This Row],[Actual 
Cost]]</f>
        <v>0</v>
      </c>
    </row>
    <row r="39" spans="1:10" ht="16" x14ac:dyDescent="0.2">
      <c r="B39" s="60" t="s">
        <v>25</v>
      </c>
      <c r="C39" s="61">
        <f>Transportation3042667890102114126138[[#This Row],[Projected 
Cost]]+Transportation3042667890102114126[[#This Row],[Projected 
Cost]]+Transportation3042667890102114[[#This Row],[Projected 
Cost]]+Transportation3042667890102[[#This Row],[Projected 
Cost]]+Transportation3042667890[[#This Row],[Projected 
Cost]]+Transportation30426678[[#This Row],[Projected 
Cost]]+Transportation304266[[#This Row],[Projected 
Cost]]+Transportation304254[[#This Row],[Projected 
Cost]]+Transportation3042[[#This Row],[Projected 
Cost]]+Transportation30[[#This Row],[Projected 
Cost]]+Transportation18[[#This Row],[Projected 
Cost]]+Transportation[[#This Row],[Projected 
Cost]]</f>
        <v>0</v>
      </c>
      <c r="D39" s="61">
        <f>Transportation3042667890102114126138[[#This Row],[Actual 
Cost]]+Transportation3042667890102114126[[#This Row],[Actual 
Cost]]+Transportation3042667890102114[[#This Row],[Actual 
Cost]]+Transportation3042667890102[[#This Row],[Actual 
Cost]]+Transportation3042667890[[#This Row],[Actual 
Cost]]+Transportation30426678[[#This Row],[Actual 
Cost]]+Transportation304266[[#This Row],[Actual 
Cost]]+Transportation304254[[#This Row],[Actual 
Cost]]+Transportation3042[[#This Row],[Actual 
Cost]]+Transportation30[[#This Row],[Actual 
Cost]]+Transportation18[[#This Row],[Actual 
Cost]]+Transportation[[#This Row],[Actual 
Cost]]</f>
        <v>0</v>
      </c>
      <c r="E39" s="63">
        <f>Transportation3042667890102114126138150[[#This Row],[Projected 
Cost]]-Transportation3042667890102114126138150[[#This Row],[Actual 
Cost]]</f>
        <v>0</v>
      </c>
      <c r="F39" s="11"/>
      <c r="G39" s="60" t="s">
        <v>22</v>
      </c>
      <c r="H39" s="61">
        <f>Loans2941657789101113125137[[#This Row],[Projected 
Cost]]+Loans2941657789101113125[[#This Row],[Projected 
Cost]]+Loans2941657789101113[[#This Row],[Projected 
Cost]]+Loans2941657789101[[#This Row],[Projected 
Cost]]+Loans2941657789[[#This Row],[Projected 
Cost]]+Loans29416577[[#This Row],[Projected 
Cost]]+Loans294165[[#This Row],[Projected 
Cost]]+Loans294153[[#This Row],[Projected 
Cost]]+Loans2941[[#This Row],[Projected 
Cost]]+Loans29[[#This Row],[Projected 
Cost]]+Loans17[[#This Row],[Projected 
Cost]]+Loans[[#This Row],[Projected 
Cost]]</f>
        <v>0</v>
      </c>
      <c r="I39" s="61">
        <f>Loans2941657789101113125137[[#This Row],[Actual 
Cost]]+Loans2941657789101113125[[#This Row],[Actual 
Cost]]+Loans2941657789101113[[#This Row],[Actual 
Cost]]+Loans2941657789101[[#This Row],[Actual 
Cost]]+Loans2941657789[[#This Row],[Actual 
Cost]]+Loans29416577[[#This Row],[Actual 
Cost]]+Loans294165[[#This Row],[Actual 
Cost]]+Loans294153[[#This Row],[Actual 
Cost]]+Loans2941[[#This Row],[Actual 
Cost]]+Loans29[[#This Row],[Actual 
Cost]]+Loans17[[#This Row],[Actual 
Cost]]+Loans[[#This Row],[Actual 
Cost]]</f>
        <v>0</v>
      </c>
      <c r="J39" s="63">
        <f>Loans2941657789101113125137149[[#This Row],[Projected 
Cost]]-Loans2941657789101113125137149[[#This Row],[Actual 
Cost]]</f>
        <v>0</v>
      </c>
    </row>
    <row r="40" spans="1:10" ht="16" x14ac:dyDescent="0.2">
      <c r="B40" s="60" t="s">
        <v>26</v>
      </c>
      <c r="C40" s="61">
        <f>Transportation3042667890102114126138[[#This Row],[Projected 
Cost]]+Transportation3042667890102114126[[#This Row],[Projected 
Cost]]+Transportation3042667890102114[[#This Row],[Projected 
Cost]]+Transportation3042667890102[[#This Row],[Projected 
Cost]]+Transportation3042667890[[#This Row],[Projected 
Cost]]+Transportation30426678[[#This Row],[Projected 
Cost]]+Transportation304266[[#This Row],[Projected 
Cost]]+Transportation304254[[#This Row],[Projected 
Cost]]+Transportation3042[[#This Row],[Projected 
Cost]]+Transportation30[[#This Row],[Projected 
Cost]]+Transportation18[[#This Row],[Projected 
Cost]]+Transportation[[#This Row],[Projected 
Cost]]</f>
        <v>0</v>
      </c>
      <c r="D40" s="61">
        <f>Transportation3042667890102114126138[[#This Row],[Actual 
Cost]]+Transportation3042667890102114126[[#This Row],[Actual 
Cost]]+Transportation3042667890102114[[#This Row],[Actual 
Cost]]+Transportation3042667890102[[#This Row],[Actual 
Cost]]+Transportation3042667890[[#This Row],[Actual 
Cost]]+Transportation30426678[[#This Row],[Actual 
Cost]]+Transportation304266[[#This Row],[Actual 
Cost]]+Transportation304254[[#This Row],[Actual 
Cost]]+Transportation3042[[#This Row],[Actual 
Cost]]+Transportation30[[#This Row],[Actual 
Cost]]+Transportation18[[#This Row],[Actual 
Cost]]+Transportation[[#This Row],[Actual 
Cost]]</f>
        <v>0</v>
      </c>
      <c r="E40" s="63">
        <f>Transportation3042667890102114126138150[[#This Row],[Projected 
Cost]]-Transportation3042667890102114126138150[[#This Row],[Actual 
Cost]]</f>
        <v>0</v>
      </c>
      <c r="F40" s="11"/>
      <c r="G40" s="60" t="s">
        <v>15</v>
      </c>
      <c r="H40" s="61">
        <f>Loans2941657789101113125137[[#This Row],[Projected 
Cost]]+Loans2941657789101113125[[#This Row],[Projected 
Cost]]+Loans2941657789101113[[#This Row],[Projected 
Cost]]+Loans2941657789101[[#This Row],[Projected 
Cost]]+Loans2941657789[[#This Row],[Projected 
Cost]]+Loans29416577[[#This Row],[Projected 
Cost]]+Loans294165[[#This Row],[Projected 
Cost]]+Loans294153[[#This Row],[Projected 
Cost]]+Loans2941[[#This Row],[Projected 
Cost]]+Loans29[[#This Row],[Projected 
Cost]]+Loans17[[#This Row],[Projected 
Cost]]+Loans[[#This Row],[Projected 
Cost]]</f>
        <v>0</v>
      </c>
      <c r="I40" s="61">
        <f>Loans2941657789101113125137[[#This Row],[Actual 
Cost]]+Loans2941657789101113125[[#This Row],[Actual 
Cost]]+Loans2941657789101113[[#This Row],[Actual 
Cost]]+Loans2941657789101[[#This Row],[Actual 
Cost]]+Loans2941657789[[#This Row],[Actual 
Cost]]+Loans29416577[[#This Row],[Actual 
Cost]]+Loans294165[[#This Row],[Actual 
Cost]]+Loans294153[[#This Row],[Actual 
Cost]]+Loans2941[[#This Row],[Actual 
Cost]]+Loans29[[#This Row],[Actual 
Cost]]+Loans17[[#This Row],[Actual 
Cost]]+Loans[[#This Row],[Actual 
Cost]]</f>
        <v>0</v>
      </c>
      <c r="J40" s="63">
        <f>Loans2941657789101113125137149[[#This Row],[Projected 
Cost]]-Loans2941657789101113125137149[[#This Row],[Actual 
Cost]]</f>
        <v>0</v>
      </c>
    </row>
    <row r="41" spans="1:10" ht="17" thickBot="1" x14ac:dyDescent="0.25">
      <c r="B41" s="60" t="s">
        <v>15</v>
      </c>
      <c r="C41" s="61">
        <f>Transportation3042667890102114126138[[#This Row],[Projected 
Cost]]+Transportation3042667890102114126[[#This Row],[Projected 
Cost]]+Transportation3042667890102114[[#This Row],[Projected 
Cost]]+Transportation3042667890102[[#This Row],[Projected 
Cost]]+Transportation3042667890[[#This Row],[Projected 
Cost]]+Transportation30426678[[#This Row],[Projected 
Cost]]+Transportation304266[[#This Row],[Projected 
Cost]]+Transportation304254[[#This Row],[Projected 
Cost]]+Transportation3042[[#This Row],[Projected 
Cost]]+Transportation30[[#This Row],[Projected 
Cost]]+Transportation18[[#This Row],[Projected 
Cost]]+Transportation[[#This Row],[Projected 
Cost]]</f>
        <v>0</v>
      </c>
      <c r="D41" s="61">
        <f>Transportation3042667890102114126138[[#This Row],[Actual 
Cost]]+Transportation3042667890102114126[[#This Row],[Actual 
Cost]]+Transportation3042667890102114[[#This Row],[Actual 
Cost]]+Transportation3042667890102[[#This Row],[Actual 
Cost]]+Transportation3042667890[[#This Row],[Actual 
Cost]]+Transportation30426678[[#This Row],[Actual 
Cost]]+Transportation304266[[#This Row],[Actual 
Cost]]+Transportation304254[[#This Row],[Actual 
Cost]]+Transportation3042[[#This Row],[Actual 
Cost]]+Transportation30[[#This Row],[Actual 
Cost]]+Transportation18[[#This Row],[Actual 
Cost]]+Transportation[[#This Row],[Actual 
Cost]]</f>
        <v>0</v>
      </c>
      <c r="E41" s="63">
        <f>Transportation3042667890102114126138150[[#This Row],[Projected 
Cost]]-Transportation3042667890102114126138150[[#This Row],[Actual 
Cost]]</f>
        <v>0</v>
      </c>
      <c r="F41" s="11"/>
      <c r="G41" s="120" t="s">
        <v>49</v>
      </c>
      <c r="H41" s="121">
        <f>SUBTOTAL(109,Loans2941657789101113125137149[Projected 
Cost])</f>
        <v>0</v>
      </c>
      <c r="I41" s="122">
        <f>SUBTOTAL(109,Loans2941657789101113125137149[Actual 
Cost])</f>
        <v>0</v>
      </c>
      <c r="J41" s="123">
        <f>SUBTOTAL(109,Loans2941657789101113125137149[Difference])</f>
        <v>0</v>
      </c>
    </row>
    <row r="42" spans="1:10" ht="18" thickTop="1" thickBot="1" x14ac:dyDescent="0.25">
      <c r="B42" s="120" t="s">
        <v>49</v>
      </c>
      <c r="C42" s="121">
        <f>SUBTOTAL(109,Transportation3042667890102114126138150[Projected 
Cost])</f>
        <v>0</v>
      </c>
      <c r="D42" s="122">
        <f>SUBTOTAL(109,Transportation3042667890102114126138150[Actual 
Cost])</f>
        <v>0</v>
      </c>
      <c r="E42" s="123">
        <f>SUBTOTAL(109,Transportation3042667890102114126138150[Difference])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>
        <f>Insurance3143677991103115127139[[#This Row],[Projected 
Cost]]+Insurance3143677991103115127[[#This Row],[Projected 
Cost]]+Insurance3143677991103115[[#This Row],[Projected 
Cost]]+Insurance3143677991103[[#This Row],[Projected 
Cost]]+Insurance3143677991[[#This Row],[Projected 
Cost]]+Insurance31436779[[#This Row],[Projected 
Cost]]+Insurance314367[[#This Row],[Projected 
Cost]]+Insurance314355[[#This Row],[Projected 
Cost]]+Insurance3143[[#This Row],[Projected 
Cost]]+Insurance31[[#This Row],[Projected 
Cost]]+Insurance19[[#This Row],[Projected 
Cost]]+Insurance[[#This Row],[Projected 
Cost]]</f>
        <v>0</v>
      </c>
      <c r="D46" s="81">
        <f>Insurance3143677991103115127139[[#This Row],[Actual 
Cost]]+Insurance3143677991103115127[[#This Row],[Actual 
Cost]]+Insurance3143677991103115[[#This Row],[Actual 
Cost]]+Insurance3143677991103[[#This Row],[Actual 
Cost]]+Insurance3143677991[[#This Row],[Actual 
Cost]]+Insurance31436779[[#This Row],[Actual 
Cost]]+Insurance314367[[#This Row],[Actual 
Cost]]+Insurance314355[[#This Row],[Actual 
Cost]]+Insurance3143[[#This Row],[Actual 
Cost]]+Insurance31[[#This Row],[Actual 
Cost]]+Insurance19[[#This Row],[Actual 
Cost]]+Insurance[[#This Row],[Actual 
Cost]]</f>
        <v>0</v>
      </c>
      <c r="E46" s="83">
        <f>Insurance3143677991103115127139151[[#This Row],[Projected 
Cost]]-Insurance3143677991103115127139151[[#This Row],[Actual 
Cost]]</f>
        <v>0</v>
      </c>
      <c r="F46" s="11"/>
      <c r="G46" s="84" t="s">
        <v>30</v>
      </c>
      <c r="H46" s="85">
        <f>Savings3244688092104116128140[[#This Row],[Projected 
Cost]]+Savings3244688092104116128[[#This Row],[Projected 
Cost]]+Savings3244688092104116[[#This Row],[Projected 
Cost]]+Savings3244688092104[[#This Row],[Projected 
Cost]]+Savings3244688092[[#This Row],[Projected 
Cost]]+Savings32446880[[#This Row],[Projected 
Cost]]+Savings324468[[#This Row],[Projected 
Cost]]+Savings324456[[#This Row],[Projected 
Cost]]+Savings3244[[#This Row],[Projected 
Cost]]+Savings32[[#This Row],[Projected 
Cost]]+Savings20[[#This Row],[Projected 
Cost]]+Savings[[#This Row],[Projected 
Cost]]</f>
        <v>0</v>
      </c>
      <c r="I46" s="85">
        <f>Savings3244688092104116128140[[#This Row],[Actual 
Cost]]+Savings3244688092104116128[[#This Row],[Actual 
Cost]]+Savings3244688092104116[[#This Row],[Actual 
Cost]]+Savings3244688092104[[#This Row],[Actual 
Cost]]+Savings3244688092[[#This Row],[Actual 
Cost]]+Savings32446880[[#This Row],[Actual 
Cost]]+Savings324468[[#This Row],[Actual 
Cost]]+Savings324456[[#This Row],[Actual 
Cost]]+Savings3244[[#This Row],[Actual 
Cost]]+Savings32[[#This Row],[Actual 
Cost]]+Savings20[[#This Row],[Actual 
Cost]]+Savings[[#This Row],[Actual 
Cost]]</f>
        <v>0</v>
      </c>
      <c r="J46" s="87">
        <f>Savings3244688092104116128140152[[#This Row],[Projected 
Cost]]-Savings3244688092104116128140152[[#This Row],[Actual 
Cost]]</f>
        <v>0</v>
      </c>
    </row>
    <row r="47" spans="1:10" ht="16" x14ac:dyDescent="0.2">
      <c r="B47" s="80" t="s">
        <v>28</v>
      </c>
      <c r="C47" s="81">
        <f>Insurance3143677991103115127139[[#This Row],[Projected 
Cost]]+Insurance3143677991103115127[[#This Row],[Projected 
Cost]]+Insurance3143677991103115[[#This Row],[Projected 
Cost]]+Insurance3143677991103[[#This Row],[Projected 
Cost]]+Insurance3143677991[[#This Row],[Projected 
Cost]]+Insurance31436779[[#This Row],[Projected 
Cost]]+Insurance314367[[#This Row],[Projected 
Cost]]+Insurance314355[[#This Row],[Projected 
Cost]]+Insurance3143[[#This Row],[Projected 
Cost]]+Insurance31[[#This Row],[Projected 
Cost]]+Insurance19[[#This Row],[Projected 
Cost]]+Insurance[[#This Row],[Projected 
Cost]]</f>
        <v>0</v>
      </c>
      <c r="D47" s="81">
        <f>Insurance3143677991103115127139[[#This Row],[Actual 
Cost]]+Insurance3143677991103115127[[#This Row],[Actual 
Cost]]+Insurance3143677991103115[[#This Row],[Actual 
Cost]]+Insurance3143677991103[[#This Row],[Actual 
Cost]]+Insurance3143677991[[#This Row],[Actual 
Cost]]+Insurance31436779[[#This Row],[Actual 
Cost]]+Insurance314367[[#This Row],[Actual 
Cost]]+Insurance314355[[#This Row],[Actual 
Cost]]+Insurance3143[[#This Row],[Actual 
Cost]]+Insurance31[[#This Row],[Actual 
Cost]]+Insurance19[[#This Row],[Actual 
Cost]]+Insurance[[#This Row],[Actual 
Cost]]</f>
        <v>0</v>
      </c>
      <c r="E47" s="83">
        <f>Insurance3143677991103115127139151[[#This Row],[Projected 
Cost]]-Insurance3143677991103115127139151[[#This Row],[Actual 
Cost]]</f>
        <v>0</v>
      </c>
      <c r="F47" s="11"/>
      <c r="G47" s="88" t="s">
        <v>31</v>
      </c>
      <c r="H47" s="85">
        <f>Savings3244688092104116128140[[#This Row],[Projected 
Cost]]+Savings3244688092104116128[[#This Row],[Projected 
Cost]]+Savings3244688092104116[[#This Row],[Projected 
Cost]]+Savings3244688092104[[#This Row],[Projected 
Cost]]+Savings3244688092[[#This Row],[Projected 
Cost]]+Savings32446880[[#This Row],[Projected 
Cost]]+Savings324468[[#This Row],[Projected 
Cost]]+Savings324456[[#This Row],[Projected 
Cost]]+Savings3244[[#This Row],[Projected 
Cost]]+Savings32[[#This Row],[Projected 
Cost]]+Savings20[[#This Row],[Projected 
Cost]]+Savings[[#This Row],[Projected 
Cost]]</f>
        <v>0</v>
      </c>
      <c r="I47" s="85">
        <f>Savings3244688092104116128140[[#This Row],[Actual 
Cost]]+Savings3244688092104116128[[#This Row],[Actual 
Cost]]+Savings3244688092104116[[#This Row],[Actual 
Cost]]+Savings3244688092104[[#This Row],[Actual 
Cost]]+Savings3244688092[[#This Row],[Actual 
Cost]]+Savings32446880[[#This Row],[Actual 
Cost]]+Savings324468[[#This Row],[Actual 
Cost]]+Savings324456[[#This Row],[Actual 
Cost]]+Savings3244[[#This Row],[Actual 
Cost]]+Savings32[[#This Row],[Actual 
Cost]]+Savings20[[#This Row],[Actual 
Cost]]+Savings[[#This Row],[Actual 
Cost]]</f>
        <v>0</v>
      </c>
      <c r="J47" s="91">
        <f>Savings3244688092104116128140152[[#This Row],[Projected 
Cost]]-Savings3244688092104116128140152[[#This Row],[Actual 
Cost]]</f>
        <v>0</v>
      </c>
    </row>
    <row r="48" spans="1:10" ht="16" x14ac:dyDescent="0.2">
      <c r="B48" s="80" t="s">
        <v>29</v>
      </c>
      <c r="C48" s="81">
        <f>Insurance3143677991103115127139[[#This Row],[Projected 
Cost]]+Insurance3143677991103115127[[#This Row],[Projected 
Cost]]+Insurance3143677991103115[[#This Row],[Projected 
Cost]]+Insurance3143677991103[[#This Row],[Projected 
Cost]]+Insurance3143677991[[#This Row],[Projected 
Cost]]+Insurance31436779[[#This Row],[Projected 
Cost]]+Insurance314367[[#This Row],[Projected 
Cost]]+Insurance314355[[#This Row],[Projected 
Cost]]+Insurance3143[[#This Row],[Projected 
Cost]]+Insurance31[[#This Row],[Projected 
Cost]]+Insurance19[[#This Row],[Projected 
Cost]]+Insurance[[#This Row],[Projected 
Cost]]</f>
        <v>0</v>
      </c>
      <c r="D48" s="81">
        <f>Insurance3143677991103115127139[[#This Row],[Actual 
Cost]]+Insurance3143677991103115127[[#This Row],[Actual 
Cost]]+Insurance3143677991103115[[#This Row],[Actual 
Cost]]+Insurance3143677991103[[#This Row],[Actual 
Cost]]+Insurance3143677991[[#This Row],[Actual 
Cost]]+Insurance31436779[[#This Row],[Actual 
Cost]]+Insurance314367[[#This Row],[Actual 
Cost]]+Insurance314355[[#This Row],[Actual 
Cost]]+Insurance3143[[#This Row],[Actual 
Cost]]+Insurance31[[#This Row],[Actual 
Cost]]+Insurance19[[#This Row],[Actual 
Cost]]+Insurance[[#This Row],[Actual 
Cost]]</f>
        <v>0</v>
      </c>
      <c r="E48" s="83">
        <f>Insurance3143677991103115127139151[[#This Row],[Projected 
Cost]]-Insurance3143677991103115127139151[[#This Row],[Actual 
Cost]]</f>
        <v>0</v>
      </c>
      <c r="F48" s="11"/>
      <c r="G48" s="88" t="s">
        <v>15</v>
      </c>
      <c r="H48" s="85">
        <f>Savings3244688092104116128140[[#This Row],[Projected 
Cost]]+Savings3244688092104116128[[#This Row],[Projected 
Cost]]+Savings3244688092104116[[#This Row],[Projected 
Cost]]+Savings3244688092104[[#This Row],[Projected 
Cost]]+Savings3244688092[[#This Row],[Projected 
Cost]]+Savings32446880[[#This Row],[Projected 
Cost]]+Savings324468[[#This Row],[Projected 
Cost]]+Savings324456[[#This Row],[Projected 
Cost]]+Savings3244[[#This Row],[Projected 
Cost]]+Savings32[[#This Row],[Projected 
Cost]]+Savings20[[#This Row],[Projected 
Cost]]+Savings[[#This Row],[Projected 
Cost]]</f>
        <v>0</v>
      </c>
      <c r="I48" s="85">
        <f>Savings3244688092104116128140[[#This Row],[Actual 
Cost]]+Savings3244688092104116128[[#This Row],[Actual 
Cost]]+Savings3244688092104116[[#This Row],[Actual 
Cost]]+Savings3244688092104[[#This Row],[Actual 
Cost]]+Savings3244688092[[#This Row],[Actual 
Cost]]+Savings32446880[[#This Row],[Actual 
Cost]]+Savings324468[[#This Row],[Actual 
Cost]]+Savings324456[[#This Row],[Actual 
Cost]]+Savings3244[[#This Row],[Actual 
Cost]]+Savings32[[#This Row],[Actual 
Cost]]+Savings20[[#This Row],[Actual 
Cost]]+Savings[[#This Row],[Actual 
Cost]]</f>
        <v>0</v>
      </c>
      <c r="J48" s="91">
        <f>Savings3244688092104116128140152[[#This Row],[Projected 
Cost]]-Savings3244688092104116128140152[[#This Row],[Actual 
Cost]]</f>
        <v>0</v>
      </c>
    </row>
    <row r="49" spans="1:10" ht="17" thickBot="1" x14ac:dyDescent="0.25">
      <c r="B49" s="80" t="s">
        <v>15</v>
      </c>
      <c r="C49" s="81">
        <f>Insurance3143677991103115127139[[#This Row],[Projected 
Cost]]+Insurance3143677991103115127[[#This Row],[Projected 
Cost]]+Insurance3143677991103115[[#This Row],[Projected 
Cost]]+Insurance3143677991103[[#This Row],[Projected 
Cost]]+Insurance3143677991[[#This Row],[Projected 
Cost]]+Insurance31436779[[#This Row],[Projected 
Cost]]+Insurance314367[[#This Row],[Projected 
Cost]]+Insurance314355[[#This Row],[Projected 
Cost]]+Insurance3143[[#This Row],[Projected 
Cost]]+Insurance31[[#This Row],[Projected 
Cost]]+Insurance19[[#This Row],[Projected 
Cost]]+Insurance[[#This Row],[Projected 
Cost]]</f>
        <v>0</v>
      </c>
      <c r="D49" s="81">
        <f>Insurance3143677991103115127139[[#This Row],[Actual 
Cost]]+Insurance3143677991103115127[[#This Row],[Actual 
Cost]]+Insurance3143677991103115[[#This Row],[Actual 
Cost]]+Insurance3143677991103[[#This Row],[Actual 
Cost]]+Insurance3143677991[[#This Row],[Actual 
Cost]]+Insurance31436779[[#This Row],[Actual 
Cost]]+Insurance314367[[#This Row],[Actual 
Cost]]+Insurance314355[[#This Row],[Actual 
Cost]]+Insurance3143[[#This Row],[Actual 
Cost]]+Insurance31[[#This Row],[Actual 
Cost]]+Insurance19[[#This Row],[Actual 
Cost]]+Insurance[[#This Row],[Actual 
Cost]]</f>
        <v>0</v>
      </c>
      <c r="E49" s="83">
        <f>Insurance3143677991103115127139151[[#This Row],[Projected 
Cost]]-Insurance3143677991103115127139151[[#This Row],[Actual 
Cost]]</f>
        <v>0</v>
      </c>
      <c r="F49" s="11"/>
      <c r="G49" s="124" t="s">
        <v>49</v>
      </c>
      <c r="H49" s="125">
        <f>SUBTOTAL(109,Savings3244688092104116128140152[Projected 
Cost])</f>
        <v>0</v>
      </c>
      <c r="I49" s="126">
        <f>SUBTOTAL(109,Savings3244688092104116128140152[Actual 
Cost])</f>
        <v>0</v>
      </c>
      <c r="J49" s="127">
        <f>SUBTOTAL(109,Savings3244688092104116128140152[Difference])</f>
        <v>0</v>
      </c>
    </row>
    <row r="50" spans="1:10" ht="18" thickTop="1" thickBot="1" x14ac:dyDescent="0.25">
      <c r="B50" s="128" t="s">
        <v>49</v>
      </c>
      <c r="C50" s="129">
        <f>SUBTOTAL(109,Insurance3143677991103115127139151[Projected 
Cost])</f>
        <v>0</v>
      </c>
      <c r="D50" s="130">
        <f>SUBTOTAL(109,Insurance3143677991103115127139151[Actual 
Cost])</f>
        <v>0</v>
      </c>
      <c r="E50" s="131">
        <f>SUBTOTAL(109,Insurance3143677991103115127139151[Difference])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>
        <f>Food3345698193105117129141[[#This Row],[Projected 
Cost]]+Food3345698193105117129[[#This Row],[Projected 
Cost]]+Food3345698193105117[[#This Row],[Projected 
Cost]]+Food3345698193105[[#This Row],[Projected 
Cost]]+Food3345698193[[#This Row],[Projected 
Cost]]+Food33456981[[#This Row],[Projected 
Cost]]+Food334569[[#This Row],[Projected 
Cost]]+Food334557[[#This Row],[Projected 
Cost]]+Food3345[[#This Row],[Projected 
Cost]]+Food33[[#This Row],[Projected 
Cost]]+Food21[[#This Row],[Projected 
Cost]]+Food[[#This Row],[Projected 
Cost]]</f>
        <v>0</v>
      </c>
      <c r="D54" s="61">
        <f>Food3345698193105117129141[[#This Row],[Actual 
Cost]]+Food3345698193105117129[[#This Row],[Actual 
Cost]]+Food3345698193105117[[#This Row],[Actual 
Cost]]+Food3345698193105[[#This Row],[Actual 
Cost]]+Food3345698193[[#This Row],[Actual 
Cost]]+Food33456981[[#This Row],[Actual 
Cost]]+Food334569[[#This Row],[Actual 
Cost]]+Food334557[[#This Row],[Actual 
Cost]]+Food3345[[#This Row],[Actual 
Cost]]+Food33[[#This Row],[Actual 
Cost]]+Food21[[#This Row],[Actual 
Cost]]+Food[[#This Row],[Actual 
Cost]]</f>
        <v>0</v>
      </c>
      <c r="E54" s="63">
        <f>Food3345698193105117129141153[[#This Row],[Projected 
Cost]]-Food3345698193105117129141153[[#This Row],[Actual 
Cost]]</f>
        <v>0</v>
      </c>
      <c r="F54" s="11"/>
      <c r="G54" s="96" t="s">
        <v>34</v>
      </c>
      <c r="H54" s="97">
        <f>Gifts3446708294106118130142[[#This Row],[Projected 
Cost]]+Gifts3446708294106118130[[#This Row],[Projected 
Cost]]+Gifts3446708294106118[[#This Row],[Projected 
Cost]]+Gifts3446708294106[[#This Row],[Projected 
Cost]]+Gifts3446708294[[#This Row],[Projected 
Cost]]+Gifts34467082[[#This Row],[Projected 
Cost]]+Gifts344670[[#This Row],[Projected 
Cost]]+Gifts344658[[#This Row],[Projected 
Cost]]+Gifts3446[[#This Row],[Projected 
Cost]]+Gifts34[[#This Row],[Projected 
Cost]]+Gifts22[[#This Row],[Projected 
Cost]]+Gifts[[#This Row],[Projected 
Cost]]</f>
        <v>0</v>
      </c>
      <c r="I54" s="97">
        <f>Gifts3446708294106118130142[[#This Row],[Actual 
Cost]]+Gifts3446708294106118130[[#This Row],[Actual 
Cost]]+Gifts3446708294106118[[#This Row],[Actual 
Cost]]+Gifts3446708294106[[#This Row],[Actual 
Cost]]+Gifts3446708294[[#This Row],[Actual 
Cost]]+Gifts34467082[[#This Row],[Actual 
Cost]]+Gifts344670[[#This Row],[Actual 
Cost]]+Gifts344658[[#This Row],[Actual 
Cost]]+Gifts3446[[#This Row],[Actual 
Cost]]+Gifts34[[#This Row],[Actual 
Cost]]+Gifts22[[#This Row],[Actual 
Cost]]+Gifts[[#This Row],[Actual 
Cost]]</f>
        <v>0</v>
      </c>
      <c r="J54" s="99">
        <f>Gifts3446708294106118130142154[[#This Row],[Projected 
Cost]]-Gifts3446708294106118130142154[[#This Row],[Actual 
Cost]]</f>
        <v>0</v>
      </c>
    </row>
    <row r="55" spans="1:10" ht="16" x14ac:dyDescent="0.2">
      <c r="B55" s="60" t="s">
        <v>33</v>
      </c>
      <c r="C55" s="61">
        <f>Food3345698193105117129141[[#This Row],[Projected 
Cost]]+Food3345698193105117129[[#This Row],[Projected 
Cost]]+Food3345698193105117[[#This Row],[Projected 
Cost]]+Food3345698193105[[#This Row],[Projected 
Cost]]+Food3345698193[[#This Row],[Projected 
Cost]]+Food33456981[[#This Row],[Projected 
Cost]]+Food334569[[#This Row],[Projected 
Cost]]+Food334557[[#This Row],[Projected 
Cost]]+Food3345[[#This Row],[Projected 
Cost]]+Food33[[#This Row],[Projected 
Cost]]+Food21[[#This Row],[Projected 
Cost]]+Food[[#This Row],[Projected 
Cost]]</f>
        <v>0</v>
      </c>
      <c r="D55" s="61">
        <f>Food3345698193105117129141[[#This Row],[Actual 
Cost]]+Food3345698193105117129[[#This Row],[Actual 
Cost]]+Food3345698193105117[[#This Row],[Actual 
Cost]]+Food3345698193105[[#This Row],[Actual 
Cost]]+Food3345698193[[#This Row],[Actual 
Cost]]+Food33456981[[#This Row],[Actual 
Cost]]+Food334569[[#This Row],[Actual 
Cost]]+Food334557[[#This Row],[Actual 
Cost]]+Food3345[[#This Row],[Actual 
Cost]]+Food33[[#This Row],[Actual 
Cost]]+Food21[[#This Row],[Actual 
Cost]]+Food[[#This Row],[Actual 
Cost]]</f>
        <v>0</v>
      </c>
      <c r="E55" s="63">
        <f>Food3345698193105117129141153[[#This Row],[Projected 
Cost]]-Food3345698193105117129141153[[#This Row],[Actual 
Cost]]</f>
        <v>0</v>
      </c>
      <c r="F55" s="11"/>
      <c r="G55" s="60" t="s">
        <v>35</v>
      </c>
      <c r="H55" s="97">
        <f>Gifts3446708294106118130142[[#This Row],[Projected 
Cost]]+Gifts3446708294106118130[[#This Row],[Projected 
Cost]]+Gifts3446708294106118[[#This Row],[Projected 
Cost]]+Gifts3446708294106[[#This Row],[Projected 
Cost]]+Gifts3446708294[[#This Row],[Projected 
Cost]]+Gifts34467082[[#This Row],[Projected 
Cost]]+Gifts344670[[#This Row],[Projected 
Cost]]+Gifts344658[[#This Row],[Projected 
Cost]]+Gifts3446[[#This Row],[Projected 
Cost]]+Gifts34[[#This Row],[Projected 
Cost]]+Gifts22[[#This Row],[Projected 
Cost]]+Gifts[[#This Row],[Projected 
Cost]]</f>
        <v>0</v>
      </c>
      <c r="I55" s="97">
        <f>Gifts3446708294106118130142[[#This Row],[Actual 
Cost]]+Gifts3446708294106118130[[#This Row],[Actual 
Cost]]+Gifts3446708294106118[[#This Row],[Actual 
Cost]]+Gifts3446708294106[[#This Row],[Actual 
Cost]]+Gifts3446708294[[#This Row],[Actual 
Cost]]+Gifts34467082[[#This Row],[Actual 
Cost]]+Gifts344670[[#This Row],[Actual 
Cost]]+Gifts344658[[#This Row],[Actual 
Cost]]+Gifts3446[[#This Row],[Actual 
Cost]]+Gifts34[[#This Row],[Actual 
Cost]]+Gifts22[[#This Row],[Actual 
Cost]]+Gifts[[#This Row],[Actual 
Cost]]</f>
        <v>0</v>
      </c>
      <c r="J55" s="63">
        <f>Gifts3446708294106118130142154[[#This Row],[Projected 
Cost]]-Gifts3446708294106118130142154[[#This Row],[Actual 
Cost]]</f>
        <v>0</v>
      </c>
    </row>
    <row r="56" spans="1:10" ht="16" x14ac:dyDescent="0.2">
      <c r="B56" s="60" t="s">
        <v>15</v>
      </c>
      <c r="C56" s="61">
        <f>Food3345698193105117129141[[#This Row],[Projected 
Cost]]+Food3345698193105117129[[#This Row],[Projected 
Cost]]+Food3345698193105117[[#This Row],[Projected 
Cost]]+Food3345698193105[[#This Row],[Projected 
Cost]]+Food3345698193[[#This Row],[Projected 
Cost]]+Food33456981[[#This Row],[Projected 
Cost]]+Food334569[[#This Row],[Projected 
Cost]]+Food334557[[#This Row],[Projected 
Cost]]+Food3345[[#This Row],[Projected 
Cost]]+Food33[[#This Row],[Projected 
Cost]]+Food21[[#This Row],[Projected 
Cost]]+Food[[#This Row],[Projected 
Cost]]</f>
        <v>0</v>
      </c>
      <c r="D56" s="61">
        <f>Food3345698193105117129141[[#This Row],[Actual 
Cost]]+Food3345698193105117129[[#This Row],[Actual 
Cost]]+Food3345698193105117[[#This Row],[Actual 
Cost]]+Food3345698193105[[#This Row],[Actual 
Cost]]+Food3345698193[[#This Row],[Actual 
Cost]]+Food33456981[[#This Row],[Actual 
Cost]]+Food334569[[#This Row],[Actual 
Cost]]+Food334557[[#This Row],[Actual 
Cost]]+Food3345[[#This Row],[Actual 
Cost]]+Food33[[#This Row],[Actual 
Cost]]+Food21[[#This Row],[Actual 
Cost]]+Food[[#This Row],[Actual 
Cost]]</f>
        <v>0</v>
      </c>
      <c r="E56" s="63">
        <f>Food3345698193105117129141153[[#This Row],[Projected 
Cost]]-Food3345698193105117129141153[[#This Row],[Actual 
Cost]]</f>
        <v>0</v>
      </c>
      <c r="F56" s="11"/>
      <c r="G56" s="60" t="s">
        <v>37</v>
      </c>
      <c r="H56" s="97">
        <f>Gifts3446708294106118130142[[#This Row],[Projected 
Cost]]+Gifts3446708294106118130[[#This Row],[Projected 
Cost]]+Gifts3446708294106118[[#This Row],[Projected 
Cost]]+Gifts3446708294106[[#This Row],[Projected 
Cost]]+Gifts3446708294[[#This Row],[Projected 
Cost]]+Gifts34467082[[#This Row],[Projected 
Cost]]+Gifts344670[[#This Row],[Projected 
Cost]]+Gifts344658[[#This Row],[Projected 
Cost]]+Gifts3446[[#This Row],[Projected 
Cost]]+Gifts34[[#This Row],[Projected 
Cost]]+Gifts22[[#This Row],[Projected 
Cost]]+Gifts[[#This Row],[Projected 
Cost]]</f>
        <v>0</v>
      </c>
      <c r="I56" s="97">
        <f>Gifts3446708294106118130142[[#This Row],[Actual 
Cost]]+Gifts3446708294106118130[[#This Row],[Actual 
Cost]]+Gifts3446708294106118[[#This Row],[Actual 
Cost]]+Gifts3446708294106[[#This Row],[Actual 
Cost]]+Gifts3446708294[[#This Row],[Actual 
Cost]]+Gifts34467082[[#This Row],[Actual 
Cost]]+Gifts344670[[#This Row],[Actual 
Cost]]+Gifts344658[[#This Row],[Actual 
Cost]]+Gifts3446[[#This Row],[Actual 
Cost]]+Gifts34[[#This Row],[Actual 
Cost]]+Gifts22[[#This Row],[Actual 
Cost]]+Gifts[[#This Row],[Actual 
Cost]]</f>
        <v>0</v>
      </c>
      <c r="J56" s="63">
        <f>Gifts3446708294106118130142154[[#This Row],[Projected 
Cost]]-Gifts3446708294106118130142154[[#This Row],[Actual 
Cost]]</f>
        <v>0</v>
      </c>
    </row>
    <row r="57" spans="1:10" ht="17" thickBot="1" x14ac:dyDescent="0.25">
      <c r="B57" s="120" t="s">
        <v>49</v>
      </c>
      <c r="C57" s="121">
        <f>SUBTOTAL(109,Food3345698193105117129141153[Projected 
Cost])</f>
        <v>0</v>
      </c>
      <c r="D57" s="122">
        <f>SUBTOTAL(109,Food3345698193105117129141153[Actual 
Cost])</f>
        <v>0</v>
      </c>
      <c r="E57" s="123">
        <f>SUBTOTAL(109,Food3345698193105117129141153[Difference])</f>
        <v>0</v>
      </c>
      <c r="F57" s="11"/>
      <c r="G57" s="120" t="s">
        <v>49</v>
      </c>
      <c r="H57" s="121">
        <f>SUBTOTAL(109,Gifts3446708294106118130142154[Projected 
Cost])</f>
        <v>0</v>
      </c>
      <c r="I57" s="122">
        <f>SUBTOTAL(109,Gifts3446708294106118130142154[Actual 
Cost])</f>
        <v>0</v>
      </c>
      <c r="J57" s="123">
        <f>SUBTOTAL(109,Gifts3446708294106118130142154[Difference])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>
        <f>Pets3547718395107119131143[[#This Row],[Projected 
Cost]]+Pets3547718395107119131[[#This Row],[Projected 
Cost]]+Pets3547718395107119[[#This Row],[Projected 
Cost]]+Pets3547718395107[[#This Row],[Projected 
Cost]]+Pets3547718395[[#This Row],[Projected 
Cost]]+Pets35477183[[#This Row],[Projected 
Cost]]+Pets354771[[#This Row],[Projected 
Cost]]+Pets354759[[#This Row],[Projected 
Cost]]+Pets3547[[#This Row],[Projected 
Cost]]+Pets35[[#This Row],[Projected 
Cost]]+Pets23[[#This Row],[Projected 
Cost]]+Pets[[#This Row],[Projected 
Cost]]</f>
        <v>0</v>
      </c>
      <c r="D61" s="97">
        <f>Pets3547718395107119131143[[#This Row],[Actual 
Cost]]+Pets3547718395107119131[[#This Row],[Actual 
Cost]]+Pets3547718395107119[[#This Row],[Actual 
Cost]]+Pets3547718395107[[#This Row],[Actual 
Cost]]+Pets3547718395[[#This Row],[Actual 
Cost]]+Pets35477183[[#This Row],[Actual 
Cost]]+Pets354771[[#This Row],[Actual 
Cost]]+Pets354759[[#This Row],[Actual 
Cost]]+Pets3547[[#This Row],[Actual 
Cost]]+Pets35[[#This Row],[Actual 
Cost]]+Pets23[[#This Row],[Actual 
Cost]]+Pets[[#This Row],[Actual 
Cost]]</f>
        <v>0</v>
      </c>
      <c r="E61" s="99">
        <f>Pets3547718395107119131143155[[#This Row],[Projected 
Cost]]-Pets3547718395107119131143155[[#This Row],[Actual 
Cost]]</f>
        <v>0</v>
      </c>
      <c r="F61" s="11"/>
      <c r="G61" s="96" t="s">
        <v>41</v>
      </c>
      <c r="H61" s="97">
        <f>Legal3648728496108120132144[[#This Row],[Projected 
Cost]]+Legal3648728496108120132[[#This Row],[Projected 
Cost]]+Legal3648728496108120[[#This Row],[Projected 
Cost]]+Legal3648728496108[[#This Row],[Projected 
Cost]]+Legal3648728496[[#This Row],[Projected 
Cost]]+Legal36487284[[#This Row],[Projected 
Cost]]+Legal364872[[#This Row],[Projected 
Cost]]+Legal364860[[#This Row],[Projected 
Cost]]+Legal3648[[#This Row],[Projected 
Cost]]+Legal36[[#This Row],[Projected 
Cost]]+Legal24[[#This Row],[Projected 
Cost]]+Legal[[#This Row],[Projected 
Cost]]</f>
        <v>0</v>
      </c>
      <c r="I61" s="97">
        <f>Legal3648728496108120132144[[#This Row],[Actual 
Cost]]+Legal3648728496108120132[[#This Row],[Actual 
Cost]]+Legal3648728496108120[[#This Row],[Actual 
Cost]]+Legal3648728496108[[#This Row],[Actual 
Cost]]+Legal3648728496[[#This Row],[Actual 
Cost]]+Legal36487284[[#This Row],[Actual 
Cost]]+Legal364872[[#This Row],[Actual 
Cost]]+Legal364860[[#This Row],[Actual 
Cost]]+Legal3648[[#This Row],[Actual 
Cost]]+Legal36[[#This Row],[Actual 
Cost]]+Legal24[[#This Row],[Actual 
Cost]]+Legal[[#This Row],[Actual 
Cost]]</f>
        <v>0</v>
      </c>
      <c r="J61" s="99">
        <f>Legal3648728496108120132144156[[#This Row],[Projected 
Cost]]-Legal3648728496108120132144156[[#This Row],[Actual 
Cost]]</f>
        <v>0</v>
      </c>
    </row>
    <row r="62" spans="1:10" ht="16" x14ac:dyDescent="0.2">
      <c r="B62" s="60" t="s">
        <v>38</v>
      </c>
      <c r="C62" s="97">
        <f>Pets3547718395107119131143[[#This Row],[Projected 
Cost]]+Pets3547718395107119131[[#This Row],[Projected 
Cost]]+Pets3547718395107119[[#This Row],[Projected 
Cost]]+Pets3547718395107[[#This Row],[Projected 
Cost]]+Pets3547718395[[#This Row],[Projected 
Cost]]+Pets35477183[[#This Row],[Projected 
Cost]]+Pets354771[[#This Row],[Projected 
Cost]]+Pets354759[[#This Row],[Projected 
Cost]]+Pets3547[[#This Row],[Projected 
Cost]]+Pets35[[#This Row],[Projected 
Cost]]+Pets23[[#This Row],[Projected 
Cost]]+Pets[[#This Row],[Projected 
Cost]]</f>
        <v>0</v>
      </c>
      <c r="D62" s="97">
        <f>Pets3547718395107119131143[[#This Row],[Actual 
Cost]]+Pets3547718395107119131[[#This Row],[Actual 
Cost]]+Pets3547718395107119[[#This Row],[Actual 
Cost]]+Pets3547718395107[[#This Row],[Actual 
Cost]]+Pets3547718395[[#This Row],[Actual 
Cost]]+Pets35477183[[#This Row],[Actual 
Cost]]+Pets354771[[#This Row],[Actual 
Cost]]+Pets354759[[#This Row],[Actual 
Cost]]+Pets3547[[#This Row],[Actual 
Cost]]+Pets35[[#This Row],[Actual 
Cost]]+Pets23[[#This Row],[Actual 
Cost]]+Pets[[#This Row],[Actual 
Cost]]</f>
        <v>0</v>
      </c>
      <c r="E62" s="63">
        <f>Pets3547718395107119131143155[[#This Row],[Projected 
Cost]]-Pets3547718395107119131143155[[#This Row],[Actual 
Cost]]</f>
        <v>0</v>
      </c>
      <c r="F62" s="11"/>
      <c r="G62" s="60" t="s">
        <v>42</v>
      </c>
      <c r="H62" s="97">
        <f>Legal3648728496108120132144[[#This Row],[Projected 
Cost]]+Legal3648728496108120132[[#This Row],[Projected 
Cost]]+Legal3648728496108120[[#This Row],[Projected 
Cost]]+Legal3648728496108[[#This Row],[Projected 
Cost]]+Legal3648728496[[#This Row],[Projected 
Cost]]+Legal36487284[[#This Row],[Projected 
Cost]]+Legal364872[[#This Row],[Projected 
Cost]]+Legal364860[[#This Row],[Projected 
Cost]]+Legal3648[[#This Row],[Projected 
Cost]]+Legal36[[#This Row],[Projected 
Cost]]+Legal24[[#This Row],[Projected 
Cost]]+Legal[[#This Row],[Projected 
Cost]]</f>
        <v>0</v>
      </c>
      <c r="I62" s="97">
        <f>Legal3648728496108120132144[[#This Row],[Actual 
Cost]]+Legal3648728496108120132[[#This Row],[Actual 
Cost]]+Legal3648728496108120[[#This Row],[Actual 
Cost]]+Legal3648728496108[[#This Row],[Actual 
Cost]]+Legal3648728496[[#This Row],[Actual 
Cost]]+Legal36487284[[#This Row],[Actual 
Cost]]+Legal364872[[#This Row],[Actual 
Cost]]+Legal364860[[#This Row],[Actual 
Cost]]+Legal3648[[#This Row],[Actual 
Cost]]+Legal36[[#This Row],[Actual 
Cost]]+Legal24[[#This Row],[Actual 
Cost]]+Legal[[#This Row],[Actual 
Cost]]</f>
        <v>0</v>
      </c>
      <c r="J62" s="63">
        <f>Legal3648728496108120132144156[[#This Row],[Projected 
Cost]]-Legal3648728496108120132144156[[#This Row],[Actual 
Cost]]</f>
        <v>0</v>
      </c>
    </row>
    <row r="63" spans="1:10" ht="16" x14ac:dyDescent="0.2">
      <c r="B63" s="60" t="s">
        <v>39</v>
      </c>
      <c r="C63" s="97">
        <f>Pets3547718395107119131143[[#This Row],[Projected 
Cost]]+Pets3547718395107119131[[#This Row],[Projected 
Cost]]+Pets3547718395107119[[#This Row],[Projected 
Cost]]+Pets3547718395107[[#This Row],[Projected 
Cost]]+Pets3547718395[[#This Row],[Projected 
Cost]]+Pets35477183[[#This Row],[Projected 
Cost]]+Pets354771[[#This Row],[Projected 
Cost]]+Pets354759[[#This Row],[Projected 
Cost]]+Pets3547[[#This Row],[Projected 
Cost]]+Pets35[[#This Row],[Projected 
Cost]]+Pets23[[#This Row],[Projected 
Cost]]+Pets[[#This Row],[Projected 
Cost]]</f>
        <v>0</v>
      </c>
      <c r="D63" s="97">
        <f>Pets3547718395107119131143[[#This Row],[Actual 
Cost]]+Pets3547718395107119131[[#This Row],[Actual 
Cost]]+Pets3547718395107119[[#This Row],[Actual 
Cost]]+Pets3547718395107[[#This Row],[Actual 
Cost]]+Pets3547718395[[#This Row],[Actual 
Cost]]+Pets35477183[[#This Row],[Actual 
Cost]]+Pets354771[[#This Row],[Actual 
Cost]]+Pets354759[[#This Row],[Actual 
Cost]]+Pets3547[[#This Row],[Actual 
Cost]]+Pets35[[#This Row],[Actual 
Cost]]+Pets23[[#This Row],[Actual 
Cost]]+Pets[[#This Row],[Actual 
Cost]]</f>
        <v>0</v>
      </c>
      <c r="E63" s="63">
        <f>Pets3547718395107119131143155[[#This Row],[Projected 
Cost]]-Pets3547718395107119131143155[[#This Row],[Actual 
Cost]]</f>
        <v>0</v>
      </c>
      <c r="F63" s="11"/>
      <c r="G63" s="60" t="s">
        <v>43</v>
      </c>
      <c r="H63" s="97">
        <f>Legal3648728496108120132144[[#This Row],[Projected 
Cost]]+Legal3648728496108120132[[#This Row],[Projected 
Cost]]+Legal3648728496108120[[#This Row],[Projected 
Cost]]+Legal3648728496108[[#This Row],[Projected 
Cost]]+Legal3648728496[[#This Row],[Projected 
Cost]]+Legal36487284[[#This Row],[Projected 
Cost]]+Legal364872[[#This Row],[Projected 
Cost]]+Legal364860[[#This Row],[Projected 
Cost]]+Legal3648[[#This Row],[Projected 
Cost]]+Legal36[[#This Row],[Projected 
Cost]]+Legal24[[#This Row],[Projected 
Cost]]+Legal[[#This Row],[Projected 
Cost]]</f>
        <v>0</v>
      </c>
      <c r="I63" s="97">
        <f>Legal3648728496108120132144[[#This Row],[Actual 
Cost]]+Legal3648728496108120132[[#This Row],[Actual 
Cost]]+Legal3648728496108120[[#This Row],[Actual 
Cost]]+Legal3648728496108[[#This Row],[Actual 
Cost]]+Legal3648728496[[#This Row],[Actual 
Cost]]+Legal36487284[[#This Row],[Actual 
Cost]]+Legal364872[[#This Row],[Actual 
Cost]]+Legal364860[[#This Row],[Actual 
Cost]]+Legal3648[[#This Row],[Actual 
Cost]]+Legal36[[#This Row],[Actual 
Cost]]+Legal24[[#This Row],[Actual 
Cost]]+Legal[[#This Row],[Actual 
Cost]]</f>
        <v>0</v>
      </c>
      <c r="J63" s="63">
        <f>Legal3648728496108120132144156[[#This Row],[Projected 
Cost]]-Legal3648728496108120132144156[[#This Row],[Actual 
Cost]]</f>
        <v>0</v>
      </c>
    </row>
    <row r="64" spans="1:10" ht="16" x14ac:dyDescent="0.2">
      <c r="B64" s="60" t="s">
        <v>40</v>
      </c>
      <c r="C64" s="97">
        <f>Pets3547718395107119131143[[#This Row],[Projected 
Cost]]+Pets3547718395107119131[[#This Row],[Projected 
Cost]]+Pets3547718395107119[[#This Row],[Projected 
Cost]]+Pets3547718395107[[#This Row],[Projected 
Cost]]+Pets3547718395[[#This Row],[Projected 
Cost]]+Pets35477183[[#This Row],[Projected 
Cost]]+Pets354771[[#This Row],[Projected 
Cost]]+Pets354759[[#This Row],[Projected 
Cost]]+Pets3547[[#This Row],[Projected 
Cost]]+Pets35[[#This Row],[Projected 
Cost]]+Pets23[[#This Row],[Projected 
Cost]]+Pets[[#This Row],[Projected 
Cost]]</f>
        <v>0</v>
      </c>
      <c r="D64" s="97">
        <f>Pets3547718395107119131143[[#This Row],[Actual 
Cost]]+Pets3547718395107119131[[#This Row],[Actual 
Cost]]+Pets3547718395107119[[#This Row],[Actual 
Cost]]+Pets3547718395107[[#This Row],[Actual 
Cost]]+Pets3547718395[[#This Row],[Actual 
Cost]]+Pets35477183[[#This Row],[Actual 
Cost]]+Pets354771[[#This Row],[Actual 
Cost]]+Pets354759[[#This Row],[Actual 
Cost]]+Pets3547[[#This Row],[Actual 
Cost]]+Pets35[[#This Row],[Actual 
Cost]]+Pets23[[#This Row],[Actual 
Cost]]+Pets[[#This Row],[Actual 
Cost]]</f>
        <v>0</v>
      </c>
      <c r="E64" s="63">
        <f>Pets3547718395107119131143155[[#This Row],[Projected 
Cost]]-Pets3547718395107119131143155[[#This Row],[Actual 
Cost]]</f>
        <v>0</v>
      </c>
      <c r="F64" s="11"/>
      <c r="G64" s="60" t="s">
        <v>15</v>
      </c>
      <c r="H64" s="97">
        <f>Legal3648728496108120132144[[#This Row],[Projected 
Cost]]+Legal3648728496108120132[[#This Row],[Projected 
Cost]]+Legal3648728496108120[[#This Row],[Projected 
Cost]]+Legal3648728496108[[#This Row],[Projected 
Cost]]+Legal3648728496[[#This Row],[Projected 
Cost]]+Legal36487284[[#This Row],[Projected 
Cost]]+Legal364872[[#This Row],[Projected 
Cost]]+Legal364860[[#This Row],[Projected 
Cost]]+Legal3648[[#This Row],[Projected 
Cost]]+Legal36[[#This Row],[Projected 
Cost]]+Legal24[[#This Row],[Projected 
Cost]]+Legal[[#This Row],[Projected 
Cost]]</f>
        <v>0</v>
      </c>
      <c r="I64" s="97">
        <f>Legal3648728496108120132144[[#This Row],[Actual 
Cost]]+Legal3648728496108120132[[#This Row],[Actual 
Cost]]+Legal3648728496108120[[#This Row],[Actual 
Cost]]+Legal3648728496108[[#This Row],[Actual 
Cost]]+Legal3648728496[[#This Row],[Actual 
Cost]]+Legal36487284[[#This Row],[Actual 
Cost]]+Legal364872[[#This Row],[Actual 
Cost]]+Legal364860[[#This Row],[Actual 
Cost]]+Legal3648[[#This Row],[Actual 
Cost]]+Legal36[[#This Row],[Actual 
Cost]]+Legal24[[#This Row],[Actual 
Cost]]+Legal[[#This Row],[Actual 
Cost]]</f>
        <v>0</v>
      </c>
      <c r="J64" s="63">
        <f>Legal3648728496108120132144156[[#This Row],[Projected 
Cost]]-Legal3648728496108120132144156[[#This Row],[Actual 
Cost]]</f>
        <v>0</v>
      </c>
    </row>
    <row r="65" spans="1:10" ht="17" thickBot="1" x14ac:dyDescent="0.25">
      <c r="B65" s="60" t="s">
        <v>15</v>
      </c>
      <c r="C65" s="97">
        <f>Pets3547718395107119131143[[#This Row],[Projected 
Cost]]+Pets3547718395107119131[[#This Row],[Projected 
Cost]]+Pets3547718395107119[[#This Row],[Projected 
Cost]]+Pets3547718395107[[#This Row],[Projected 
Cost]]+Pets3547718395[[#This Row],[Projected 
Cost]]+Pets35477183[[#This Row],[Projected 
Cost]]+Pets354771[[#This Row],[Projected 
Cost]]+Pets354759[[#This Row],[Projected 
Cost]]+Pets3547[[#This Row],[Projected 
Cost]]+Pets35[[#This Row],[Projected 
Cost]]+Pets23[[#This Row],[Projected 
Cost]]+Pets[[#This Row],[Projected 
Cost]]</f>
        <v>0</v>
      </c>
      <c r="D65" s="97">
        <f>Pets3547718395107119131143[[#This Row],[Actual 
Cost]]+Pets3547718395107119131[[#This Row],[Actual 
Cost]]+Pets3547718395107119[[#This Row],[Actual 
Cost]]+Pets3547718395107[[#This Row],[Actual 
Cost]]+Pets3547718395[[#This Row],[Actual 
Cost]]+Pets35477183[[#This Row],[Actual 
Cost]]+Pets354771[[#This Row],[Actual 
Cost]]+Pets354759[[#This Row],[Actual 
Cost]]+Pets3547[[#This Row],[Actual 
Cost]]+Pets35[[#This Row],[Actual 
Cost]]+Pets23[[#This Row],[Actual 
Cost]]+Pets[[#This Row],[Actual 
Cost]]</f>
        <v>0</v>
      </c>
      <c r="E65" s="63">
        <f>Pets3547718395107119131143155[[#This Row],[Projected 
Cost]]-Pets3547718395107119131143155[[#This Row],[Actual 
Cost]]</f>
        <v>0</v>
      </c>
      <c r="F65" s="11"/>
      <c r="G65" s="120" t="s">
        <v>49</v>
      </c>
      <c r="H65" s="121">
        <f>SUBTOTAL(109,Legal3648728496108120132144156[Projected 
Cost])</f>
        <v>0</v>
      </c>
      <c r="I65" s="122">
        <f>SUBTOTAL(109,Legal3648728496108120132144156[Actual 
Cost])</f>
        <v>0</v>
      </c>
      <c r="J65" s="123">
        <f>SUBTOTAL(109,Legal3648728496108120132144156[Difference])</f>
        <v>0</v>
      </c>
    </row>
    <row r="66" spans="1:10" ht="18" thickTop="1" thickBot="1" x14ac:dyDescent="0.25">
      <c r="B66" s="120" t="s">
        <v>49</v>
      </c>
      <c r="C66" s="121">
        <f>SUBTOTAL(109,Pets3547718395107119131143155[Projected 
Cost])</f>
        <v>0</v>
      </c>
      <c r="D66" s="122">
        <f>SUBTOTAL(109,Pets3547718395107119131143155[Actual 
Cost])</f>
        <v>0</v>
      </c>
      <c r="E66" s="123">
        <f>SUBTOTAL(109,Pets3547718395107119131143155[Difference])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>
        <f>PersonalCare3749738597109121133145[[#This Row],[Projected 
Cost]]+PersonalCare3749738597109121133[[#This Row],[Projected 
Cost]]+PersonalCare3749738597109121[[#This Row],[Projected 
Cost]]+PersonalCare3749738597109[[#This Row],[Projected 
Cost]]+PersonalCare3749738597[[#This Row],[Projected 
Cost]]+PersonalCare37497385[[#This Row],[Projected 
Cost]]+PersonalCare374973[[#This Row],[Projected 
Cost]]+PersonalCare374961[[#This Row],[Projected 
Cost]]+PersonalCare3749[[#This Row],[Projected 
Cost]]+PersonalCare37[[#This Row],[Projected 
Cost]]+PersonalCare25[[#This Row],[Projected 
Cost]]+PersonalCare[[#This Row],[Projected 
Cost]]</f>
        <v>0</v>
      </c>
      <c r="D70" s="97">
        <f>PersonalCare3749738597109121133145[[#This Row],[Actual 
Cost]]+PersonalCare3749738597109121133[[#This Row],[Actual 
Cost]]+PersonalCare3749738597109121[[#This Row],[Actual 
Cost]]+PersonalCare3749738597109[[#This Row],[Actual 
Cost]]+PersonalCare3749738597[[#This Row],[Actual 
Cost]]+PersonalCare37497385[[#This Row],[Actual 
Cost]]+PersonalCare374973[[#This Row],[Actual 
Cost]]+PersonalCare374961[[#This Row],[Actual 
Cost]]+PersonalCare3749[[#This Row],[Actual 
Cost]]+PersonalCare37[[#This Row],[Actual 
Cost]]+PersonalCare25[[#This Row],[Actual 
Cost]]+PersonalCare[[#This Row],[Actual 
Cost]]</f>
        <v>0</v>
      </c>
      <c r="E70" s="99">
        <f>PersonalCare3749738597109121133145157[[#This Row],[Projected 
Cost]]-PersonalCare3749738597109121133145157[[#This Row],[Actual 
Cost]]</f>
        <v>0</v>
      </c>
      <c r="F70" s="11"/>
      <c r="G70" s="150" t="s">
        <v>52</v>
      </c>
      <c r="H70" s="150"/>
      <c r="I70" s="150"/>
      <c r="J70" s="151">
        <f>Housing273963758799111123135147[[#Totals],[Projected
Cost]]+Entertainment2840647688100112124136148[[#Totals],[Projected 
Cost]]+Transportation3042667890102114126138150[[#Totals],[Projected 
Cost]]+Loans2941657789101113125137149[[#Totals],[Projected 
Cost]]+Insurance3143677991103115127139151[[#Totals],[Projected 
Cost]]+Savings3244688092104116128140152[[#Totals],[Projected 
Cost]]+Food3345698193105117129141153[[#Totals],[Projected 
Cost]]+Gifts3446708294106118130142154[[#Totals],[Projected 
Cost]]+Pets3547718395107119131143155[[#Totals],[Projected 
Cost]]+Legal3648728496108120132144156[[#Totals],[Projected 
Cost]]+PersonalCare3749738597109121133145157[[#Totals],[Projected 
Cost]]</f>
        <v>0</v>
      </c>
    </row>
    <row r="71" spans="1:10" ht="16" x14ac:dyDescent="0.2">
      <c r="B71" s="60" t="s">
        <v>44</v>
      </c>
      <c r="C71" s="97">
        <f>PersonalCare3749738597109121133145[[#This Row],[Projected 
Cost]]+PersonalCare3749738597109121133[[#This Row],[Projected 
Cost]]+PersonalCare3749738597109121[[#This Row],[Projected 
Cost]]+PersonalCare3749738597109[[#This Row],[Projected 
Cost]]+PersonalCare3749738597[[#This Row],[Projected 
Cost]]+PersonalCare37497385[[#This Row],[Projected 
Cost]]+PersonalCare374973[[#This Row],[Projected 
Cost]]+PersonalCare374961[[#This Row],[Projected 
Cost]]+PersonalCare3749[[#This Row],[Projected 
Cost]]+PersonalCare37[[#This Row],[Projected 
Cost]]+PersonalCare25[[#This Row],[Projected 
Cost]]+PersonalCare[[#This Row],[Projected 
Cost]]</f>
        <v>0</v>
      </c>
      <c r="D71" s="97">
        <f>PersonalCare3749738597109121133145[[#This Row],[Actual 
Cost]]+PersonalCare3749738597109121133[[#This Row],[Actual 
Cost]]+PersonalCare3749738597109121[[#This Row],[Actual 
Cost]]+PersonalCare3749738597109[[#This Row],[Actual 
Cost]]+PersonalCare3749738597[[#This Row],[Actual 
Cost]]+PersonalCare37497385[[#This Row],[Actual 
Cost]]+PersonalCare374973[[#This Row],[Actual 
Cost]]+PersonalCare374961[[#This Row],[Actual 
Cost]]+PersonalCare3749[[#This Row],[Actual 
Cost]]+PersonalCare37[[#This Row],[Actual 
Cost]]+PersonalCare25[[#This Row],[Actual 
Cost]]+PersonalCare[[#This Row],[Actual 
Cost]]</f>
        <v>0</v>
      </c>
      <c r="E71" s="63">
        <f>PersonalCare3749738597109121133145157[[#This Row],[Projected 
Cost]]-PersonalCare3749738597109121133145157[[#This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97">
        <f>PersonalCare3749738597109121133145[[#This Row],[Projected 
Cost]]+PersonalCare3749738597109121133[[#This Row],[Projected 
Cost]]+PersonalCare3749738597109121[[#This Row],[Projected 
Cost]]+PersonalCare3749738597109[[#This Row],[Projected 
Cost]]+PersonalCare3749738597[[#This Row],[Projected 
Cost]]+PersonalCare37497385[[#This Row],[Projected 
Cost]]+PersonalCare374973[[#This Row],[Projected 
Cost]]+PersonalCare374961[[#This Row],[Projected 
Cost]]+PersonalCare3749[[#This Row],[Projected 
Cost]]+PersonalCare37[[#This Row],[Projected 
Cost]]+PersonalCare25[[#This Row],[Projected 
Cost]]+PersonalCare[[#This Row],[Projected 
Cost]]</f>
        <v>0</v>
      </c>
      <c r="D72" s="97">
        <f>PersonalCare3749738597109121133145[[#This Row],[Actual 
Cost]]+PersonalCare3749738597109121133[[#This Row],[Actual 
Cost]]+PersonalCare3749738597109121[[#This Row],[Actual 
Cost]]+PersonalCare3749738597109[[#This Row],[Actual 
Cost]]+PersonalCare3749738597[[#This Row],[Actual 
Cost]]+PersonalCare37497385[[#This Row],[Actual 
Cost]]+PersonalCare374973[[#This Row],[Actual 
Cost]]+PersonalCare374961[[#This Row],[Actual 
Cost]]+PersonalCare3749[[#This Row],[Actual 
Cost]]+PersonalCare37[[#This Row],[Actual 
Cost]]+PersonalCare25[[#This Row],[Actual 
Cost]]+PersonalCare[[#This Row],[Actual 
Cost]]</f>
        <v>0</v>
      </c>
      <c r="E72" s="63">
        <f>PersonalCare3749738597109121133145157[[#This Row],[Projected 
Cost]]-PersonalCare3749738597109121133145157[[#This Row],[Actual 
Cost]]</f>
        <v>0</v>
      </c>
      <c r="F72" s="11"/>
      <c r="G72" s="146" t="s">
        <v>53</v>
      </c>
      <c r="H72" s="146"/>
      <c r="I72" s="146"/>
      <c r="J72" s="147">
        <f>Housing273963758799111123135147[[#Totals],[Actual 
Cost]]+Entertainment2840647688100112124136148[[#Totals],[Actual 
Cost]]+Transportation3042667890102114126138150[[#Totals],[Actual 
Cost]]+Loans2941657789101113125137149[[#Totals],[Actual 
Cost]]+Insurance3143677991103115127139151[[#Totals],[Actual 
Cost]]+Food3345698193105117129141153[[#Totals],[Actual 
Cost]]+Gifts3446708294106118130142154[[#Totals],[Actual 
Cost]]+Pets3547718395107119131143155[[#Totals],[Actual 
Cost]]+Legal3648728496108120132144156[[#Totals],[Actual 
Cost]]+PersonalCare3749738597109121133145157[[#Totals],[Actual 
Cost]]</f>
        <v>0</v>
      </c>
    </row>
    <row r="73" spans="1:10" ht="16" x14ac:dyDescent="0.2">
      <c r="B73" s="60" t="s">
        <v>46</v>
      </c>
      <c r="C73" s="97">
        <f>PersonalCare3749738597109121133145[[#This Row],[Projected 
Cost]]+PersonalCare3749738597109121133[[#This Row],[Projected 
Cost]]+PersonalCare3749738597109121[[#This Row],[Projected 
Cost]]+PersonalCare3749738597109[[#This Row],[Projected 
Cost]]+PersonalCare3749738597[[#This Row],[Projected 
Cost]]+PersonalCare37497385[[#This Row],[Projected 
Cost]]+PersonalCare374973[[#This Row],[Projected 
Cost]]+PersonalCare374961[[#This Row],[Projected 
Cost]]+PersonalCare3749[[#This Row],[Projected 
Cost]]+PersonalCare37[[#This Row],[Projected 
Cost]]+PersonalCare25[[#This Row],[Projected 
Cost]]+PersonalCare[[#This Row],[Projected 
Cost]]</f>
        <v>0</v>
      </c>
      <c r="D73" s="97">
        <f>PersonalCare3749738597109121133145[[#This Row],[Actual 
Cost]]+PersonalCare3749738597109121133[[#This Row],[Actual 
Cost]]+PersonalCare3749738597109121[[#This Row],[Actual 
Cost]]+PersonalCare3749738597109[[#This Row],[Actual 
Cost]]+PersonalCare3749738597[[#This Row],[Actual 
Cost]]+PersonalCare37497385[[#This Row],[Actual 
Cost]]+PersonalCare374973[[#This Row],[Actual 
Cost]]+PersonalCare374961[[#This Row],[Actual 
Cost]]+PersonalCare3749[[#This Row],[Actual 
Cost]]+PersonalCare37[[#This Row],[Actual 
Cost]]+PersonalCare25[[#This Row],[Actual 
Cost]]+PersonalCare[[#This Row],[Actual 
Cost]]</f>
        <v>0</v>
      </c>
      <c r="E73" s="63">
        <f>PersonalCare3749738597109121133145157[[#This Row],[Projected 
Cost]]-PersonalCare3749738597109121133145157[[#This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97">
        <f>PersonalCare3749738597109121133145[[#This Row],[Projected 
Cost]]+PersonalCare3749738597109121133[[#This Row],[Projected 
Cost]]+PersonalCare3749738597109121[[#This Row],[Projected 
Cost]]+PersonalCare3749738597109[[#This Row],[Projected 
Cost]]+PersonalCare3749738597[[#This Row],[Projected 
Cost]]+PersonalCare37497385[[#This Row],[Projected 
Cost]]+PersonalCare374973[[#This Row],[Projected 
Cost]]+PersonalCare374961[[#This Row],[Projected 
Cost]]+PersonalCare3749[[#This Row],[Projected 
Cost]]+PersonalCare37[[#This Row],[Projected 
Cost]]+PersonalCare25[[#This Row],[Projected 
Cost]]+PersonalCare[[#This Row],[Projected 
Cost]]</f>
        <v>0</v>
      </c>
      <c r="D74" s="97">
        <f>PersonalCare3749738597109121133145[[#This Row],[Actual 
Cost]]+PersonalCare3749738597109121133[[#This Row],[Actual 
Cost]]+PersonalCare3749738597109121[[#This Row],[Actual 
Cost]]+PersonalCare3749738597109[[#This Row],[Actual 
Cost]]+PersonalCare3749738597[[#This Row],[Actual 
Cost]]+PersonalCare37497385[[#This Row],[Actual 
Cost]]+PersonalCare374973[[#This Row],[Actual 
Cost]]+PersonalCare374961[[#This Row],[Actual 
Cost]]+PersonalCare3749[[#This Row],[Actual 
Cost]]+PersonalCare37[[#This Row],[Actual 
Cost]]+PersonalCare25[[#This Row],[Actual 
Cost]]+PersonalCare[[#This Row],[Actual 
Cost]]</f>
        <v>0</v>
      </c>
      <c r="E74" s="63">
        <f>PersonalCare3749738597109121133145157[[#This Row],[Projected 
Cost]]-PersonalCare3749738597109121133145157[[#This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97">
        <f>PersonalCare3749738597109121133145[[#This Row],[Projected 
Cost]]+PersonalCare3749738597109121133[[#This Row],[Projected 
Cost]]+PersonalCare3749738597109121[[#This Row],[Projected 
Cost]]+PersonalCare3749738597109[[#This Row],[Projected 
Cost]]+PersonalCare3749738597[[#This Row],[Projected 
Cost]]+PersonalCare37497385[[#This Row],[Projected 
Cost]]+PersonalCare374973[[#This Row],[Projected 
Cost]]+PersonalCare374961[[#This Row],[Projected 
Cost]]+PersonalCare3749[[#This Row],[Projected 
Cost]]+PersonalCare37[[#This Row],[Projected 
Cost]]+PersonalCare25[[#This Row],[Projected 
Cost]]+PersonalCare[[#This Row],[Projected 
Cost]]</f>
        <v>0</v>
      </c>
      <c r="D75" s="97">
        <f>PersonalCare3749738597109121133145[[#This Row],[Actual 
Cost]]+PersonalCare3749738597109121133[[#This Row],[Actual 
Cost]]+PersonalCare3749738597109121[[#This Row],[Actual 
Cost]]+PersonalCare3749738597109[[#This Row],[Actual 
Cost]]+PersonalCare3749738597[[#This Row],[Actual 
Cost]]+PersonalCare37497385[[#This Row],[Actual 
Cost]]+PersonalCare374973[[#This Row],[Actual 
Cost]]+PersonalCare374961[[#This Row],[Actual 
Cost]]+PersonalCare3749[[#This Row],[Actual 
Cost]]+PersonalCare37[[#This Row],[Actual 
Cost]]+PersonalCare25[[#This Row],[Actual 
Cost]]+PersonalCare[[#This Row],[Actual 
Cost]]</f>
        <v>0</v>
      </c>
      <c r="E75" s="63">
        <f>PersonalCare3749738597109121133145157[[#This Row],[Projected 
Cost]]-PersonalCare3749738597109121133145157[[#This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97">
        <f>PersonalCare3749738597109121133145[[#This Row],[Projected 
Cost]]+PersonalCare3749738597109121133[[#This Row],[Projected 
Cost]]+PersonalCare3749738597109121[[#This Row],[Projected 
Cost]]+PersonalCare3749738597109[[#This Row],[Projected 
Cost]]+PersonalCare3749738597[[#This Row],[Projected 
Cost]]+PersonalCare37497385[[#This Row],[Projected 
Cost]]+PersonalCare374973[[#This Row],[Projected 
Cost]]+PersonalCare374961[[#This Row],[Projected 
Cost]]+PersonalCare3749[[#This Row],[Projected 
Cost]]+PersonalCare37[[#This Row],[Projected 
Cost]]+PersonalCare25[[#This Row],[Projected 
Cost]]+PersonalCare[[#This Row],[Projected 
Cost]]</f>
        <v>0</v>
      </c>
      <c r="D76" s="97">
        <f>PersonalCare3749738597109121133145[[#This Row],[Actual 
Cost]]+PersonalCare3749738597109121133[[#This Row],[Actual 
Cost]]+PersonalCare3749738597109121[[#This Row],[Actual 
Cost]]+PersonalCare3749738597109[[#This Row],[Actual 
Cost]]+PersonalCare3749738597[[#This Row],[Actual 
Cost]]+PersonalCare37497385[[#This Row],[Actual 
Cost]]+PersonalCare374973[[#This Row],[Actual 
Cost]]+PersonalCare374961[[#This Row],[Actual 
Cost]]+PersonalCare3749[[#This Row],[Actual 
Cost]]+PersonalCare37[[#This Row],[Actual 
Cost]]+PersonalCare25[[#This Row],[Actual 
Cost]]+PersonalCare[[#This Row],[Actual 
Cost]]</f>
        <v>0</v>
      </c>
      <c r="E76" s="103">
        <f>PersonalCare3749738597109121133145157[[#This Row],[Projected 
Cost]]-PersonalCare3749738597109121133145157[[#This Row],[Actual 
Cost]]</f>
        <v>0</v>
      </c>
      <c r="F76" s="11"/>
    </row>
    <row r="77" spans="1:10" ht="17" thickBot="1" x14ac:dyDescent="0.25">
      <c r="B77" s="120" t="s">
        <v>49</v>
      </c>
      <c r="C77" s="121">
        <f>SUBTOTAL(109,PersonalCare3749738597109121133145157[Projected 
Cost])</f>
        <v>0</v>
      </c>
      <c r="D77" s="122">
        <f>SUBTOTAL(109,PersonalCare3749738597109121133145157[Actual 
Cost])</f>
        <v>0</v>
      </c>
      <c r="E77" s="123">
        <f>SUBTOTAL(109,PersonalCare3749738597109121133145157[Difference])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Create a Personal Monthly Budget in this worksheet. Helpful instructions on how to use this worksheet are in cells in this column. Arrow down to get started." sqref="A1" xr:uid="{EEB52F02-D69F-4C92-84FE-F672331CE968}"/>
    <dataValidation allowBlank="1" showInputMessage="1" showErrorMessage="1" prompt="Title of this worksheet is in cell C2. Next instruction is in cell A4." sqref="A2" xr:uid="{B059A473-E784-4813-A094-0EAE025C1E2F}"/>
    <dataValidation allowBlank="1" showInputMessage="1" showErrorMessage="1" prompt="Projected Balance is auto calculated in cell H4, Actual Balance in H6, and Difference in H8. Next instruction is in cell A9." sqref="A9" xr:uid="{166C2940-F38A-429F-80F5-36007933BB04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C0BB2B9D-16CD-423C-A2AA-FFFC58B7C7B9}"/>
    <dataValidation allowBlank="1" showInputMessage="1" showErrorMessage="1" prompt="Enter details in Housing table starting in cell at right and in Entertainment table starting in cell G14. Next instruction is in cell A27." sqref="A20" xr:uid="{414D729D-21C3-47C1-8E32-BD319E1466EC}"/>
    <dataValidation allowBlank="1" showInputMessage="1" showErrorMessage="1" prompt="Enter details in Transportation table starting in cell at right and in Loans table starting in cell G26. Next instruction is in cell A37." sqref="A35" xr:uid="{E543539A-5D93-4C77-BABC-2F70C77C679B}"/>
    <dataValidation allowBlank="1" showInputMessage="1" showErrorMessage="1" prompt="Enter details in Insurance table starting in cell at right and in Taxes table starting in cell G35. Next instruction is in cell A44." sqref="A47" xr:uid="{1B584A0D-A82A-4905-ADF3-1FEC854E6210}"/>
    <dataValidation allowBlank="1" showInputMessage="1" showErrorMessage="1" prompt="Enter details in Food table starting in cell at right and in Savings table starting in cell G42. Next instruction is in cell A50." sqref="A56" xr:uid="{8466E109-40A9-4F00-B0D3-234ED9BE144C}"/>
    <dataValidation allowBlank="1" showInputMessage="1" showErrorMessage="1" prompt="Enter details in Pets table starting in cell at right and in Gifts table starting in cell G48. Next instruction is in cell A58." sqref="A64:A70" xr:uid="{E89B60DD-3F67-4503-AA5B-9C9E9E93546D}"/>
    <dataValidation allowBlank="1" showInputMessage="1" showErrorMessage="1" prompt="Enter details in Personal Care table starting in cell at right and in Legal table starting in cell G54. Next instruction is in cell A61." sqref="A78" xr:uid="{ADE1E1B0-C651-46C5-8D19-90B37EE35DB2}"/>
    <dataValidation allowBlank="1" showInputMessage="1" showErrorMessage="1" prompt="Total Projected Cost is auto calculated in cell J61, Total Actual Cost in J63, and Total Difference in J65." sqref="A81" xr:uid="{8F9D3402-C149-4170-AF2F-40B54DBBA0A9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ABFF-DCE0-40B1-B559-83CB21D44EA2}">
  <sheetPr>
    <tabColor theme="4"/>
    <pageSetUpPr autoPageBreaks="0" fitToPage="1"/>
  </sheetPr>
  <dimension ref="A1:J86"/>
  <sheetViews>
    <sheetView zoomScaleNormal="100" zoomScaleSheetLayoutView="30" workbookViewId="0">
      <selection activeCell="C12" sqref="C12:C1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Housing2739[[#This Row],[Projected
Cost]]-Housing2739[[#This Row],[Actual 
Cost]]</f>
        <v>0</v>
      </c>
      <c r="F21" s="11"/>
      <c r="G21" s="60" t="s">
        <v>73</v>
      </c>
      <c r="H21" s="61"/>
      <c r="I21" s="62"/>
      <c r="J21" s="63">
        <f>Entertainment2840[[#This Row],[Projected 
Cost]]-Entertainment2840[[#This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Housing2739[[#This Row],[Projected
Cost]]-Housing2739[[#This Row],[Actual 
Cost]]</f>
        <v>0</v>
      </c>
      <c r="F22" s="11"/>
      <c r="G22" s="60" t="s">
        <v>74</v>
      </c>
      <c r="H22" s="61"/>
      <c r="I22" s="62"/>
      <c r="J22" s="63">
        <f>Entertainment2840[[#This Row],[Projected 
Cost]]-Entertainment2840[[#This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Housing2739[[#This Row],[Projected
Cost]]-Housing2739[[#This Row],[Actual 
Cost]]</f>
        <v>0</v>
      </c>
      <c r="F23" s="11"/>
      <c r="G23" s="60" t="s">
        <v>7</v>
      </c>
      <c r="H23" s="61"/>
      <c r="I23" s="62"/>
      <c r="J23" s="63">
        <f>Entertainment2840[[#This Row],[Projected 
Cost]]-Entertainment2840[[#This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Housing2739[[#This Row],[Projected
Cost]]-Housing2739[[#This Row],[Actual 
Cost]]</f>
        <v>0</v>
      </c>
      <c r="F24" s="11"/>
      <c r="G24" s="60" t="s">
        <v>9</v>
      </c>
      <c r="H24" s="61"/>
      <c r="I24" s="62"/>
      <c r="J24" s="63">
        <f>Entertainment2840[[#This Row],[Projected 
Cost]]-Entertainment2840[[#This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Housing2739[[#This Row],[Projected
Cost]]-Housing2739[[#This Row],[Actual 
Cost]]</f>
        <v>0</v>
      </c>
      <c r="F25" s="11"/>
      <c r="G25" s="60" t="s">
        <v>11</v>
      </c>
      <c r="H25" s="61"/>
      <c r="I25" s="62"/>
      <c r="J25" s="63">
        <f>Entertainment2840[[#This Row],[Projected 
Cost]]-Entertainment2840[[#This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Housing2739[[#This Row],[Projected
Cost]]-Housing2739[[#This Row],[Actual 
Cost]]</f>
        <v>0</v>
      </c>
      <c r="F26" s="11"/>
      <c r="G26" s="60" t="s">
        <v>13</v>
      </c>
      <c r="H26" s="61"/>
      <c r="I26" s="62"/>
      <c r="J26" s="63">
        <f>Entertainment2840[[#This Row],[Projected 
Cost]]-Entertainment2840[[#This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Housing2739[[#This Row],[Projected
Cost]]-Housing2739[[#This Row],[Actual 
Cost]]</f>
        <v>0</v>
      </c>
      <c r="F27" s="11"/>
      <c r="G27" s="60" t="s">
        <v>15</v>
      </c>
      <c r="H27" s="61"/>
      <c r="I27" s="62"/>
      <c r="J27" s="63">
        <f>Entertainment2840[[#This Row],[Projected 
Cost]]-Entertainment2840[[#This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Housing2739[[#This Row],[Projected
Cost]]-Housing2739[[#This Row],[Actual 
Cost]]</f>
        <v>0</v>
      </c>
      <c r="F28" s="11"/>
      <c r="G28" s="60" t="s">
        <v>15</v>
      </c>
      <c r="H28" s="61"/>
      <c r="I28" s="62"/>
      <c r="J28" s="63">
        <f>Entertainment2840[[#This Row],[Projected 
Cost]]-Entertainment2840[[#This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Housing2739[[#This Row],[Projected
Cost]]-Housing2739[[#This Row],[Actual 
Cost]]</f>
        <v>0</v>
      </c>
      <c r="F29" s="11"/>
      <c r="G29" s="60" t="s">
        <v>15</v>
      </c>
      <c r="H29" s="61"/>
      <c r="I29" s="62"/>
      <c r="J29" s="63">
        <f>Entertainment2840[[#This Row],[Projected 
Cost]]-Entertainment2840[[#This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Housing2739[[#This Row],[Projected
Cost]]-Housing2739[[#This Row],[Actual 
Cost]]</f>
        <v>0</v>
      </c>
      <c r="F30" s="11"/>
      <c r="G30" s="51" t="s">
        <v>49</v>
      </c>
      <c r="H30" s="52">
        <f>SUBTOTAL(109,Entertainment2840[Projected 
Cost])</f>
        <v>0</v>
      </c>
      <c r="I30" s="53">
        <f>SUBTOTAL(109,Entertainment2840[Actual 
Cost])</f>
        <v>0</v>
      </c>
      <c r="J30" s="54">
        <f>SUBTOTAL(109,Entertainment2840[Difference])</f>
        <v>0</v>
      </c>
    </row>
    <row r="31" spans="1:10" ht="18" thickTop="1" thickBot="1" x14ac:dyDescent="0.25">
      <c r="B31" s="51" t="s">
        <v>49</v>
      </c>
      <c r="C31" s="52">
        <f>SUBTOTAL(109,Housing2739[Projected
Cost])</f>
        <v>0</v>
      </c>
      <c r="D31" s="53">
        <f>SUBTOTAL(109,Housing2739[Actual 
Cost])</f>
        <v>0</v>
      </c>
      <c r="E31" s="54">
        <f>SUBTOTAL(109,Housing2739[Difference])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Transportation3042[[#This Row],[Projected 
Cost]]-Transportation3042[[#This Row],[Actual 
Cost]]</f>
        <v>0</v>
      </c>
      <c r="F35" s="11"/>
      <c r="G35" s="60" t="s">
        <v>18</v>
      </c>
      <c r="H35" s="61"/>
      <c r="I35" s="62"/>
      <c r="J35" s="63">
        <f>Loans2941[[#This Row],[Projected 
Cost]]-Loans2941[[#This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Transportation3042[[#This Row],[Projected 
Cost]]-Transportation3042[[#This Row],[Actual 
Cost]]</f>
        <v>0</v>
      </c>
      <c r="F36" s="11"/>
      <c r="G36" s="60" t="s">
        <v>20</v>
      </c>
      <c r="H36" s="61"/>
      <c r="I36" s="62"/>
      <c r="J36" s="63">
        <f>Loans2941[[#This Row],[Projected 
Cost]]-Loans2941[[#This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Transportation3042[[#This Row],[Projected 
Cost]]-Transportation3042[[#This Row],[Actual 
Cost]]</f>
        <v>0</v>
      </c>
      <c r="F37" s="11"/>
      <c r="G37" s="60" t="s">
        <v>22</v>
      </c>
      <c r="H37" s="61"/>
      <c r="I37" s="62"/>
      <c r="J37" s="63">
        <f>Loans2941[[#This Row],[Projected 
Cost]]-Loans2941[[#This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Transportation3042[[#This Row],[Projected 
Cost]]-Transportation3042[[#This Row],[Actual 
Cost]]</f>
        <v>0</v>
      </c>
      <c r="F38" s="11"/>
      <c r="G38" s="60" t="s">
        <v>22</v>
      </c>
      <c r="H38" s="61"/>
      <c r="I38" s="62"/>
      <c r="J38" s="63">
        <f>Loans2941[[#This Row],[Projected 
Cost]]-Loans2941[[#This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Transportation3042[[#This Row],[Projected 
Cost]]-Transportation3042[[#This Row],[Actual 
Cost]]</f>
        <v>0</v>
      </c>
      <c r="F39" s="11"/>
      <c r="G39" s="60" t="s">
        <v>22</v>
      </c>
      <c r="H39" s="61"/>
      <c r="I39" s="62"/>
      <c r="J39" s="63">
        <f>Loans2941[[#This Row],[Projected 
Cost]]-Loans2941[[#This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Transportation3042[[#This Row],[Projected 
Cost]]-Transportation3042[[#This Row],[Actual 
Cost]]</f>
        <v>0</v>
      </c>
      <c r="F40" s="11"/>
      <c r="G40" s="60" t="s">
        <v>15</v>
      </c>
      <c r="H40" s="61"/>
      <c r="I40" s="62"/>
      <c r="J40" s="63">
        <f>Loans2941[[#This Row],[Projected 
Cost]]-Loans2941[[#This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Transportation3042[[#This Row],[Projected 
Cost]]-Transportation3042[[#This Row],[Actual 
Cost]]</f>
        <v>0</v>
      </c>
      <c r="F41" s="11"/>
      <c r="G41" s="51" t="s">
        <v>49</v>
      </c>
      <c r="H41" s="52">
        <f>SUBTOTAL(109,Loans2941[Projected 
Cost])</f>
        <v>0</v>
      </c>
      <c r="I41" s="53">
        <f>SUBTOTAL(109,Loans2941[Actual 
Cost])</f>
        <v>0</v>
      </c>
      <c r="J41" s="54">
        <f>SUBTOTAL(109,Loans2941[Difference])</f>
        <v>0</v>
      </c>
    </row>
    <row r="42" spans="1:10" ht="18" thickTop="1" thickBot="1" x14ac:dyDescent="0.25">
      <c r="B42" s="51" t="s">
        <v>49</v>
      </c>
      <c r="C42" s="52">
        <f>SUBTOTAL(109,Transportation3042[Projected 
Cost])</f>
        <v>0</v>
      </c>
      <c r="D42" s="53">
        <f>SUBTOTAL(109,Transportation3042[Actual 
Cost])</f>
        <v>0</v>
      </c>
      <c r="E42" s="54">
        <f>SUBTOTAL(109,Transportation3042[Difference])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Insurance3143[[#This Row],[Projected 
Cost]]-Insurance3143[[#This Row],[Actual 
Cost]]</f>
        <v>0</v>
      </c>
      <c r="F46" s="11"/>
      <c r="G46" s="84" t="s">
        <v>30</v>
      </c>
      <c r="H46" s="85"/>
      <c r="I46" s="86"/>
      <c r="J46" s="87">
        <f>Savings3244[[#This Row],[Projected 
Cost]]-Savings3244[[#This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Insurance3143[[#This Row],[Projected 
Cost]]-Insurance3143[[#This Row],[Actual 
Cost]]</f>
        <v>0</v>
      </c>
      <c r="F47" s="11"/>
      <c r="G47" s="88" t="s">
        <v>31</v>
      </c>
      <c r="H47" s="89"/>
      <c r="I47" s="90"/>
      <c r="J47" s="91">
        <f>Savings3244[[#This Row],[Projected 
Cost]]-Savings3244[[#This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Insurance3143[[#This Row],[Projected 
Cost]]-Insurance3143[[#This Row],[Actual 
Cost]]</f>
        <v>0</v>
      </c>
      <c r="F48" s="11"/>
      <c r="G48" s="88" t="s">
        <v>15</v>
      </c>
      <c r="H48" s="89"/>
      <c r="I48" s="90"/>
      <c r="J48" s="91">
        <f>Savings3244[[#This Row],[Projected 
Cost]]-Savings3244[[#This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Insurance3143[[#This Row],[Projected 
Cost]]-Insurance3143[[#This Row],[Actual 
Cost]]</f>
        <v>0</v>
      </c>
      <c r="F49" s="11"/>
      <c r="G49" s="92" t="s">
        <v>49</v>
      </c>
      <c r="H49" s="93">
        <f>SUBTOTAL(109,Savings3244[Projected 
Cost])</f>
        <v>0</v>
      </c>
      <c r="I49" s="94">
        <f>SUBTOTAL(109,Savings3244[Actual 
Cost])</f>
        <v>0</v>
      </c>
      <c r="J49" s="95">
        <f>SUBTOTAL(109,Savings3244[Difference])</f>
        <v>0</v>
      </c>
    </row>
    <row r="50" spans="1:10" ht="18" thickTop="1" thickBot="1" x14ac:dyDescent="0.25">
      <c r="B50" s="55" t="s">
        <v>49</v>
      </c>
      <c r="C50" s="56">
        <f>SUBTOTAL(109,Insurance3143[Projected 
Cost])</f>
        <v>0</v>
      </c>
      <c r="D50" s="57">
        <f>SUBTOTAL(109,Insurance3143[Actual 
Cost])</f>
        <v>0</v>
      </c>
      <c r="E50" s="58">
        <f>SUBTOTAL(109,Insurance3143[Difference])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Food3345[[#This Row],[Projected 
Cost]]-Food3345[[#This Row],[Actual 
Cost]]</f>
        <v>0</v>
      </c>
      <c r="F54" s="11"/>
      <c r="G54" s="96" t="s">
        <v>34</v>
      </c>
      <c r="H54" s="97"/>
      <c r="I54" s="98"/>
      <c r="J54" s="99">
        <f>Gifts3446[[#This Row],[Projected 
Cost]]-Gifts3446[[#This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Food3345[[#This Row],[Projected 
Cost]]-Food3345[[#This Row],[Actual 
Cost]]</f>
        <v>0</v>
      </c>
      <c r="F55" s="11"/>
      <c r="G55" s="60" t="s">
        <v>35</v>
      </c>
      <c r="H55" s="61"/>
      <c r="I55" s="62"/>
      <c r="J55" s="63">
        <f>Gifts3446[[#This Row],[Projected 
Cost]]-Gifts3446[[#This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Food3345[[#This Row],[Projected 
Cost]]-Food3345[[#This Row],[Actual 
Cost]]</f>
        <v>0</v>
      </c>
      <c r="F56" s="11"/>
      <c r="G56" s="60" t="s">
        <v>37</v>
      </c>
      <c r="H56" s="61"/>
      <c r="I56" s="62"/>
      <c r="J56" s="63">
        <f>Gifts3446[[#This Row],[Projected 
Cost]]-Gifts3446[[#This Row],[Actual 
Cost]]</f>
        <v>0</v>
      </c>
    </row>
    <row r="57" spans="1:10" ht="17" thickBot="1" x14ac:dyDescent="0.25">
      <c r="B57" s="51" t="s">
        <v>49</v>
      </c>
      <c r="C57" s="52">
        <f>SUBTOTAL(109,Food3345[Projected 
Cost])</f>
        <v>0</v>
      </c>
      <c r="D57" s="53">
        <f>SUBTOTAL(109,Food3345[Actual 
Cost])</f>
        <v>0</v>
      </c>
      <c r="E57" s="54">
        <f>SUBTOTAL(109,Food3345[Difference])</f>
        <v>0</v>
      </c>
      <c r="F57" s="11"/>
      <c r="G57" s="51" t="s">
        <v>49</v>
      </c>
      <c r="H57" s="52">
        <f>SUBTOTAL(109,Gifts3446[Projected 
Cost])</f>
        <v>0</v>
      </c>
      <c r="I57" s="53">
        <f>SUBTOTAL(109,Gifts3446[Actual 
Cost])</f>
        <v>0</v>
      </c>
      <c r="J57" s="54">
        <f>SUBTOTAL(109,Gifts3446[Difference])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Pets3547[[#This Row],[Projected 
Cost]]-Pets3547[[#This Row],[Actual 
Cost]]</f>
        <v>0</v>
      </c>
      <c r="F61" s="11"/>
      <c r="G61" s="96" t="s">
        <v>41</v>
      </c>
      <c r="H61" s="97"/>
      <c r="I61" s="98"/>
      <c r="J61" s="99">
        <f>Legal3648[[#This Row],[Projected 
Cost]]-Legal3648[[#This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Pets3547[[#This Row],[Projected 
Cost]]-Pets3547[[#This Row],[Actual 
Cost]]</f>
        <v>0</v>
      </c>
      <c r="F62" s="11"/>
      <c r="G62" s="60" t="s">
        <v>42</v>
      </c>
      <c r="H62" s="61"/>
      <c r="I62" s="62"/>
      <c r="J62" s="63">
        <f>Legal3648[[#This Row],[Projected 
Cost]]-Legal3648[[#This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Pets3547[[#This Row],[Projected 
Cost]]-Pets3547[[#This Row],[Actual 
Cost]]</f>
        <v>0</v>
      </c>
      <c r="F63" s="11"/>
      <c r="G63" s="60" t="s">
        <v>43</v>
      </c>
      <c r="H63" s="61"/>
      <c r="I63" s="62"/>
      <c r="J63" s="63">
        <f>Legal3648[[#This Row],[Projected 
Cost]]-Legal3648[[#This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Pets3547[[#This Row],[Projected 
Cost]]-Pets3547[[#This Row],[Actual 
Cost]]</f>
        <v>0</v>
      </c>
      <c r="F64" s="11"/>
      <c r="G64" s="60" t="s">
        <v>15</v>
      </c>
      <c r="H64" s="61"/>
      <c r="I64" s="62"/>
      <c r="J64" s="63">
        <f>Legal3648[[#This Row],[Projected 
Cost]]-Legal3648[[#This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Pets3547[[#This Row],[Projected 
Cost]]-Pets3547[[#This Row],[Actual 
Cost]]</f>
        <v>0</v>
      </c>
      <c r="F65" s="11"/>
      <c r="G65" s="51" t="s">
        <v>49</v>
      </c>
      <c r="H65" s="52">
        <f>SUBTOTAL(109,Legal3648[Projected 
Cost])</f>
        <v>0</v>
      </c>
      <c r="I65" s="53">
        <f>SUBTOTAL(109,Legal3648[Actual 
Cost])</f>
        <v>0</v>
      </c>
      <c r="J65" s="54">
        <f>SUBTOTAL(109,Legal3648[Difference])</f>
        <v>0</v>
      </c>
    </row>
    <row r="66" spans="1:10" ht="18" thickTop="1" thickBot="1" x14ac:dyDescent="0.25">
      <c r="B66" s="51" t="s">
        <v>49</v>
      </c>
      <c r="C66" s="52">
        <f>SUBTOTAL(109,Pets3547[Projected 
Cost])</f>
        <v>0</v>
      </c>
      <c r="D66" s="53">
        <f>SUBTOTAL(109,Pets3547[Actual 
Cost])</f>
        <v>0</v>
      </c>
      <c r="E66" s="54">
        <f>SUBTOTAL(109,Pets3547[Difference])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PersonalCare3749[[#This Row],[Projected 
Cost]]-PersonalCare3749[[#This Row],[Actual 
Cost]]</f>
        <v>0</v>
      </c>
      <c r="F70" s="11"/>
      <c r="G70" s="150" t="s">
        <v>52</v>
      </c>
      <c r="H70" s="150"/>
      <c r="I70" s="150"/>
      <c r="J70" s="151">
        <f>Housing2739[[#Totals],[Projected
Cost]]+Entertainment2840[[#Totals],[Projected 
Cost]]+Transportation3042[[#Totals],[Projected 
Cost]]+Loans2941[[#Totals],[Projected 
Cost]]+Insurance3143[[#Totals],[Projected 
Cost]]+Savings3244[[#Totals],[Projected 
Cost]]+Food3345[[#Totals],[Projected 
Cost]]+Gifts3446[[#Totals],[Projected 
Cost]]+Pets3547[[#Totals],[Projected 
Cost]]+Legal3648[[#Totals],[Projected 
Cost]]+PersonalCare3749[[#Totals],[Projected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PersonalCare3749[[#This Row],[Projected 
Cost]]-PersonalCare3749[[#This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PersonalCare3749[[#This Row],[Projected 
Cost]]-PersonalCare3749[[#This Row],[Actual 
Cost]]</f>
        <v>0</v>
      </c>
      <c r="F72" s="11"/>
      <c r="G72" s="146" t="s">
        <v>53</v>
      </c>
      <c r="H72" s="146"/>
      <c r="I72" s="146"/>
      <c r="J72" s="147">
        <f>Housing2739[[#Totals],[Actual 
Cost]]+Entertainment2840[[#Totals],[Actual 
Cost]]+Transportation3042[[#Totals],[Actual 
Cost]]+Loans2941[[#Totals],[Actual 
Cost]]+Insurance3143[[#Totals],[Actual 
Cost]]+Food3345[[#Totals],[Actual 
Cost]]+Gifts3446[[#Totals],[Actual 
Cost]]+Pets3547[[#Totals],[Actual 
Cost]]+Legal3648[[#Totals],[Actual 
Cost]]+PersonalCare3749[[#Totals],[Actual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PersonalCare3749[[#This Row],[Projected 
Cost]]-PersonalCare3749[[#This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PersonalCare3749[[#This Row],[Projected 
Cost]]-PersonalCare3749[[#This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PersonalCare3749[[#This Row],[Projected 
Cost]]-PersonalCare3749[[#This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PersonalCare3749[[#This Row],[Projected 
Cost]]-PersonalCare3749[[#This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SUBTOTAL(109,PersonalCare3749[Projected 
Cost])</f>
        <v>0</v>
      </c>
      <c r="D77" s="53">
        <f>SUBTOTAL(109,PersonalCare3749[Actual 
Cost])</f>
        <v>0</v>
      </c>
      <c r="E77" s="54">
        <f>SUBTOTAL(109,PersonalCare3749[Difference])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Create a Personal Monthly Budget in this worksheet. Helpful instructions on how to use this worksheet are in cells in this column. Arrow down to get started." sqref="A1" xr:uid="{EB18737C-944B-43C2-B0E8-356F50DC9CAB}"/>
    <dataValidation allowBlank="1" showInputMessage="1" showErrorMessage="1" prompt="Title of this worksheet is in cell C2. Next instruction is in cell A4." sqref="A2" xr:uid="{1995CE2B-1289-45D7-B2FA-62A01A61DA26}"/>
    <dataValidation allowBlank="1" showInputMessage="1" showErrorMessage="1" prompt="Projected Balance is auto calculated in cell H4, Actual Balance in H6, and Difference in H8. Next instruction is in cell A9." sqref="A9" xr:uid="{3FCE5E2A-3ECE-438B-923D-6F20EF3B3A7F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8C3C4B19-4521-4D7B-9F2B-16D97F5812A3}"/>
    <dataValidation allowBlank="1" showInputMessage="1" showErrorMessage="1" prompt="Enter details in Housing table starting in cell at right and in Entertainment table starting in cell G14. Next instruction is in cell A27." sqref="A20" xr:uid="{011B6457-9924-48DD-9FBA-6AF5CC72C1B0}"/>
    <dataValidation allowBlank="1" showInputMessage="1" showErrorMessage="1" prompt="Enter details in Transportation table starting in cell at right and in Loans table starting in cell G26. Next instruction is in cell A37." sqref="A35" xr:uid="{A505AF24-E5B0-4C90-BF9B-D7D5D54AC2B9}"/>
    <dataValidation allowBlank="1" showInputMessage="1" showErrorMessage="1" prompt="Enter details in Insurance table starting in cell at right and in Taxes table starting in cell G35. Next instruction is in cell A44." sqref="A47" xr:uid="{FD0C531A-B4FD-45BD-85FC-4B16C37AB745}"/>
    <dataValidation allowBlank="1" showInputMessage="1" showErrorMessage="1" prompt="Enter details in Food table starting in cell at right and in Savings table starting in cell G42. Next instruction is in cell A50." sqref="A56" xr:uid="{C6BABFD8-6023-40BD-89ED-C9FBCDC7AE02}"/>
    <dataValidation allowBlank="1" showInputMessage="1" showErrorMessage="1" prompt="Enter details in Pets table starting in cell at right and in Gifts table starting in cell G48. Next instruction is in cell A58." sqref="A64:A70" xr:uid="{0E3C8F7C-BDCF-4CF6-A253-63F9AC1E4284}"/>
    <dataValidation allowBlank="1" showInputMessage="1" showErrorMessage="1" prompt="Enter details in Personal Care table starting in cell at right and in Legal table starting in cell G54. Next instruction is in cell A61." sqref="A78" xr:uid="{D2B624E0-2467-4CFD-8D1F-266739A43C38}"/>
    <dataValidation allowBlank="1" showInputMessage="1" showErrorMessage="1" prompt="Total Projected Cost is auto calculated in cell J61, Total Actual Cost in J63, and Total Difference in J65." sqref="A81" xr:uid="{8F3E093C-069E-4BF8-BC9F-02DC76659C78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9491-D373-49F5-9DCD-DCD74248FDE6}">
  <sheetPr>
    <tabColor theme="4"/>
    <pageSetUpPr autoPageBreaks="0" fitToPage="1"/>
  </sheetPr>
  <dimension ref="A1:J86"/>
  <sheetViews>
    <sheetView zoomScaleNormal="100" zoomScaleSheetLayoutView="30" workbookViewId="0">
      <selection activeCell="C12" sqref="C12:C1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Housing27[[#This Row],[Projected
Cost]]-Housing27[[#This Row],[Actual 
Cost]]</f>
        <v>0</v>
      </c>
      <c r="F21" s="11"/>
      <c r="G21" s="60" t="s">
        <v>73</v>
      </c>
      <c r="H21" s="61"/>
      <c r="I21" s="62"/>
      <c r="J21" s="63">
        <f>Entertainment28[[#This Row],[Projected 
Cost]]-Entertainment28[[#This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Housing27[[#This Row],[Projected
Cost]]-Housing27[[#This Row],[Actual 
Cost]]</f>
        <v>0</v>
      </c>
      <c r="F22" s="11"/>
      <c r="G22" s="60" t="s">
        <v>74</v>
      </c>
      <c r="H22" s="61"/>
      <c r="I22" s="62"/>
      <c r="J22" s="63">
        <f>Entertainment28[[#This Row],[Projected 
Cost]]-Entertainment28[[#This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Housing27[[#This Row],[Projected
Cost]]-Housing27[[#This Row],[Actual 
Cost]]</f>
        <v>0</v>
      </c>
      <c r="F23" s="11"/>
      <c r="G23" s="60" t="s">
        <v>7</v>
      </c>
      <c r="H23" s="61"/>
      <c r="I23" s="62"/>
      <c r="J23" s="63">
        <f>Entertainment28[[#This Row],[Projected 
Cost]]-Entertainment28[[#This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Housing27[[#This Row],[Projected
Cost]]-Housing27[[#This Row],[Actual 
Cost]]</f>
        <v>0</v>
      </c>
      <c r="F24" s="11"/>
      <c r="G24" s="60" t="s">
        <v>9</v>
      </c>
      <c r="H24" s="61"/>
      <c r="I24" s="62"/>
      <c r="J24" s="63">
        <f>Entertainment28[[#This Row],[Projected 
Cost]]-Entertainment28[[#This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Housing27[[#This Row],[Projected
Cost]]-Housing27[[#This Row],[Actual 
Cost]]</f>
        <v>0</v>
      </c>
      <c r="F25" s="11"/>
      <c r="G25" s="60" t="s">
        <v>11</v>
      </c>
      <c r="H25" s="61"/>
      <c r="I25" s="62"/>
      <c r="J25" s="63">
        <f>Entertainment28[[#This Row],[Projected 
Cost]]-Entertainment28[[#This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Housing27[[#This Row],[Projected
Cost]]-Housing27[[#This Row],[Actual 
Cost]]</f>
        <v>0</v>
      </c>
      <c r="F26" s="11"/>
      <c r="G26" s="60" t="s">
        <v>13</v>
      </c>
      <c r="H26" s="61"/>
      <c r="I26" s="62"/>
      <c r="J26" s="63">
        <f>Entertainment28[[#This Row],[Projected 
Cost]]-Entertainment28[[#This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Housing27[[#This Row],[Projected
Cost]]-Housing27[[#This Row],[Actual 
Cost]]</f>
        <v>0</v>
      </c>
      <c r="F27" s="11"/>
      <c r="G27" s="60" t="s">
        <v>15</v>
      </c>
      <c r="H27" s="61"/>
      <c r="I27" s="62"/>
      <c r="J27" s="63">
        <f>Entertainment28[[#This Row],[Projected 
Cost]]-Entertainment28[[#This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Housing27[[#This Row],[Projected
Cost]]-Housing27[[#This Row],[Actual 
Cost]]</f>
        <v>0</v>
      </c>
      <c r="F28" s="11"/>
      <c r="G28" s="60" t="s">
        <v>15</v>
      </c>
      <c r="H28" s="61"/>
      <c r="I28" s="62"/>
      <c r="J28" s="63">
        <f>Entertainment28[[#This Row],[Projected 
Cost]]-Entertainment28[[#This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Housing27[[#This Row],[Projected
Cost]]-Housing27[[#This Row],[Actual 
Cost]]</f>
        <v>0</v>
      </c>
      <c r="F29" s="11"/>
      <c r="G29" s="60" t="s">
        <v>15</v>
      </c>
      <c r="H29" s="61"/>
      <c r="I29" s="62"/>
      <c r="J29" s="63">
        <f>Entertainment28[[#This Row],[Projected 
Cost]]-Entertainment28[[#This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Housing27[[#This Row],[Projected
Cost]]-Housing27[[#This Row],[Actual 
Cost]]</f>
        <v>0</v>
      </c>
      <c r="F30" s="11"/>
      <c r="G30" s="51" t="s">
        <v>49</v>
      </c>
      <c r="H30" s="52">
        <f>SUBTOTAL(109,Entertainment28[Projected 
Cost])</f>
        <v>0</v>
      </c>
      <c r="I30" s="53">
        <f>SUBTOTAL(109,Entertainment28[Actual 
Cost])</f>
        <v>0</v>
      </c>
      <c r="J30" s="54">
        <f>SUBTOTAL(109,Entertainment28[Difference])</f>
        <v>0</v>
      </c>
    </row>
    <row r="31" spans="1:10" ht="18" thickTop="1" thickBot="1" x14ac:dyDescent="0.25">
      <c r="B31" s="51" t="s">
        <v>49</v>
      </c>
      <c r="C31" s="52">
        <f>SUBTOTAL(109,Housing27[Projected
Cost])</f>
        <v>0</v>
      </c>
      <c r="D31" s="53">
        <f>SUBTOTAL(109,Housing27[Actual 
Cost])</f>
        <v>0</v>
      </c>
      <c r="E31" s="54">
        <f>SUBTOTAL(109,Housing27[Difference])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Transportation30[[#This Row],[Projected 
Cost]]-Transportation30[[#This Row],[Actual 
Cost]]</f>
        <v>0</v>
      </c>
      <c r="F35" s="11"/>
      <c r="G35" s="60" t="s">
        <v>18</v>
      </c>
      <c r="H35" s="61"/>
      <c r="I35" s="62"/>
      <c r="J35" s="63">
        <f>Loans29[[#This Row],[Projected 
Cost]]-Loans29[[#This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Transportation30[[#This Row],[Projected 
Cost]]-Transportation30[[#This Row],[Actual 
Cost]]</f>
        <v>0</v>
      </c>
      <c r="F36" s="11"/>
      <c r="G36" s="60" t="s">
        <v>20</v>
      </c>
      <c r="H36" s="61"/>
      <c r="I36" s="62"/>
      <c r="J36" s="63">
        <f>Loans29[[#This Row],[Projected 
Cost]]-Loans29[[#This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Transportation30[[#This Row],[Projected 
Cost]]-Transportation30[[#This Row],[Actual 
Cost]]</f>
        <v>0</v>
      </c>
      <c r="F37" s="11"/>
      <c r="G37" s="60" t="s">
        <v>22</v>
      </c>
      <c r="H37" s="61"/>
      <c r="I37" s="62"/>
      <c r="J37" s="63">
        <f>Loans29[[#This Row],[Projected 
Cost]]-Loans29[[#This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Transportation30[[#This Row],[Projected 
Cost]]-Transportation30[[#This Row],[Actual 
Cost]]</f>
        <v>0</v>
      </c>
      <c r="F38" s="11"/>
      <c r="G38" s="60" t="s">
        <v>22</v>
      </c>
      <c r="H38" s="61"/>
      <c r="I38" s="62"/>
      <c r="J38" s="63">
        <f>Loans29[[#This Row],[Projected 
Cost]]-Loans29[[#This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Transportation30[[#This Row],[Projected 
Cost]]-Transportation30[[#This Row],[Actual 
Cost]]</f>
        <v>0</v>
      </c>
      <c r="F39" s="11"/>
      <c r="G39" s="60" t="s">
        <v>22</v>
      </c>
      <c r="H39" s="61"/>
      <c r="I39" s="62"/>
      <c r="J39" s="63">
        <f>Loans29[[#This Row],[Projected 
Cost]]-Loans29[[#This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Transportation30[[#This Row],[Projected 
Cost]]-Transportation30[[#This Row],[Actual 
Cost]]</f>
        <v>0</v>
      </c>
      <c r="F40" s="11"/>
      <c r="G40" s="60" t="s">
        <v>15</v>
      </c>
      <c r="H40" s="61"/>
      <c r="I40" s="62"/>
      <c r="J40" s="63">
        <f>Loans29[[#This Row],[Projected 
Cost]]-Loans29[[#This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Transportation30[[#This Row],[Projected 
Cost]]-Transportation30[[#This Row],[Actual 
Cost]]</f>
        <v>0</v>
      </c>
      <c r="F41" s="11"/>
      <c r="G41" s="51" t="s">
        <v>49</v>
      </c>
      <c r="H41" s="52">
        <f>SUBTOTAL(109,Loans29[Projected 
Cost])</f>
        <v>0</v>
      </c>
      <c r="I41" s="53">
        <f>SUBTOTAL(109,Loans29[Actual 
Cost])</f>
        <v>0</v>
      </c>
      <c r="J41" s="54">
        <f>SUBTOTAL(109,Loans29[Difference])</f>
        <v>0</v>
      </c>
    </row>
    <row r="42" spans="1:10" ht="18" thickTop="1" thickBot="1" x14ac:dyDescent="0.25">
      <c r="B42" s="51" t="s">
        <v>49</v>
      </c>
      <c r="C42" s="52">
        <f>SUBTOTAL(109,Transportation30[Projected 
Cost])</f>
        <v>0</v>
      </c>
      <c r="D42" s="53">
        <f>SUBTOTAL(109,Transportation30[Actual 
Cost])</f>
        <v>0</v>
      </c>
      <c r="E42" s="54">
        <f>SUBTOTAL(109,Transportation30[Difference])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Insurance31[[#This Row],[Projected 
Cost]]-Insurance31[[#This Row],[Actual 
Cost]]</f>
        <v>0</v>
      </c>
      <c r="F46" s="11"/>
      <c r="G46" s="84" t="s">
        <v>30</v>
      </c>
      <c r="H46" s="85"/>
      <c r="I46" s="86"/>
      <c r="J46" s="87">
        <f>Savings32[[#This Row],[Projected 
Cost]]-Savings32[[#This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Insurance31[[#This Row],[Projected 
Cost]]-Insurance31[[#This Row],[Actual 
Cost]]</f>
        <v>0</v>
      </c>
      <c r="F47" s="11"/>
      <c r="G47" s="88" t="s">
        <v>31</v>
      </c>
      <c r="H47" s="89"/>
      <c r="I47" s="90"/>
      <c r="J47" s="91">
        <f>Savings32[[#This Row],[Projected 
Cost]]-Savings32[[#This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Insurance31[[#This Row],[Projected 
Cost]]-Insurance31[[#This Row],[Actual 
Cost]]</f>
        <v>0</v>
      </c>
      <c r="F48" s="11"/>
      <c r="G48" s="88" t="s">
        <v>15</v>
      </c>
      <c r="H48" s="89"/>
      <c r="I48" s="90"/>
      <c r="J48" s="91">
        <f>Savings32[[#This Row],[Projected 
Cost]]-Savings32[[#This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Insurance31[[#This Row],[Projected 
Cost]]-Insurance31[[#This Row],[Actual 
Cost]]</f>
        <v>0</v>
      </c>
      <c r="F49" s="11"/>
      <c r="G49" s="92" t="s">
        <v>49</v>
      </c>
      <c r="H49" s="93">
        <f>SUBTOTAL(109,Savings32[Projected 
Cost])</f>
        <v>0</v>
      </c>
      <c r="I49" s="94">
        <f>SUBTOTAL(109,Savings32[Actual 
Cost])</f>
        <v>0</v>
      </c>
      <c r="J49" s="95">
        <f>SUBTOTAL(109,Savings32[Difference])</f>
        <v>0</v>
      </c>
    </row>
    <row r="50" spans="1:10" ht="18" thickTop="1" thickBot="1" x14ac:dyDescent="0.25">
      <c r="B50" s="55" t="s">
        <v>49</v>
      </c>
      <c r="C50" s="56">
        <f>SUBTOTAL(109,Insurance31[Projected 
Cost])</f>
        <v>0</v>
      </c>
      <c r="D50" s="57">
        <f>SUBTOTAL(109,Insurance31[Actual 
Cost])</f>
        <v>0</v>
      </c>
      <c r="E50" s="58">
        <f>SUBTOTAL(109,Insurance31[Difference])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Food33[[#This Row],[Projected 
Cost]]-Food33[[#This Row],[Actual 
Cost]]</f>
        <v>0</v>
      </c>
      <c r="F54" s="11"/>
      <c r="G54" s="96" t="s">
        <v>34</v>
      </c>
      <c r="H54" s="97"/>
      <c r="I54" s="98"/>
      <c r="J54" s="99">
        <f>Gifts34[[#This Row],[Projected 
Cost]]-Gifts34[[#This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Food33[[#This Row],[Projected 
Cost]]-Food33[[#This Row],[Actual 
Cost]]</f>
        <v>0</v>
      </c>
      <c r="F55" s="11"/>
      <c r="G55" s="60" t="s">
        <v>35</v>
      </c>
      <c r="H55" s="61"/>
      <c r="I55" s="62"/>
      <c r="J55" s="63">
        <f>Gifts34[[#This Row],[Projected 
Cost]]-Gifts34[[#This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Food33[[#This Row],[Projected 
Cost]]-Food33[[#This Row],[Actual 
Cost]]</f>
        <v>0</v>
      </c>
      <c r="F56" s="11"/>
      <c r="G56" s="60" t="s">
        <v>37</v>
      </c>
      <c r="H56" s="61"/>
      <c r="I56" s="62"/>
      <c r="J56" s="63">
        <f>Gifts34[[#This Row],[Projected 
Cost]]-Gifts34[[#This Row],[Actual 
Cost]]</f>
        <v>0</v>
      </c>
    </row>
    <row r="57" spans="1:10" ht="17" thickBot="1" x14ac:dyDescent="0.25">
      <c r="B57" s="51" t="s">
        <v>49</v>
      </c>
      <c r="C57" s="52">
        <f>SUBTOTAL(109,Food33[Projected 
Cost])</f>
        <v>0</v>
      </c>
      <c r="D57" s="53">
        <f>SUBTOTAL(109,Food33[Actual 
Cost])</f>
        <v>0</v>
      </c>
      <c r="E57" s="54">
        <f>SUBTOTAL(109,Food33[Difference])</f>
        <v>0</v>
      </c>
      <c r="F57" s="11"/>
      <c r="G57" s="51" t="s">
        <v>49</v>
      </c>
      <c r="H57" s="52">
        <f>SUBTOTAL(109,Gifts34[Projected 
Cost])</f>
        <v>0</v>
      </c>
      <c r="I57" s="53">
        <f>SUBTOTAL(109,Gifts34[Actual 
Cost])</f>
        <v>0</v>
      </c>
      <c r="J57" s="54">
        <f>SUBTOTAL(109,Gifts34[Difference])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Pets35[[#This Row],[Projected 
Cost]]-Pets35[[#This Row],[Actual 
Cost]]</f>
        <v>0</v>
      </c>
      <c r="F61" s="11"/>
      <c r="G61" s="96" t="s">
        <v>41</v>
      </c>
      <c r="H61" s="97"/>
      <c r="I61" s="98"/>
      <c r="J61" s="99">
        <f>Legal36[[#This Row],[Projected 
Cost]]-Legal36[[#This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Pets35[[#This Row],[Projected 
Cost]]-Pets35[[#This Row],[Actual 
Cost]]</f>
        <v>0</v>
      </c>
      <c r="F62" s="11"/>
      <c r="G62" s="60" t="s">
        <v>42</v>
      </c>
      <c r="H62" s="61"/>
      <c r="I62" s="62"/>
      <c r="J62" s="63">
        <f>Legal36[[#This Row],[Projected 
Cost]]-Legal36[[#This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Pets35[[#This Row],[Projected 
Cost]]-Pets35[[#This Row],[Actual 
Cost]]</f>
        <v>0</v>
      </c>
      <c r="F63" s="11"/>
      <c r="G63" s="60" t="s">
        <v>43</v>
      </c>
      <c r="H63" s="61"/>
      <c r="I63" s="62"/>
      <c r="J63" s="63">
        <f>Legal36[[#This Row],[Projected 
Cost]]-Legal36[[#This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Pets35[[#This Row],[Projected 
Cost]]-Pets35[[#This Row],[Actual 
Cost]]</f>
        <v>0</v>
      </c>
      <c r="F64" s="11"/>
      <c r="G64" s="60" t="s">
        <v>15</v>
      </c>
      <c r="H64" s="61"/>
      <c r="I64" s="62"/>
      <c r="J64" s="63">
        <f>Legal36[[#This Row],[Projected 
Cost]]-Legal36[[#This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Pets35[[#This Row],[Projected 
Cost]]-Pets35[[#This Row],[Actual 
Cost]]</f>
        <v>0</v>
      </c>
      <c r="F65" s="11"/>
      <c r="G65" s="51" t="s">
        <v>49</v>
      </c>
      <c r="H65" s="52">
        <f>SUBTOTAL(109,Legal36[Projected 
Cost])</f>
        <v>0</v>
      </c>
      <c r="I65" s="53">
        <f>SUBTOTAL(109,Legal36[Actual 
Cost])</f>
        <v>0</v>
      </c>
      <c r="J65" s="54">
        <f>SUBTOTAL(109,Legal36[Difference])</f>
        <v>0</v>
      </c>
    </row>
    <row r="66" spans="1:10" ht="18" thickTop="1" thickBot="1" x14ac:dyDescent="0.25">
      <c r="B66" s="51" t="s">
        <v>49</v>
      </c>
      <c r="C66" s="52">
        <f>SUBTOTAL(109,Pets35[Projected 
Cost])</f>
        <v>0</v>
      </c>
      <c r="D66" s="53">
        <f>SUBTOTAL(109,Pets35[Actual 
Cost])</f>
        <v>0</v>
      </c>
      <c r="E66" s="54">
        <f>SUBTOTAL(109,Pets35[Difference])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PersonalCare37[[#This Row],[Projected 
Cost]]-PersonalCare37[[#This Row],[Actual 
Cost]]</f>
        <v>0</v>
      </c>
      <c r="F70" s="11"/>
      <c r="G70" s="150" t="s">
        <v>52</v>
      </c>
      <c r="H70" s="150"/>
      <c r="I70" s="150"/>
      <c r="J70" s="151">
        <f>Housing27[[#Totals],[Projected
Cost]]+Entertainment28[[#Totals],[Projected 
Cost]]+Transportation30[[#Totals],[Projected 
Cost]]+Loans29[[#Totals],[Projected 
Cost]]+Insurance31[[#Totals],[Projected 
Cost]]+Savings32[[#Totals],[Projected 
Cost]]+Food33[[#Totals],[Projected 
Cost]]+Gifts34[[#Totals],[Projected 
Cost]]+Pets35[[#Totals],[Projected 
Cost]]+Legal36[[#Totals],[Projected 
Cost]]+PersonalCare37[[#Totals],[Projected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PersonalCare37[[#This Row],[Projected 
Cost]]-PersonalCare37[[#This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PersonalCare37[[#This Row],[Projected 
Cost]]-PersonalCare37[[#This Row],[Actual 
Cost]]</f>
        <v>0</v>
      </c>
      <c r="F72" s="11"/>
      <c r="G72" s="146" t="s">
        <v>53</v>
      </c>
      <c r="H72" s="146"/>
      <c r="I72" s="146"/>
      <c r="J72" s="147">
        <f>Housing27[[#Totals],[Actual 
Cost]]+Entertainment28[[#Totals],[Actual 
Cost]]+Transportation30[[#Totals],[Actual 
Cost]]+Loans29[[#Totals],[Actual 
Cost]]+Insurance31[[#Totals],[Actual 
Cost]]+Food33[[#Totals],[Actual 
Cost]]+Gifts34[[#Totals],[Actual 
Cost]]+Pets35[[#Totals],[Actual 
Cost]]+Legal36[[#Totals],[Actual 
Cost]]+PersonalCare37[[#Totals],[Actual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PersonalCare37[[#This Row],[Projected 
Cost]]-PersonalCare37[[#This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PersonalCare37[[#This Row],[Projected 
Cost]]-PersonalCare37[[#This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PersonalCare37[[#This Row],[Projected 
Cost]]-PersonalCare37[[#This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PersonalCare37[[#This Row],[Projected 
Cost]]-PersonalCare37[[#This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SUBTOTAL(109,PersonalCare37[Projected 
Cost])</f>
        <v>0</v>
      </c>
      <c r="D77" s="53">
        <f>SUBTOTAL(109,PersonalCare37[Actual 
Cost])</f>
        <v>0</v>
      </c>
      <c r="E77" s="54">
        <f>SUBTOTAL(109,PersonalCare37[Difference])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Total Projected Cost is auto calculated in cell J61, Total Actual Cost in J63, and Total Difference in J65." sqref="A81" xr:uid="{25B219F3-6FC8-424E-BB90-8D7C5770F9FE}"/>
    <dataValidation allowBlank="1" showInputMessage="1" showErrorMessage="1" prompt="Enter details in Personal Care table starting in cell at right and in Legal table starting in cell G54. Next instruction is in cell A61." sqref="A78" xr:uid="{2EC4EC03-5D75-4EC8-83A2-97FBA5EB3899}"/>
    <dataValidation allowBlank="1" showInputMessage="1" showErrorMessage="1" prompt="Enter details in Pets table starting in cell at right and in Gifts table starting in cell G48. Next instruction is in cell A58." sqref="A64:A70" xr:uid="{5DFAFCDB-BC2E-41E2-BD27-F93EBAC9A0FF}"/>
    <dataValidation allowBlank="1" showInputMessage="1" showErrorMessage="1" prompt="Enter details in Food table starting in cell at right and in Savings table starting in cell G42. Next instruction is in cell A50." sqref="A56" xr:uid="{1B875B6C-D662-41D7-9AF5-50C9A20A95DE}"/>
    <dataValidation allowBlank="1" showInputMessage="1" showErrorMessage="1" prompt="Enter details in Insurance table starting in cell at right and in Taxes table starting in cell G35. Next instruction is in cell A44." sqref="A47" xr:uid="{C891E4D5-1FE7-4CCF-A4C7-D27B33D7FEDF}"/>
    <dataValidation allowBlank="1" showInputMessage="1" showErrorMessage="1" prompt="Enter details in Transportation table starting in cell at right and in Loans table starting in cell G26. Next instruction is in cell A37." sqref="A35" xr:uid="{2DC6F120-6161-4B8D-879E-494A75BD76C6}"/>
    <dataValidation allowBlank="1" showInputMessage="1" showErrorMessage="1" prompt="Enter details in Housing table starting in cell at right and in Entertainment table starting in cell G14. Next instruction is in cell A27." sqref="A20" xr:uid="{8801F47D-5219-4794-BFAA-DE8BECAD2DBE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D10069BB-0AD8-421D-8E10-942F309BCE96}"/>
    <dataValidation allowBlank="1" showInputMessage="1" showErrorMessage="1" prompt="Projected Balance is auto calculated in cell H4, Actual Balance in H6, and Difference in H8. Next instruction is in cell A9." sqref="A9" xr:uid="{55552279-1883-4A37-8004-6478B3475D17}"/>
    <dataValidation allowBlank="1" showInputMessage="1" showErrorMessage="1" prompt="Title of this worksheet is in cell C2. Next instruction is in cell A4." sqref="A2" xr:uid="{0607B99F-E4D2-4DB2-8138-5A02EDE08552}"/>
    <dataValidation allowBlank="1" showInputMessage="1" showErrorMessage="1" prompt="Create a Personal Monthly Budget in this worksheet. Helpful instructions on how to use this worksheet are in cells in this column. Arrow down to get started." sqref="A1" xr:uid="{E7C3CED5-C6CE-4B22-96BA-A78301A6950F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1ABB-C723-4747-A4CF-5024DCE7ECAF}">
  <sheetPr>
    <tabColor theme="4"/>
    <pageSetUpPr autoPageBreaks="0" fitToPage="1"/>
  </sheetPr>
  <dimension ref="A1:J86"/>
  <sheetViews>
    <sheetView zoomScaleNormal="100" zoomScaleSheetLayoutView="30" workbookViewId="0">
      <selection activeCell="C4" sqref="C4:C8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Housing15[[#This Row],[Projected
Cost]]-Housing15[[#This Row],[Actual 
Cost]]</f>
        <v>0</v>
      </c>
      <c r="F21" s="11"/>
      <c r="G21" s="60" t="s">
        <v>73</v>
      </c>
      <c r="H21" s="61"/>
      <c r="I21" s="62"/>
      <c r="J21" s="63">
        <f>Entertainment16[[#This Row],[Projected 
Cost]]-Entertainment16[[#This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Housing15[[#This Row],[Projected
Cost]]-Housing15[[#This Row],[Actual 
Cost]]</f>
        <v>0</v>
      </c>
      <c r="F22" s="11"/>
      <c r="G22" s="60" t="s">
        <v>74</v>
      </c>
      <c r="H22" s="61"/>
      <c r="I22" s="62"/>
      <c r="J22" s="63">
        <f>Entertainment16[[#This Row],[Projected 
Cost]]-Entertainment16[[#This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Housing15[[#This Row],[Projected
Cost]]-Housing15[[#This Row],[Actual 
Cost]]</f>
        <v>0</v>
      </c>
      <c r="F23" s="11"/>
      <c r="G23" s="60" t="s">
        <v>7</v>
      </c>
      <c r="H23" s="61"/>
      <c r="I23" s="62"/>
      <c r="J23" s="63">
        <f>Entertainment16[[#This Row],[Projected 
Cost]]-Entertainment16[[#This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Housing15[[#This Row],[Projected
Cost]]-Housing15[[#This Row],[Actual 
Cost]]</f>
        <v>0</v>
      </c>
      <c r="F24" s="11"/>
      <c r="G24" s="60" t="s">
        <v>9</v>
      </c>
      <c r="H24" s="61"/>
      <c r="I24" s="62"/>
      <c r="J24" s="63">
        <f>Entertainment16[[#This Row],[Projected 
Cost]]-Entertainment16[[#This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Housing15[[#This Row],[Projected
Cost]]-Housing15[[#This Row],[Actual 
Cost]]</f>
        <v>0</v>
      </c>
      <c r="F25" s="11"/>
      <c r="G25" s="60" t="s">
        <v>11</v>
      </c>
      <c r="H25" s="61"/>
      <c r="I25" s="62"/>
      <c r="J25" s="63">
        <f>Entertainment16[[#This Row],[Projected 
Cost]]-Entertainment16[[#This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Housing15[[#This Row],[Projected
Cost]]-Housing15[[#This Row],[Actual 
Cost]]</f>
        <v>0</v>
      </c>
      <c r="F26" s="11"/>
      <c r="G26" s="60" t="s">
        <v>13</v>
      </c>
      <c r="H26" s="61"/>
      <c r="I26" s="62"/>
      <c r="J26" s="63">
        <f>Entertainment16[[#This Row],[Projected 
Cost]]-Entertainment16[[#This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Housing15[[#This Row],[Projected
Cost]]-Housing15[[#This Row],[Actual 
Cost]]</f>
        <v>0</v>
      </c>
      <c r="F27" s="11"/>
      <c r="G27" s="60" t="s">
        <v>15</v>
      </c>
      <c r="H27" s="61"/>
      <c r="I27" s="62"/>
      <c r="J27" s="63">
        <f>Entertainment16[[#This Row],[Projected 
Cost]]-Entertainment16[[#This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Housing15[[#This Row],[Projected
Cost]]-Housing15[[#This Row],[Actual 
Cost]]</f>
        <v>0</v>
      </c>
      <c r="F28" s="11"/>
      <c r="G28" s="60" t="s">
        <v>15</v>
      </c>
      <c r="H28" s="61"/>
      <c r="I28" s="62"/>
      <c r="J28" s="63">
        <f>Entertainment16[[#This Row],[Projected 
Cost]]-Entertainment16[[#This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Housing15[[#This Row],[Projected
Cost]]-Housing15[[#This Row],[Actual 
Cost]]</f>
        <v>0</v>
      </c>
      <c r="F29" s="11"/>
      <c r="G29" s="60" t="s">
        <v>15</v>
      </c>
      <c r="H29" s="61"/>
      <c r="I29" s="62"/>
      <c r="J29" s="63">
        <f>Entertainment16[[#This Row],[Projected 
Cost]]-Entertainment16[[#This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Housing15[[#This Row],[Projected
Cost]]-Housing15[[#This Row],[Actual 
Cost]]</f>
        <v>0</v>
      </c>
      <c r="F30" s="11"/>
      <c r="G30" s="51" t="s">
        <v>49</v>
      </c>
      <c r="H30" s="52">
        <f>SUBTOTAL(109,Entertainment16[Projected 
Cost])</f>
        <v>0</v>
      </c>
      <c r="I30" s="53">
        <f>SUBTOTAL(109,Entertainment16[Actual 
Cost])</f>
        <v>0</v>
      </c>
      <c r="J30" s="54">
        <f>SUBTOTAL(109,Entertainment16[Difference])</f>
        <v>0</v>
      </c>
    </row>
    <row r="31" spans="1:10" ht="18" thickTop="1" thickBot="1" x14ac:dyDescent="0.25">
      <c r="B31" s="51" t="s">
        <v>49</v>
      </c>
      <c r="C31" s="52">
        <f>SUBTOTAL(109,Housing15[Projected
Cost])</f>
        <v>0</v>
      </c>
      <c r="D31" s="53">
        <f>SUBTOTAL(109,Housing15[Actual 
Cost])</f>
        <v>0</v>
      </c>
      <c r="E31" s="54">
        <f>SUBTOTAL(109,Housing15[Difference])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Transportation18[[#This Row],[Projected 
Cost]]-Transportation18[[#This Row],[Actual 
Cost]]</f>
        <v>0</v>
      </c>
      <c r="F35" s="11"/>
      <c r="G35" s="60" t="s">
        <v>18</v>
      </c>
      <c r="H35" s="61"/>
      <c r="I35" s="62"/>
      <c r="J35" s="63">
        <f>Loans17[[#This Row],[Projected 
Cost]]-Loans17[[#This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Transportation18[[#This Row],[Projected 
Cost]]-Transportation18[[#This Row],[Actual 
Cost]]</f>
        <v>0</v>
      </c>
      <c r="F36" s="11"/>
      <c r="G36" s="60" t="s">
        <v>20</v>
      </c>
      <c r="H36" s="61"/>
      <c r="I36" s="62"/>
      <c r="J36" s="63">
        <f>Loans17[[#This Row],[Projected 
Cost]]-Loans17[[#This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Transportation18[[#This Row],[Projected 
Cost]]-Transportation18[[#This Row],[Actual 
Cost]]</f>
        <v>0</v>
      </c>
      <c r="F37" s="11"/>
      <c r="G37" s="60" t="s">
        <v>22</v>
      </c>
      <c r="H37" s="61"/>
      <c r="I37" s="62"/>
      <c r="J37" s="63">
        <f>Loans17[[#This Row],[Projected 
Cost]]-Loans17[[#This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Transportation18[[#This Row],[Projected 
Cost]]-Transportation18[[#This Row],[Actual 
Cost]]</f>
        <v>0</v>
      </c>
      <c r="F38" s="11"/>
      <c r="G38" s="60" t="s">
        <v>22</v>
      </c>
      <c r="H38" s="61"/>
      <c r="I38" s="62"/>
      <c r="J38" s="63">
        <f>Loans17[[#This Row],[Projected 
Cost]]-Loans17[[#This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Transportation18[[#This Row],[Projected 
Cost]]-Transportation18[[#This Row],[Actual 
Cost]]</f>
        <v>0</v>
      </c>
      <c r="F39" s="11"/>
      <c r="G39" s="60" t="s">
        <v>22</v>
      </c>
      <c r="H39" s="61"/>
      <c r="I39" s="62"/>
      <c r="J39" s="63">
        <f>Loans17[[#This Row],[Projected 
Cost]]-Loans17[[#This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Transportation18[[#This Row],[Projected 
Cost]]-Transportation18[[#This Row],[Actual 
Cost]]</f>
        <v>0</v>
      </c>
      <c r="F40" s="11"/>
      <c r="G40" s="60" t="s">
        <v>15</v>
      </c>
      <c r="H40" s="61"/>
      <c r="I40" s="62"/>
      <c r="J40" s="63">
        <f>Loans17[[#This Row],[Projected 
Cost]]-Loans17[[#This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Transportation18[[#This Row],[Projected 
Cost]]-Transportation18[[#This Row],[Actual 
Cost]]</f>
        <v>0</v>
      </c>
      <c r="F41" s="11"/>
      <c r="G41" s="51" t="s">
        <v>49</v>
      </c>
      <c r="H41" s="52">
        <f>SUBTOTAL(109,Loans17[Projected 
Cost])</f>
        <v>0</v>
      </c>
      <c r="I41" s="53">
        <f>SUBTOTAL(109,Loans17[Actual 
Cost])</f>
        <v>0</v>
      </c>
      <c r="J41" s="54">
        <f>SUBTOTAL(109,Loans17[Difference])</f>
        <v>0</v>
      </c>
    </row>
    <row r="42" spans="1:10" ht="18" thickTop="1" thickBot="1" x14ac:dyDescent="0.25">
      <c r="B42" s="51" t="s">
        <v>49</v>
      </c>
      <c r="C42" s="52">
        <f>SUBTOTAL(109,Transportation18[Projected 
Cost])</f>
        <v>0</v>
      </c>
      <c r="D42" s="53">
        <f>SUBTOTAL(109,Transportation18[Actual 
Cost])</f>
        <v>0</v>
      </c>
      <c r="E42" s="54">
        <f>SUBTOTAL(109,Transportation18[Difference])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Insurance19[[#This Row],[Projected 
Cost]]-Insurance19[[#This Row],[Actual 
Cost]]</f>
        <v>0</v>
      </c>
      <c r="F46" s="11"/>
      <c r="G46" s="84" t="s">
        <v>30</v>
      </c>
      <c r="H46" s="85"/>
      <c r="I46" s="86"/>
      <c r="J46" s="87">
        <f>Savings20[[#This Row],[Projected 
Cost]]-Savings20[[#This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Insurance19[[#This Row],[Projected 
Cost]]-Insurance19[[#This Row],[Actual 
Cost]]</f>
        <v>0</v>
      </c>
      <c r="F47" s="11"/>
      <c r="G47" s="88" t="s">
        <v>31</v>
      </c>
      <c r="H47" s="89"/>
      <c r="I47" s="90"/>
      <c r="J47" s="91">
        <f>Savings20[[#This Row],[Projected 
Cost]]-Savings20[[#This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Insurance19[[#This Row],[Projected 
Cost]]-Insurance19[[#This Row],[Actual 
Cost]]</f>
        <v>0</v>
      </c>
      <c r="F48" s="11"/>
      <c r="G48" s="88" t="s">
        <v>15</v>
      </c>
      <c r="H48" s="89"/>
      <c r="I48" s="90"/>
      <c r="J48" s="91">
        <f>Savings20[[#This Row],[Projected 
Cost]]-Savings20[[#This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Insurance19[[#This Row],[Projected 
Cost]]-Insurance19[[#This Row],[Actual 
Cost]]</f>
        <v>0</v>
      </c>
      <c r="F49" s="11"/>
      <c r="G49" s="92" t="s">
        <v>49</v>
      </c>
      <c r="H49" s="93">
        <f>SUBTOTAL(109,Savings20[Projected 
Cost])</f>
        <v>0</v>
      </c>
      <c r="I49" s="94">
        <f>SUBTOTAL(109,Savings20[Actual 
Cost])</f>
        <v>0</v>
      </c>
      <c r="J49" s="95">
        <f>SUBTOTAL(109,Savings20[Difference])</f>
        <v>0</v>
      </c>
    </row>
    <row r="50" spans="1:10" ht="18" thickTop="1" thickBot="1" x14ac:dyDescent="0.25">
      <c r="B50" s="55" t="s">
        <v>49</v>
      </c>
      <c r="C50" s="56">
        <f>SUBTOTAL(109,Insurance19[Projected 
Cost])</f>
        <v>0</v>
      </c>
      <c r="D50" s="57">
        <f>SUBTOTAL(109,Insurance19[Actual 
Cost])</f>
        <v>0</v>
      </c>
      <c r="E50" s="58">
        <f>SUBTOTAL(109,Insurance19[Difference])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Food21[[#This Row],[Projected 
Cost]]-Food21[[#This Row],[Actual 
Cost]]</f>
        <v>0</v>
      </c>
      <c r="F54" s="11"/>
      <c r="G54" s="96" t="s">
        <v>34</v>
      </c>
      <c r="H54" s="97"/>
      <c r="I54" s="98"/>
      <c r="J54" s="99">
        <f>Gifts22[[#This Row],[Projected 
Cost]]-Gifts22[[#This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Food21[[#This Row],[Projected 
Cost]]-Food21[[#This Row],[Actual 
Cost]]</f>
        <v>0</v>
      </c>
      <c r="F55" s="11"/>
      <c r="G55" s="60" t="s">
        <v>35</v>
      </c>
      <c r="H55" s="61"/>
      <c r="I55" s="62"/>
      <c r="J55" s="63">
        <f>Gifts22[[#This Row],[Projected 
Cost]]-Gifts22[[#This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Food21[[#This Row],[Projected 
Cost]]-Food21[[#This Row],[Actual 
Cost]]</f>
        <v>0</v>
      </c>
      <c r="F56" s="11"/>
      <c r="G56" s="60" t="s">
        <v>37</v>
      </c>
      <c r="H56" s="61"/>
      <c r="I56" s="62"/>
      <c r="J56" s="63">
        <f>Gifts22[[#This Row],[Projected 
Cost]]-Gifts22[[#This Row],[Actual 
Cost]]</f>
        <v>0</v>
      </c>
    </row>
    <row r="57" spans="1:10" ht="17" thickBot="1" x14ac:dyDescent="0.25">
      <c r="B57" s="51" t="s">
        <v>49</v>
      </c>
      <c r="C57" s="52">
        <f>SUBTOTAL(109,Food21[Projected 
Cost])</f>
        <v>0</v>
      </c>
      <c r="D57" s="53">
        <f>SUBTOTAL(109,Food21[Actual 
Cost])</f>
        <v>0</v>
      </c>
      <c r="E57" s="54">
        <f>SUBTOTAL(109,Food21[Difference])</f>
        <v>0</v>
      </c>
      <c r="F57" s="11"/>
      <c r="G57" s="51" t="s">
        <v>49</v>
      </c>
      <c r="H57" s="52">
        <f>SUBTOTAL(109,Gifts22[Projected 
Cost])</f>
        <v>0</v>
      </c>
      <c r="I57" s="53">
        <f>SUBTOTAL(109,Gifts22[Actual 
Cost])</f>
        <v>0</v>
      </c>
      <c r="J57" s="54">
        <f>SUBTOTAL(109,Gifts22[Difference])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Pets23[[#This Row],[Projected 
Cost]]-Pets23[[#This Row],[Actual 
Cost]]</f>
        <v>0</v>
      </c>
      <c r="F61" s="11"/>
      <c r="G61" s="96" t="s">
        <v>41</v>
      </c>
      <c r="H61" s="97"/>
      <c r="I61" s="98"/>
      <c r="J61" s="99">
        <f>Legal24[[#This Row],[Projected 
Cost]]-Legal24[[#This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Pets23[[#This Row],[Projected 
Cost]]-Pets23[[#This Row],[Actual 
Cost]]</f>
        <v>0</v>
      </c>
      <c r="F62" s="11"/>
      <c r="G62" s="60" t="s">
        <v>42</v>
      </c>
      <c r="H62" s="61"/>
      <c r="I62" s="62"/>
      <c r="J62" s="63">
        <f>Legal24[[#This Row],[Projected 
Cost]]-Legal24[[#This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Pets23[[#This Row],[Projected 
Cost]]-Pets23[[#This Row],[Actual 
Cost]]</f>
        <v>0</v>
      </c>
      <c r="F63" s="11"/>
      <c r="G63" s="60" t="s">
        <v>43</v>
      </c>
      <c r="H63" s="61"/>
      <c r="I63" s="62"/>
      <c r="J63" s="63">
        <f>Legal24[[#This Row],[Projected 
Cost]]-Legal24[[#This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Pets23[[#This Row],[Projected 
Cost]]-Pets23[[#This Row],[Actual 
Cost]]</f>
        <v>0</v>
      </c>
      <c r="F64" s="11"/>
      <c r="G64" s="60" t="s">
        <v>15</v>
      </c>
      <c r="H64" s="61"/>
      <c r="I64" s="62"/>
      <c r="J64" s="63">
        <f>Legal24[[#This Row],[Projected 
Cost]]-Legal24[[#This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Pets23[[#This Row],[Projected 
Cost]]-Pets23[[#This Row],[Actual 
Cost]]</f>
        <v>0</v>
      </c>
      <c r="F65" s="11"/>
      <c r="G65" s="51" t="s">
        <v>49</v>
      </c>
      <c r="H65" s="52">
        <f>SUBTOTAL(109,Legal24[Projected 
Cost])</f>
        <v>0</v>
      </c>
      <c r="I65" s="53">
        <f>SUBTOTAL(109,Legal24[Actual 
Cost])</f>
        <v>0</v>
      </c>
      <c r="J65" s="54">
        <f>SUBTOTAL(109,Legal24[Difference])</f>
        <v>0</v>
      </c>
    </row>
    <row r="66" spans="1:10" ht="18" thickTop="1" thickBot="1" x14ac:dyDescent="0.25">
      <c r="B66" s="51" t="s">
        <v>49</v>
      </c>
      <c r="C66" s="52">
        <f>SUBTOTAL(109,Pets23[Projected 
Cost])</f>
        <v>0</v>
      </c>
      <c r="D66" s="53">
        <f>SUBTOTAL(109,Pets23[Actual 
Cost])</f>
        <v>0</v>
      </c>
      <c r="E66" s="54">
        <f>SUBTOTAL(109,Pets23[Difference])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PersonalCare25[[#This Row],[Projected 
Cost]]-PersonalCare25[[#This Row],[Actual 
Cost]]</f>
        <v>0</v>
      </c>
      <c r="F70" s="11"/>
      <c r="G70" s="150" t="s">
        <v>52</v>
      </c>
      <c r="H70" s="150"/>
      <c r="I70" s="150"/>
      <c r="J70" s="151">
        <f>Housing15[[#Totals],[Projected
Cost]]+Entertainment16[[#Totals],[Projected 
Cost]]+Transportation18[[#Totals],[Projected 
Cost]]+Loans17[[#Totals],[Projected 
Cost]]+Insurance19[[#Totals],[Projected 
Cost]]+Savings20[[#Totals],[Projected 
Cost]]+Food21[[#Totals],[Projected 
Cost]]+Gifts22[[#Totals],[Projected 
Cost]]+Pets23[[#Totals],[Projected 
Cost]]+Legal24[[#Totals],[Projected 
Cost]]+PersonalCare25[[#Totals],[Projected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PersonalCare25[[#This Row],[Projected 
Cost]]-PersonalCare25[[#This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PersonalCare25[[#This Row],[Projected 
Cost]]-PersonalCare25[[#This Row],[Actual 
Cost]]</f>
        <v>0</v>
      </c>
      <c r="F72" s="11"/>
      <c r="G72" s="146" t="s">
        <v>53</v>
      </c>
      <c r="H72" s="146"/>
      <c r="I72" s="146"/>
      <c r="J72" s="147">
        <f>Housing15[[#Totals],[Actual 
Cost]]+Entertainment16[[#Totals],[Actual 
Cost]]+Transportation18[[#Totals],[Actual 
Cost]]+Loans17[[#Totals],[Actual 
Cost]]+Insurance19[[#Totals],[Actual 
Cost]]+Food21[[#Totals],[Actual 
Cost]]+Gifts22[[#Totals],[Actual 
Cost]]+Pets23[[#Totals],[Actual 
Cost]]+Legal24[[#Totals],[Actual 
Cost]]+PersonalCare25[[#Totals],[Actual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PersonalCare25[[#This Row],[Projected 
Cost]]-PersonalCare25[[#This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PersonalCare25[[#This Row],[Projected 
Cost]]-PersonalCare25[[#This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PersonalCare25[[#This Row],[Projected 
Cost]]-PersonalCare25[[#This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PersonalCare25[[#This Row],[Projected 
Cost]]-PersonalCare25[[#This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SUBTOTAL(109,PersonalCare25[Projected 
Cost])</f>
        <v>0</v>
      </c>
      <c r="D77" s="53">
        <f>SUBTOTAL(109,PersonalCare25[Actual 
Cost])</f>
        <v>0</v>
      </c>
      <c r="E77" s="54">
        <f>SUBTOTAL(109,PersonalCare25[Difference])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Total Projected Cost is auto calculated in cell J61, Total Actual Cost in J63, and Total Difference in J65." sqref="A81" xr:uid="{4736A482-598E-4FA0-A048-65981B7A3498}"/>
    <dataValidation allowBlank="1" showInputMessage="1" showErrorMessage="1" prompt="Enter details in Personal Care table starting in cell at right and in Legal table starting in cell G54. Next instruction is in cell A61." sqref="A78" xr:uid="{95223315-7E13-48FC-9486-24A9430B2B2F}"/>
    <dataValidation allowBlank="1" showInputMessage="1" showErrorMessage="1" prompt="Enter details in Pets table starting in cell at right and in Gifts table starting in cell G48. Next instruction is in cell A58." sqref="A64:A70" xr:uid="{B90E08E8-F3B3-40B6-B365-AD1F93798455}"/>
    <dataValidation allowBlank="1" showInputMessage="1" showErrorMessage="1" prompt="Enter details in Food table starting in cell at right and in Savings table starting in cell G42. Next instruction is in cell A50." sqref="A56" xr:uid="{8821E99D-6975-44A0-9ACD-C2915F474DAC}"/>
    <dataValidation allowBlank="1" showInputMessage="1" showErrorMessage="1" prompt="Enter details in Insurance table starting in cell at right and in Taxes table starting in cell G35. Next instruction is in cell A44." sqref="A47" xr:uid="{005E7C04-1C24-44AE-B7B5-BD6E79C39E32}"/>
    <dataValidation allowBlank="1" showInputMessage="1" showErrorMessage="1" prompt="Enter details in Transportation table starting in cell at right and in Loans table starting in cell G26. Next instruction is in cell A37." sqref="A35" xr:uid="{9BF11CA7-C40F-4DA4-8D61-5271A5A0B67B}"/>
    <dataValidation allowBlank="1" showInputMessage="1" showErrorMessage="1" prompt="Enter details in Housing table starting in cell at right and in Entertainment table starting in cell G14. Next instruction is in cell A27." sqref="A20" xr:uid="{EB2F17D6-8B84-4D2A-B1B1-B8B33C4E139F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9B0B6BD0-A05E-4AAC-8C3B-DF10FFF2FDA1}"/>
    <dataValidation allowBlank="1" showInputMessage="1" showErrorMessage="1" prompt="Projected Balance is auto calculated in cell H4, Actual Balance in H6, and Difference in H8. Next instruction is in cell A9." sqref="A9" xr:uid="{F74C3170-819E-4D24-9BA1-C52B2C702907}"/>
    <dataValidation allowBlank="1" showInputMessage="1" showErrorMessage="1" prompt="Title of this worksheet is in cell C2. Next instruction is in cell A4." sqref="A2" xr:uid="{9CE718A5-69BE-418D-9304-79A53E32EDF9}"/>
    <dataValidation allowBlank="1" showInputMessage="1" showErrorMessage="1" prompt="Create a Personal Monthly Budget in this worksheet. Helpful instructions on how to use this worksheet are in cells in this column. Arrow down to get started." sqref="A1" xr:uid="{95225C53-5ABE-4E93-BAEB-DF9F37AB3B4F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6"/>
  <sheetViews>
    <sheetView zoomScaleNormal="100" zoomScaleSheetLayoutView="30" workbookViewId="0">
      <selection activeCell="P29" sqref="P29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Housing[[#This Row],[Projected
Cost]]-Housing[[#This Row],[Actual 
Cost]]</f>
        <v>0</v>
      </c>
      <c r="F21" s="11"/>
      <c r="G21" s="60" t="s">
        <v>73</v>
      </c>
      <c r="H21" s="61"/>
      <c r="I21" s="62"/>
      <c r="J21" s="63">
        <f>Entertainment[[#This Row],[Projected 
Cost]]-Entertainment[[#This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Housing[[#This Row],[Projected
Cost]]-Housing[[#This Row],[Actual 
Cost]]</f>
        <v>0</v>
      </c>
      <c r="F22" s="11"/>
      <c r="G22" s="60" t="s">
        <v>74</v>
      </c>
      <c r="H22" s="61"/>
      <c r="I22" s="62"/>
      <c r="J22" s="63">
        <f>Entertainment[[#This Row],[Projected 
Cost]]-Entertainment[[#This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Housing[[#This Row],[Projected
Cost]]-Housing[[#This Row],[Actual 
Cost]]</f>
        <v>0</v>
      </c>
      <c r="F23" s="11"/>
      <c r="G23" s="60" t="s">
        <v>7</v>
      </c>
      <c r="H23" s="61"/>
      <c r="I23" s="62"/>
      <c r="J23" s="63">
        <f>Entertainment[[#This Row],[Projected 
Cost]]-Entertainment[[#This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Housing[[#This Row],[Projected
Cost]]-Housing[[#This Row],[Actual 
Cost]]</f>
        <v>0</v>
      </c>
      <c r="F24" s="11"/>
      <c r="G24" s="60" t="s">
        <v>9</v>
      </c>
      <c r="H24" s="61"/>
      <c r="I24" s="62"/>
      <c r="J24" s="63">
        <f>Entertainment[[#This Row],[Projected 
Cost]]-Entertainment[[#This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Housing[[#This Row],[Projected
Cost]]-Housing[[#This Row],[Actual 
Cost]]</f>
        <v>0</v>
      </c>
      <c r="F25" s="11"/>
      <c r="G25" s="60" t="s">
        <v>11</v>
      </c>
      <c r="H25" s="61"/>
      <c r="I25" s="62"/>
      <c r="J25" s="63">
        <f>Entertainment[[#This Row],[Projected 
Cost]]-Entertainment[[#This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Housing[[#This Row],[Projected
Cost]]-Housing[[#This Row],[Actual 
Cost]]</f>
        <v>0</v>
      </c>
      <c r="F26" s="11"/>
      <c r="G26" s="60" t="s">
        <v>13</v>
      </c>
      <c r="H26" s="61"/>
      <c r="I26" s="62"/>
      <c r="J26" s="63">
        <f>Entertainment[[#This Row],[Projected 
Cost]]-Entertainment[[#This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Housing[[#This Row],[Projected
Cost]]-Housing[[#This Row],[Actual 
Cost]]</f>
        <v>0</v>
      </c>
      <c r="F27" s="11"/>
      <c r="G27" s="60" t="s">
        <v>15</v>
      </c>
      <c r="H27" s="61"/>
      <c r="I27" s="62"/>
      <c r="J27" s="63">
        <f>Entertainment[[#This Row],[Projected 
Cost]]-Entertainment[[#This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Housing[[#This Row],[Projected
Cost]]-Housing[[#This Row],[Actual 
Cost]]</f>
        <v>0</v>
      </c>
      <c r="F28" s="11"/>
      <c r="G28" s="60" t="s">
        <v>15</v>
      </c>
      <c r="H28" s="61"/>
      <c r="I28" s="62"/>
      <c r="J28" s="63">
        <f>Entertainment[[#This Row],[Projected 
Cost]]-Entertainment[[#This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Housing[[#This Row],[Projected
Cost]]-Housing[[#This Row],[Actual 
Cost]]</f>
        <v>0</v>
      </c>
      <c r="F29" s="11"/>
      <c r="G29" s="60" t="s">
        <v>15</v>
      </c>
      <c r="H29" s="61"/>
      <c r="I29" s="62"/>
      <c r="J29" s="63">
        <f>Entertainment[[#This Row],[Projected 
Cost]]-Entertainment[[#This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Housing[[#This Row],[Projected
Cost]]-Housing[[#This Row],[Actual 
Cost]]</f>
        <v>0</v>
      </c>
      <c r="F30" s="11"/>
      <c r="G30" s="51" t="s">
        <v>49</v>
      </c>
      <c r="H30" s="52">
        <f>SUBTOTAL(109,Entertainment[Projected 
Cost])</f>
        <v>0</v>
      </c>
      <c r="I30" s="53">
        <f>SUBTOTAL(109,Entertainment[Actual 
Cost])</f>
        <v>0</v>
      </c>
      <c r="J30" s="54">
        <f>SUBTOTAL(109,Entertainment[Difference])</f>
        <v>0</v>
      </c>
    </row>
    <row r="31" spans="1:10" ht="18" thickTop="1" thickBot="1" x14ac:dyDescent="0.25">
      <c r="B31" s="51" t="s">
        <v>49</v>
      </c>
      <c r="C31" s="52">
        <f>SUBTOTAL(109,Housing[Projected
Cost])</f>
        <v>0</v>
      </c>
      <c r="D31" s="53">
        <f>SUBTOTAL(109,Housing[Actual 
Cost])</f>
        <v>0</v>
      </c>
      <c r="E31" s="54">
        <f>SUBTOTAL(109,Housing[Difference])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Transportation[[#This Row],[Projected 
Cost]]-Transportation[[#This Row],[Actual 
Cost]]</f>
        <v>0</v>
      </c>
      <c r="F35" s="11"/>
      <c r="G35" s="60" t="s">
        <v>18</v>
      </c>
      <c r="H35" s="61"/>
      <c r="I35" s="62"/>
      <c r="J35" s="63">
        <f>Loans[[#This Row],[Projected 
Cost]]-Loans[[#This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Transportation[[#This Row],[Projected 
Cost]]-Transportation[[#This Row],[Actual 
Cost]]</f>
        <v>0</v>
      </c>
      <c r="F36" s="11"/>
      <c r="G36" s="60" t="s">
        <v>20</v>
      </c>
      <c r="H36" s="61"/>
      <c r="I36" s="62"/>
      <c r="J36" s="63">
        <f>Loans[[#This Row],[Projected 
Cost]]-Loans[[#This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Transportation[[#This Row],[Projected 
Cost]]-Transportation[[#This Row],[Actual 
Cost]]</f>
        <v>0</v>
      </c>
      <c r="F37" s="11"/>
      <c r="G37" s="60" t="s">
        <v>22</v>
      </c>
      <c r="H37" s="61"/>
      <c r="I37" s="62"/>
      <c r="J37" s="63">
        <f>Loans[[#This Row],[Projected 
Cost]]-Loans[[#This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Transportation[[#This Row],[Projected 
Cost]]-Transportation[[#This Row],[Actual 
Cost]]</f>
        <v>0</v>
      </c>
      <c r="F38" s="11"/>
      <c r="G38" s="60" t="s">
        <v>22</v>
      </c>
      <c r="H38" s="61"/>
      <c r="I38" s="62"/>
      <c r="J38" s="63">
        <f>Loans[[#This Row],[Projected 
Cost]]-Loans[[#This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Transportation[[#This Row],[Projected 
Cost]]-Transportation[[#This Row],[Actual 
Cost]]</f>
        <v>0</v>
      </c>
      <c r="F39" s="11"/>
      <c r="G39" s="60" t="s">
        <v>22</v>
      </c>
      <c r="H39" s="61"/>
      <c r="I39" s="62"/>
      <c r="J39" s="63">
        <f>Loans[[#This Row],[Projected 
Cost]]-Loans[[#This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Transportation[[#This Row],[Projected 
Cost]]-Transportation[[#This Row],[Actual 
Cost]]</f>
        <v>0</v>
      </c>
      <c r="F40" s="11"/>
      <c r="G40" s="60" t="s">
        <v>15</v>
      </c>
      <c r="H40" s="61"/>
      <c r="I40" s="62"/>
      <c r="J40" s="63">
        <f>Loans[[#This Row],[Projected 
Cost]]-Loans[[#This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Transportation[[#This Row],[Projected 
Cost]]-Transportation[[#This Row],[Actual 
Cost]]</f>
        <v>0</v>
      </c>
      <c r="F41" s="11"/>
      <c r="G41" s="51" t="s">
        <v>49</v>
      </c>
      <c r="H41" s="52">
        <f>SUBTOTAL(109,Loans[Projected 
Cost])</f>
        <v>0</v>
      </c>
      <c r="I41" s="53">
        <f>SUBTOTAL(109,Loans[Actual 
Cost])</f>
        <v>0</v>
      </c>
      <c r="J41" s="54">
        <f>SUBTOTAL(109,Loans[Difference])</f>
        <v>0</v>
      </c>
    </row>
    <row r="42" spans="1:10" ht="18" thickTop="1" thickBot="1" x14ac:dyDescent="0.25">
      <c r="B42" s="51" t="s">
        <v>49</v>
      </c>
      <c r="C42" s="52">
        <f>SUBTOTAL(109,Transportation[Projected 
Cost])</f>
        <v>0</v>
      </c>
      <c r="D42" s="53">
        <f>SUBTOTAL(109,Transportation[Actual 
Cost])</f>
        <v>0</v>
      </c>
      <c r="E42" s="54">
        <f>SUBTOTAL(109,Transportation[Difference])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Insurance[[#This Row],[Projected 
Cost]]-Insurance[[#This Row],[Actual 
Cost]]</f>
        <v>0</v>
      </c>
      <c r="F46" s="11"/>
      <c r="G46" s="84" t="s">
        <v>30</v>
      </c>
      <c r="H46" s="85"/>
      <c r="I46" s="86"/>
      <c r="J46" s="87">
        <f>Savings[[#This Row],[Projected 
Cost]]-Savings[[#This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Insurance[[#This Row],[Projected 
Cost]]-Insurance[[#This Row],[Actual 
Cost]]</f>
        <v>0</v>
      </c>
      <c r="F47" s="11"/>
      <c r="G47" s="88" t="s">
        <v>31</v>
      </c>
      <c r="H47" s="89"/>
      <c r="I47" s="90"/>
      <c r="J47" s="91">
        <f>Savings[[#This Row],[Projected 
Cost]]-Savings[[#This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Insurance[[#This Row],[Projected 
Cost]]-Insurance[[#This Row],[Actual 
Cost]]</f>
        <v>0</v>
      </c>
      <c r="F48" s="11"/>
      <c r="G48" s="88" t="s">
        <v>15</v>
      </c>
      <c r="H48" s="89"/>
      <c r="I48" s="90"/>
      <c r="J48" s="91">
        <f>Savings[[#This Row],[Projected 
Cost]]-Savings[[#This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Insurance[[#This Row],[Projected 
Cost]]-Insurance[[#This Row],[Actual 
Cost]]</f>
        <v>0</v>
      </c>
      <c r="F49" s="11"/>
      <c r="G49" s="92" t="s">
        <v>49</v>
      </c>
      <c r="H49" s="93">
        <f>SUBTOTAL(109,Savings[Projected 
Cost])</f>
        <v>0</v>
      </c>
      <c r="I49" s="94">
        <f>SUBTOTAL(109,Savings[Actual 
Cost])</f>
        <v>0</v>
      </c>
      <c r="J49" s="95">
        <f>SUBTOTAL(109,Savings[Difference])</f>
        <v>0</v>
      </c>
    </row>
    <row r="50" spans="1:10" ht="18" thickTop="1" thickBot="1" x14ac:dyDescent="0.25">
      <c r="B50" s="55" t="s">
        <v>49</v>
      </c>
      <c r="C50" s="56">
        <f>SUBTOTAL(109,Insurance[Projected 
Cost])</f>
        <v>0</v>
      </c>
      <c r="D50" s="57">
        <f>SUBTOTAL(109,Insurance[Actual 
Cost])</f>
        <v>0</v>
      </c>
      <c r="E50" s="58">
        <f>SUBTOTAL(109,Insurance[Difference])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Food[[#This Row],[Projected 
Cost]]-Food[[#This Row],[Actual 
Cost]]</f>
        <v>0</v>
      </c>
      <c r="F54" s="11"/>
      <c r="G54" s="96" t="s">
        <v>34</v>
      </c>
      <c r="H54" s="97"/>
      <c r="I54" s="98"/>
      <c r="J54" s="99">
        <f>Gifts[[#This Row],[Projected 
Cost]]-Gifts[[#This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Food[[#This Row],[Projected 
Cost]]-Food[[#This Row],[Actual 
Cost]]</f>
        <v>0</v>
      </c>
      <c r="F55" s="11"/>
      <c r="G55" s="60" t="s">
        <v>35</v>
      </c>
      <c r="H55" s="61"/>
      <c r="I55" s="62"/>
      <c r="J55" s="63">
        <f>Gifts[[#This Row],[Projected 
Cost]]-Gifts[[#This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Food[[#This Row],[Projected 
Cost]]-Food[[#This Row],[Actual 
Cost]]</f>
        <v>0</v>
      </c>
      <c r="F56" s="11"/>
      <c r="G56" s="60" t="s">
        <v>37</v>
      </c>
      <c r="H56" s="61"/>
      <c r="I56" s="62"/>
      <c r="J56" s="63">
        <f>Gifts[[#This Row],[Projected 
Cost]]-Gifts[[#This Row],[Actual 
Cost]]</f>
        <v>0</v>
      </c>
    </row>
    <row r="57" spans="1:10" ht="17" thickBot="1" x14ac:dyDescent="0.25">
      <c r="B57" s="51" t="s">
        <v>49</v>
      </c>
      <c r="C57" s="52">
        <f>SUBTOTAL(109,Food[Projected 
Cost])</f>
        <v>0</v>
      </c>
      <c r="D57" s="53">
        <f>SUBTOTAL(109,Food[Actual 
Cost])</f>
        <v>0</v>
      </c>
      <c r="E57" s="54">
        <f>SUBTOTAL(109,Food[Difference])</f>
        <v>0</v>
      </c>
      <c r="F57" s="11"/>
      <c r="G57" s="51" t="s">
        <v>49</v>
      </c>
      <c r="H57" s="52">
        <f>SUBTOTAL(109,Gifts[Projected 
Cost])</f>
        <v>0</v>
      </c>
      <c r="I57" s="53">
        <f>SUBTOTAL(109,Gifts[Actual 
Cost])</f>
        <v>0</v>
      </c>
      <c r="J57" s="54">
        <f>SUBTOTAL(109,Gifts[Difference])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Pets[[#This Row],[Projected 
Cost]]-Pets[[#This Row],[Actual 
Cost]]</f>
        <v>0</v>
      </c>
      <c r="F61" s="11"/>
      <c r="G61" s="96" t="s">
        <v>41</v>
      </c>
      <c r="H61" s="97"/>
      <c r="I61" s="98"/>
      <c r="J61" s="99">
        <f>Legal[[#This Row],[Projected 
Cost]]-Legal[[#This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Pets[[#This Row],[Projected 
Cost]]-Pets[[#This Row],[Actual 
Cost]]</f>
        <v>0</v>
      </c>
      <c r="F62" s="11"/>
      <c r="G62" s="60" t="s">
        <v>42</v>
      </c>
      <c r="H62" s="61"/>
      <c r="I62" s="62"/>
      <c r="J62" s="63">
        <f>Legal[[#This Row],[Projected 
Cost]]-Legal[[#This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Pets[[#This Row],[Projected 
Cost]]-Pets[[#This Row],[Actual 
Cost]]</f>
        <v>0</v>
      </c>
      <c r="F63" s="11"/>
      <c r="G63" s="60" t="s">
        <v>43</v>
      </c>
      <c r="H63" s="61"/>
      <c r="I63" s="62"/>
      <c r="J63" s="63">
        <f>Legal[[#This Row],[Projected 
Cost]]-Legal[[#This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Pets[[#This Row],[Projected 
Cost]]-Pets[[#This Row],[Actual 
Cost]]</f>
        <v>0</v>
      </c>
      <c r="F64" s="11"/>
      <c r="G64" s="60" t="s">
        <v>15</v>
      </c>
      <c r="H64" s="61"/>
      <c r="I64" s="62"/>
      <c r="J64" s="63">
        <f>Legal[[#This Row],[Projected 
Cost]]-Legal[[#This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Pets[[#This Row],[Projected 
Cost]]-Pets[[#This Row],[Actual 
Cost]]</f>
        <v>0</v>
      </c>
      <c r="F65" s="11"/>
      <c r="G65" s="51" t="s">
        <v>49</v>
      </c>
      <c r="H65" s="52">
        <f>SUBTOTAL(109,Legal[Projected 
Cost])</f>
        <v>0</v>
      </c>
      <c r="I65" s="53">
        <f>SUBTOTAL(109,Legal[Actual 
Cost])</f>
        <v>0</v>
      </c>
      <c r="J65" s="54">
        <f>SUBTOTAL(109,Legal[Difference])</f>
        <v>0</v>
      </c>
    </row>
    <row r="66" spans="1:10" ht="18" thickTop="1" thickBot="1" x14ac:dyDescent="0.25">
      <c r="B66" s="51" t="s">
        <v>49</v>
      </c>
      <c r="C66" s="52">
        <f>SUBTOTAL(109,Pets[Projected 
Cost])</f>
        <v>0</v>
      </c>
      <c r="D66" s="53">
        <f>SUBTOTAL(109,Pets[Actual 
Cost])</f>
        <v>0</v>
      </c>
      <c r="E66" s="54">
        <f>SUBTOTAL(109,Pets[Difference])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PersonalCare[[#This Row],[Projected 
Cost]]-PersonalCare[[#This Row],[Actual 
Cost]]</f>
        <v>0</v>
      </c>
      <c r="F70" s="11"/>
      <c r="G70" s="150" t="s">
        <v>52</v>
      </c>
      <c r="H70" s="150"/>
      <c r="I70" s="150"/>
      <c r="J70" s="151">
        <f>Housing[[#Totals],[Projected
Cost]]+Entertainment[[#Totals],[Projected 
Cost]]+Transportation[[#Totals],[Projected 
Cost]]+Loans[[#Totals],[Projected 
Cost]]+Insurance[[#Totals],[Projected 
Cost]]+Savings[[#Totals],[Projected 
Cost]]+Food[[#Totals],[Projected 
Cost]]+Gifts[[#Totals],[Projected 
Cost]]+Pets[[#Totals],[Projected 
Cost]]+Legal[[#Totals],[Projected 
Cost]]+PersonalCare[[#Totals],[Projected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PersonalCare[[#This Row],[Projected 
Cost]]-PersonalCare[[#This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PersonalCare[[#This Row],[Projected 
Cost]]-PersonalCare[[#This Row],[Actual 
Cost]]</f>
        <v>0</v>
      </c>
      <c r="F72" s="11"/>
      <c r="G72" s="146" t="s">
        <v>53</v>
      </c>
      <c r="H72" s="146"/>
      <c r="I72" s="146"/>
      <c r="J72" s="147">
        <f>Housing[[#Totals],[Actual 
Cost]]+Entertainment[[#Totals],[Actual 
Cost]]+Transportation[[#Totals],[Actual 
Cost]]+Loans[[#Totals],[Actual 
Cost]]+Insurance[[#Totals],[Actual 
Cost]]+Food[[#Totals],[Actual 
Cost]]+Gifts[[#Totals],[Actual 
Cost]]+Pets[[#Totals],[Actual 
Cost]]+Legal[[#Totals],[Actual 
Cost]]+PersonalCare[[#Totals],[Actual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PersonalCare[[#This Row],[Projected 
Cost]]-PersonalCare[[#This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PersonalCare[[#This Row],[Projected 
Cost]]-PersonalCare[[#This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PersonalCare[[#This Row],[Projected 
Cost]]-PersonalCare[[#This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PersonalCare[[#This Row],[Projected 
Cost]]-PersonalCare[[#This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SUBTOTAL(109,PersonalCare[Projected 
Cost])</f>
        <v>0</v>
      </c>
      <c r="D77" s="53">
        <f>SUBTOTAL(109,PersonalCare[Actual 
Cost])</f>
        <v>0</v>
      </c>
      <c r="E77" s="54">
        <f>SUBTOTAL(109,PersonalCare[Difference])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B1:J2"/>
    <mergeCell ref="E4:G6"/>
    <mergeCell ref="H4:H6"/>
    <mergeCell ref="E7:G9"/>
    <mergeCell ref="H7:H9"/>
    <mergeCell ref="G74:I75"/>
    <mergeCell ref="J74:J75"/>
    <mergeCell ref="J70:J71"/>
    <mergeCell ref="J72:J73"/>
    <mergeCell ref="G72:I73"/>
    <mergeCell ref="G43:J43"/>
    <mergeCell ref="G70:I71"/>
    <mergeCell ref="E10:G11"/>
    <mergeCell ref="H10:H11"/>
    <mergeCell ref="B33:E33"/>
    <mergeCell ref="B44:E44"/>
    <mergeCell ref="G33:J33"/>
    <mergeCell ref="B52:E52"/>
    <mergeCell ref="G44:J44"/>
    <mergeCell ref="B59:E59"/>
    <mergeCell ref="G52:J52"/>
    <mergeCell ref="B68:E68"/>
    <mergeCell ref="G59:J59"/>
    <mergeCell ref="B19:E19"/>
    <mergeCell ref="G19:J19"/>
  </mergeCells>
  <phoneticPr fontId="25" type="noConversion"/>
  <dataValidations count="11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C2. Next instruction is in cell A4." sqref="A2" xr:uid="{B4FABB03-3192-4386-8C0C-14BCEBFC58A9}"/>
    <dataValidation allowBlank="1" showInputMessage="1" showErrorMessage="1" prompt="Projected Balance is auto calculated in cell H4, Actual Balance in H6, and Difference in H8. Next instruction is in cell A9." sqref="A9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20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35" xr:uid="{AFC8D67D-8805-4E04-8494-156CF7945383}"/>
    <dataValidation allowBlank="1" showInputMessage="1" showErrorMessage="1" prompt="Enter details in Insurance table starting in cell at right and in Taxes table starting in cell G35. Next instruction is in cell A44." sqref="A47" xr:uid="{34699D58-6783-4DA8-AD00-EB6D5B4F4886}"/>
    <dataValidation allowBlank="1" showInputMessage="1" showErrorMessage="1" prompt="Enter details in Food table starting in cell at right and in Savings table starting in cell G42. Next instruction is in cell A50." sqref="A56" xr:uid="{E10C94B7-CAAB-4591-99E4-5A50789CA061}"/>
    <dataValidation allowBlank="1" showInputMessage="1" showErrorMessage="1" prompt="Enter details in Pets table starting in cell at right and in Gifts table starting in cell G48. Next instruction is in cell A58." sqref="A64:A70" xr:uid="{2288A180-A788-4190-A6AF-985B4E7FF023}"/>
    <dataValidation allowBlank="1" showInputMessage="1" showErrorMessage="1" prompt="Enter details in Personal Care table starting in cell at right and in Legal table starting in cell G54. Next instruction is in cell A61." sqref="A78" xr:uid="{4D40684C-D56F-4273-B2CC-5C8947747B1A}"/>
    <dataValidation allowBlank="1" showInputMessage="1" showErrorMessage="1" prompt="Total Projected Cost is auto calculated in cell J61, Total Actual Cost in J63, and Total Difference in J65." sqref="A81" xr:uid="{7663E59F-1158-4833-8ADA-EE341AD75E0A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21:J29 E35:E41 J35:J40 E46:E49 E54:E56 J46:J48 J54:J56 J61:J64 J71 E70:E76 E65 E61:E64 J73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60DE-4022-40FF-A823-215AE878AE2F}">
  <sheetPr>
    <tabColor theme="4"/>
    <pageSetUpPr autoPageBreaks="0" fitToPage="1"/>
  </sheetPr>
  <dimension ref="A1:J86"/>
  <sheetViews>
    <sheetView zoomScaleNormal="100" zoomScaleSheetLayoutView="30" workbookViewId="0">
      <selection activeCell="C70" sqref="C70:D7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86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8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10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12"/>
      <c r="D7" s="11"/>
      <c r="E7" s="137" t="s">
        <v>87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14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H7-H4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8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Housing273963758799111123135[[#This Row],[Projected
Cost]]-Housing273963758799111123135[[#This Row],[Actual 
Cost]]</f>
        <v>0</v>
      </c>
      <c r="F21" s="11"/>
      <c r="G21" s="60" t="s">
        <v>73</v>
      </c>
      <c r="H21" s="61"/>
      <c r="I21" s="62"/>
      <c r="J21" s="63">
        <f>Entertainment2840647688100112124136[[#This Row],[Projected 
Cost]]-Entertainment2840647688100112124136[[#This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Housing273963758799111123135[[#This Row],[Projected
Cost]]-Housing273963758799111123135[[#This Row],[Actual 
Cost]]</f>
        <v>0</v>
      </c>
      <c r="F22" s="11"/>
      <c r="G22" s="60" t="s">
        <v>74</v>
      </c>
      <c r="H22" s="61"/>
      <c r="I22" s="62"/>
      <c r="J22" s="63">
        <f>Entertainment2840647688100112124136[[#This Row],[Projected 
Cost]]-Entertainment2840647688100112124136[[#This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Housing273963758799111123135[[#This Row],[Projected
Cost]]-Housing273963758799111123135[[#This Row],[Actual 
Cost]]</f>
        <v>0</v>
      </c>
      <c r="F23" s="11"/>
      <c r="G23" s="60" t="s">
        <v>7</v>
      </c>
      <c r="H23" s="61"/>
      <c r="I23" s="62"/>
      <c r="J23" s="63">
        <f>Entertainment2840647688100112124136[[#This Row],[Projected 
Cost]]-Entertainment2840647688100112124136[[#This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Housing273963758799111123135[[#This Row],[Projected
Cost]]-Housing273963758799111123135[[#This Row],[Actual 
Cost]]</f>
        <v>0</v>
      </c>
      <c r="F24" s="11"/>
      <c r="G24" s="60" t="s">
        <v>9</v>
      </c>
      <c r="H24" s="61"/>
      <c r="I24" s="62"/>
      <c r="J24" s="63">
        <f>Entertainment2840647688100112124136[[#This Row],[Projected 
Cost]]-Entertainment2840647688100112124136[[#This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Housing273963758799111123135[[#This Row],[Projected
Cost]]-Housing273963758799111123135[[#This Row],[Actual 
Cost]]</f>
        <v>0</v>
      </c>
      <c r="F25" s="11"/>
      <c r="G25" s="60" t="s">
        <v>11</v>
      </c>
      <c r="H25" s="61"/>
      <c r="I25" s="62"/>
      <c r="J25" s="63">
        <f>Entertainment2840647688100112124136[[#This Row],[Projected 
Cost]]-Entertainment2840647688100112124136[[#This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Housing273963758799111123135[[#This Row],[Projected
Cost]]-Housing273963758799111123135[[#This Row],[Actual 
Cost]]</f>
        <v>0</v>
      </c>
      <c r="F26" s="11"/>
      <c r="G26" s="60" t="s">
        <v>13</v>
      </c>
      <c r="H26" s="61"/>
      <c r="I26" s="62"/>
      <c r="J26" s="63">
        <f>Entertainment2840647688100112124136[[#This Row],[Projected 
Cost]]-Entertainment2840647688100112124136[[#This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Housing273963758799111123135[[#This Row],[Projected
Cost]]-Housing273963758799111123135[[#This Row],[Actual 
Cost]]</f>
        <v>0</v>
      </c>
      <c r="F27" s="11"/>
      <c r="G27" s="60" t="s">
        <v>15</v>
      </c>
      <c r="H27" s="61"/>
      <c r="I27" s="62"/>
      <c r="J27" s="63">
        <f>Entertainment2840647688100112124136[[#This Row],[Projected 
Cost]]-Entertainment2840647688100112124136[[#This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Housing273963758799111123135[[#This Row],[Projected
Cost]]-Housing273963758799111123135[[#This Row],[Actual 
Cost]]</f>
        <v>0</v>
      </c>
      <c r="F28" s="11"/>
      <c r="G28" s="60" t="s">
        <v>15</v>
      </c>
      <c r="H28" s="61"/>
      <c r="I28" s="62"/>
      <c r="J28" s="63">
        <f>Entertainment2840647688100112124136[[#This Row],[Projected 
Cost]]-Entertainment2840647688100112124136[[#This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Housing273963758799111123135[[#This Row],[Projected
Cost]]-Housing273963758799111123135[[#This Row],[Actual 
Cost]]</f>
        <v>0</v>
      </c>
      <c r="F29" s="11"/>
      <c r="G29" s="60" t="s">
        <v>15</v>
      </c>
      <c r="H29" s="61"/>
      <c r="I29" s="62"/>
      <c r="J29" s="63">
        <f>Entertainment2840647688100112124136[[#This Row],[Projected 
Cost]]-Entertainment2840647688100112124136[[#This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Housing273963758799111123135[[#This Row],[Projected
Cost]]-Housing273963758799111123135[[#This Row],[Actual 
Cost]]</f>
        <v>0</v>
      </c>
      <c r="F30" s="11"/>
      <c r="G30" s="51" t="s">
        <v>49</v>
      </c>
      <c r="H30" s="52">
        <f>SUBTOTAL(109,Entertainment2840647688100112124136[Projected 
Cost])</f>
        <v>0</v>
      </c>
      <c r="I30" s="53">
        <f>SUBTOTAL(109,Entertainment2840647688100112124136[Actual 
Cost])</f>
        <v>0</v>
      </c>
      <c r="J30" s="54">
        <f>SUBTOTAL(109,Entertainment2840647688100112124136[Difference])</f>
        <v>0</v>
      </c>
    </row>
    <row r="31" spans="1:10" ht="18" thickTop="1" thickBot="1" x14ac:dyDescent="0.25">
      <c r="B31" s="51" t="s">
        <v>49</v>
      </c>
      <c r="C31" s="52">
        <f>SUBTOTAL(109,Housing273963758799111123135[Projected
Cost])</f>
        <v>0</v>
      </c>
      <c r="D31" s="53">
        <f>SUBTOTAL(109,Housing273963758799111123135[Actual 
Cost])</f>
        <v>0</v>
      </c>
      <c r="E31" s="54">
        <f>SUBTOTAL(109,Housing273963758799111123135[Difference])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Transportation3042667890102114126138[[#This Row],[Projected 
Cost]]-Transportation3042667890102114126138[[#This Row],[Actual 
Cost]]</f>
        <v>0</v>
      </c>
      <c r="F35" s="11"/>
      <c r="G35" s="60" t="s">
        <v>18</v>
      </c>
      <c r="H35" s="61"/>
      <c r="I35" s="62"/>
      <c r="J35" s="63">
        <f>Loans2941657789101113125137[[#This Row],[Projected 
Cost]]-Loans2941657789101113125137[[#This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Transportation3042667890102114126138[[#This Row],[Projected 
Cost]]-Transportation3042667890102114126138[[#This Row],[Actual 
Cost]]</f>
        <v>0</v>
      </c>
      <c r="F36" s="11"/>
      <c r="G36" s="60" t="s">
        <v>20</v>
      </c>
      <c r="H36" s="61"/>
      <c r="I36" s="62"/>
      <c r="J36" s="63">
        <f>Loans2941657789101113125137[[#This Row],[Projected 
Cost]]-Loans2941657789101113125137[[#This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Transportation3042667890102114126138[[#This Row],[Projected 
Cost]]-Transportation3042667890102114126138[[#This Row],[Actual 
Cost]]</f>
        <v>0</v>
      </c>
      <c r="F37" s="11"/>
      <c r="G37" s="60" t="s">
        <v>22</v>
      </c>
      <c r="H37" s="61"/>
      <c r="I37" s="62"/>
      <c r="J37" s="63">
        <f>Loans2941657789101113125137[[#This Row],[Projected 
Cost]]-Loans2941657789101113125137[[#This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Transportation3042667890102114126138[[#This Row],[Projected 
Cost]]-Transportation3042667890102114126138[[#This Row],[Actual 
Cost]]</f>
        <v>0</v>
      </c>
      <c r="F38" s="11"/>
      <c r="G38" s="60" t="s">
        <v>22</v>
      </c>
      <c r="H38" s="61"/>
      <c r="I38" s="62"/>
      <c r="J38" s="63">
        <f>Loans2941657789101113125137[[#This Row],[Projected 
Cost]]-Loans2941657789101113125137[[#This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Transportation3042667890102114126138[[#This Row],[Projected 
Cost]]-Transportation3042667890102114126138[[#This Row],[Actual 
Cost]]</f>
        <v>0</v>
      </c>
      <c r="F39" s="11"/>
      <c r="G39" s="60" t="s">
        <v>22</v>
      </c>
      <c r="H39" s="61"/>
      <c r="I39" s="62"/>
      <c r="J39" s="63">
        <f>Loans2941657789101113125137[[#This Row],[Projected 
Cost]]-Loans2941657789101113125137[[#This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Transportation3042667890102114126138[[#This Row],[Projected 
Cost]]-Transportation3042667890102114126138[[#This Row],[Actual 
Cost]]</f>
        <v>0</v>
      </c>
      <c r="F40" s="11"/>
      <c r="G40" s="60" t="s">
        <v>15</v>
      </c>
      <c r="H40" s="61"/>
      <c r="I40" s="62"/>
      <c r="J40" s="63">
        <f>Loans2941657789101113125137[[#This Row],[Projected 
Cost]]-Loans2941657789101113125137[[#This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Transportation3042667890102114126138[[#This Row],[Projected 
Cost]]-Transportation3042667890102114126138[[#This Row],[Actual 
Cost]]</f>
        <v>0</v>
      </c>
      <c r="F41" s="11"/>
      <c r="G41" s="120" t="s">
        <v>49</v>
      </c>
      <c r="H41" s="121">
        <f>SUBTOTAL(109,Loans2941657789101113125137[Projected 
Cost])</f>
        <v>0</v>
      </c>
      <c r="I41" s="122">
        <f>SUBTOTAL(109,Loans2941657789101113125137[Actual 
Cost])</f>
        <v>0</v>
      </c>
      <c r="J41" s="123">
        <f>SUBTOTAL(109,Loans2941657789101113125137[Difference])</f>
        <v>0</v>
      </c>
    </row>
    <row r="42" spans="1:10" ht="18" thickTop="1" thickBot="1" x14ac:dyDescent="0.25">
      <c r="B42" s="51" t="s">
        <v>49</v>
      </c>
      <c r="C42" s="52">
        <f>SUBTOTAL(109,Transportation3042667890102114126138[Projected 
Cost])</f>
        <v>0</v>
      </c>
      <c r="D42" s="53">
        <f>SUBTOTAL(109,Transportation3042667890102114126138[Actual 
Cost])</f>
        <v>0</v>
      </c>
      <c r="E42" s="54">
        <f>SUBTOTAL(109,Transportation3042667890102114126138[Difference])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Insurance3143677991103115127139[[#This Row],[Projected 
Cost]]-Insurance3143677991103115127139[[#This Row],[Actual 
Cost]]</f>
        <v>0</v>
      </c>
      <c r="F46" s="11"/>
      <c r="G46" s="84" t="s">
        <v>30</v>
      </c>
      <c r="H46" s="85"/>
      <c r="I46" s="86"/>
      <c r="J46" s="87">
        <f>Savings3244688092104116128140[[#This Row],[Projected 
Cost]]-Savings3244688092104116128140[[#This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Insurance3143677991103115127139[[#This Row],[Projected 
Cost]]-Insurance3143677991103115127139[[#This Row],[Actual 
Cost]]</f>
        <v>0</v>
      </c>
      <c r="F47" s="11"/>
      <c r="G47" s="88" t="s">
        <v>31</v>
      </c>
      <c r="H47" s="89"/>
      <c r="I47" s="90"/>
      <c r="J47" s="91">
        <f>Savings3244688092104116128140[[#This Row],[Projected 
Cost]]-Savings3244688092104116128140[[#This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Insurance3143677991103115127139[[#This Row],[Projected 
Cost]]-Insurance3143677991103115127139[[#This Row],[Actual 
Cost]]</f>
        <v>0</v>
      </c>
      <c r="F48" s="11"/>
      <c r="G48" s="88" t="s">
        <v>85</v>
      </c>
      <c r="H48" s="89"/>
      <c r="I48" s="90"/>
      <c r="J48" s="91">
        <f>Savings3244688092104116128140[[#This Row],[Projected 
Cost]]-Savings3244688092104116128140[[#This Row],[Actual 
Cost]]</f>
        <v>0</v>
      </c>
    </row>
    <row r="49" spans="1:10" ht="16" x14ac:dyDescent="0.2">
      <c r="B49" s="80" t="s">
        <v>15</v>
      </c>
      <c r="C49" s="81"/>
      <c r="D49" s="82"/>
      <c r="E49" s="83">
        <f>Insurance3143677991103115127139[[#This Row],[Projected 
Cost]]-Insurance3143677991103115127139[[#This Row],[Actual 
Cost]]</f>
        <v>0</v>
      </c>
      <c r="F49" s="11"/>
      <c r="G49" s="88" t="s">
        <v>15</v>
      </c>
      <c r="H49" s="89"/>
      <c r="I49" s="90"/>
      <c r="J49" s="91">
        <f>Savings3244688092104116128140[[#This Row],[Projected 
Cost]]-Savings3244688092104116128140[[#This Row],[Actual 
Cost]]</f>
        <v>0</v>
      </c>
    </row>
    <row r="50" spans="1:10" ht="17" thickBot="1" x14ac:dyDescent="0.25">
      <c r="B50" s="55" t="s">
        <v>49</v>
      </c>
      <c r="C50" s="56">
        <f>SUBTOTAL(109,Insurance3143677991103115127139[Projected 
Cost])</f>
        <v>0</v>
      </c>
      <c r="D50" s="57">
        <f>SUBTOTAL(109,Insurance3143677991103115127139[Actual 
Cost])</f>
        <v>0</v>
      </c>
      <c r="E50" s="58">
        <f>SUBTOTAL(109,Insurance3143677991103115127139[Difference])</f>
        <v>0</v>
      </c>
      <c r="F50" s="11"/>
      <c r="G50" s="124" t="s">
        <v>49</v>
      </c>
      <c r="H50" s="125">
        <f>SUBTOTAL(109,Savings3244688092104116128140[Projected 
Cost])</f>
        <v>0</v>
      </c>
      <c r="I50" s="126">
        <f>SUBTOTAL(109,Savings3244688092104116128140[Actual 
Cost])</f>
        <v>0</v>
      </c>
      <c r="J50" s="127">
        <f>SUBTOTAL(109,Savings3244688092104116128140[Difference])</f>
        <v>0</v>
      </c>
    </row>
    <row r="51" spans="1:10" ht="38" customHeight="1" thickTop="1" x14ac:dyDescent="0.2">
      <c r="B51" s="16"/>
      <c r="C51" s="17"/>
      <c r="D51" s="17"/>
      <c r="E51" s="18"/>
      <c r="F51" s="11"/>
      <c r="G51" s="11" t="s">
        <v>83</v>
      </c>
      <c r="H51" s="11"/>
      <c r="I51" s="11"/>
      <c r="J51" s="1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Food3345698193105117129141[[#This Row],[Projected 
Cost]]-Food3345698193105117129141[[#This Row],[Actual 
Cost]]</f>
        <v>0</v>
      </c>
      <c r="F54" s="11"/>
      <c r="G54" s="96" t="s">
        <v>34</v>
      </c>
      <c r="H54" s="97"/>
      <c r="I54" s="98"/>
      <c r="J54" s="99">
        <f>Gifts3446708294106118130142[[#This Row],[Projected 
Cost]]-Gifts3446708294106118130142[[#This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Food3345698193105117129141[[#This Row],[Projected 
Cost]]-Food3345698193105117129141[[#This Row],[Actual 
Cost]]</f>
        <v>0</v>
      </c>
      <c r="F55" s="11"/>
      <c r="G55" s="60" t="s">
        <v>35</v>
      </c>
      <c r="H55" s="61"/>
      <c r="I55" s="62"/>
      <c r="J55" s="63">
        <f>Gifts3446708294106118130142[[#This Row],[Projected 
Cost]]-Gifts3446708294106118130142[[#This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Food3345698193105117129141[[#This Row],[Projected 
Cost]]-Food3345698193105117129141[[#This Row],[Actual 
Cost]]</f>
        <v>0</v>
      </c>
      <c r="F56" s="11"/>
      <c r="G56" s="60" t="s">
        <v>37</v>
      </c>
      <c r="H56" s="61"/>
      <c r="I56" s="62"/>
      <c r="J56" s="63">
        <f>Gifts3446708294106118130142[[#This Row],[Projected 
Cost]]-Gifts3446708294106118130142[[#This Row],[Actual 
Cost]]</f>
        <v>0</v>
      </c>
    </row>
    <row r="57" spans="1:10" ht="17" thickBot="1" x14ac:dyDescent="0.25">
      <c r="B57" s="51" t="s">
        <v>49</v>
      </c>
      <c r="C57" s="52">
        <f>SUBTOTAL(109,Food3345698193105117129141[Projected 
Cost])</f>
        <v>0</v>
      </c>
      <c r="D57" s="53">
        <f>SUBTOTAL(109,Food3345698193105117129141[Actual 
Cost])</f>
        <v>0</v>
      </c>
      <c r="E57" s="54">
        <f>SUBTOTAL(109,Food3345698193105117129141[Difference])</f>
        <v>0</v>
      </c>
      <c r="F57" s="11"/>
      <c r="G57" s="51" t="s">
        <v>49</v>
      </c>
      <c r="H57" s="52">
        <f>SUBTOTAL(109,Gifts3446708294106118130142[Projected 
Cost])</f>
        <v>0</v>
      </c>
      <c r="I57" s="53">
        <f>SUBTOTAL(109,Gifts3446708294106118130142[Actual 
Cost])</f>
        <v>0</v>
      </c>
      <c r="J57" s="54">
        <f>SUBTOTAL(109,Gifts3446708294106118130142[Difference])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Pets3547718395107119131143[[#This Row],[Projected 
Cost]]-Pets3547718395107119131143[[#This Row],[Actual 
Cost]]</f>
        <v>0</v>
      </c>
      <c r="F61" s="11"/>
      <c r="G61" s="96" t="s">
        <v>41</v>
      </c>
      <c r="H61" s="97"/>
      <c r="I61" s="98"/>
      <c r="J61" s="99">
        <f>Legal3648728496108120132144[[#This Row],[Projected 
Cost]]-Legal3648728496108120132144[[#This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Pets3547718395107119131143[[#This Row],[Projected 
Cost]]-Pets3547718395107119131143[[#This Row],[Actual 
Cost]]</f>
        <v>0</v>
      </c>
      <c r="F62" s="11"/>
      <c r="G62" s="60" t="s">
        <v>42</v>
      </c>
      <c r="H62" s="61"/>
      <c r="I62" s="62"/>
      <c r="J62" s="63">
        <f>Legal3648728496108120132144[[#This Row],[Projected 
Cost]]-Legal3648728496108120132144[[#This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Pets3547718395107119131143[[#This Row],[Projected 
Cost]]-Pets3547718395107119131143[[#This Row],[Actual 
Cost]]</f>
        <v>0</v>
      </c>
      <c r="F63" s="11"/>
      <c r="G63" s="60" t="s">
        <v>43</v>
      </c>
      <c r="H63" s="61"/>
      <c r="I63" s="62"/>
      <c r="J63" s="63">
        <f>Legal3648728496108120132144[[#This Row],[Projected 
Cost]]-Legal3648728496108120132144[[#This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Pets3547718395107119131143[[#This Row],[Projected 
Cost]]-Pets3547718395107119131143[[#This Row],[Actual 
Cost]]</f>
        <v>0</v>
      </c>
      <c r="F64" s="11"/>
      <c r="G64" s="60" t="s">
        <v>15</v>
      </c>
      <c r="H64" s="61"/>
      <c r="I64" s="62"/>
      <c r="J64" s="63">
        <f>Legal3648728496108120132144[[#This Row],[Projected 
Cost]]-Legal3648728496108120132144[[#This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Pets3547718395107119131143[[#This Row],[Projected 
Cost]]-Pets3547718395107119131143[[#This Row],[Actual 
Cost]]</f>
        <v>0</v>
      </c>
      <c r="F65" s="11"/>
      <c r="G65" s="51" t="s">
        <v>49</v>
      </c>
      <c r="H65" s="52">
        <f>SUBTOTAL(109,Legal3648728496108120132144[Projected 
Cost])</f>
        <v>0</v>
      </c>
      <c r="I65" s="53">
        <f>SUBTOTAL(109,Legal3648728496108120132144[Actual 
Cost])</f>
        <v>0</v>
      </c>
      <c r="J65" s="54">
        <f>SUBTOTAL(109,Legal3648728496108120132144[Difference])</f>
        <v>0</v>
      </c>
    </row>
    <row r="66" spans="1:10" ht="18" thickTop="1" thickBot="1" x14ac:dyDescent="0.25">
      <c r="B66" s="51" t="s">
        <v>49</v>
      </c>
      <c r="C66" s="52">
        <f>SUBTOTAL(109,Pets3547718395107119131143[Projected 
Cost])</f>
        <v>0</v>
      </c>
      <c r="D66" s="53">
        <f>SUBTOTAL(109,Pets3547718395107119131143[Actual 
Cost])</f>
        <v>0</v>
      </c>
      <c r="E66" s="54">
        <f>SUBTOTAL(109,Pets3547718395107119131143[Difference])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PersonalCare3749738597109121133145[[#This Row],[Projected 
Cost]]-PersonalCare3749738597109121133145[[#This Row],[Actual 
Cost]]</f>
        <v>0</v>
      </c>
      <c r="F70" s="11"/>
      <c r="G70" s="150" t="s">
        <v>52</v>
      </c>
      <c r="H70" s="150"/>
      <c r="I70" s="150"/>
      <c r="J70" s="151">
        <f>Housing273963758799111123135[[#Totals],[Projected
Cost]]+Entertainment2840647688100112124136[[#Totals],[Projected 
Cost]]+Transportation3042667890102114126138[[#Totals],[Projected 
Cost]]+Loans2941657789101113125137[[#Totals],[Projected 
Cost]]+Insurance3143677991103115127139[[#Totals],[Projected 
Cost]]+Savings3244688092104116128140[[#Totals],[Projected 
Cost]]+Food3345698193105117129141[[#Totals],[Projected 
Cost]]+Gifts3446708294106118130142[[#Totals],[Projected 
Cost]]+Pets3547718395107119131143[[#Totals],[Projected 
Cost]]+Legal3648728496108120132144[[#Totals],[Projected 
Cost]]+PersonalCare3749738597109121133145[[#Totals],[Projected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PersonalCare3749738597109121133145[[#This Row],[Projected 
Cost]]-PersonalCare3749738597109121133145[[#This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PersonalCare3749738597109121133145[[#This Row],[Projected 
Cost]]-PersonalCare3749738597109121133145[[#This Row],[Actual 
Cost]]</f>
        <v>0</v>
      </c>
      <c r="F72" s="11"/>
      <c r="G72" s="146" t="s">
        <v>53</v>
      </c>
      <c r="H72" s="146"/>
      <c r="I72" s="146"/>
      <c r="J72" s="147">
        <f>Housing273963758799111123135[[#Totals],[Actual 
Cost]]+Entertainment2840647688100112124136[[#Totals],[Actual 
Cost]]+Transportation3042667890102114126138[[#Totals],[Actual 
Cost]]+Loans2941657789101113125137[[#Totals],[Actual 
Cost]]+Insurance3143677991103115127139[[#Totals],[Actual 
Cost]]+Food3345698193105117129141[[#Totals],[Actual 
Cost]]+Gifts3446708294106118130142[[#Totals],[Actual 
Cost]]+Pets3547718395107119131143[[#Totals],[Actual 
Cost]]+Legal3648728496108120132144[[#Totals],[Actual 
Cost]]+PersonalCare3749738597109121133145[[#Totals],[Actual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PersonalCare3749738597109121133145[[#This Row],[Projected 
Cost]]-PersonalCare3749738597109121133145[[#This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PersonalCare3749738597109121133145[[#This Row],[Projected 
Cost]]-PersonalCare3749738597109121133145[[#This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PersonalCare3749738597109121133145[[#This Row],[Projected 
Cost]]-PersonalCare3749738597109121133145[[#This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PersonalCare3749738597109121133145[[#This Row],[Projected 
Cost]]-PersonalCare3749738597109121133145[[#This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SUBTOTAL(109,PersonalCare3749738597109121133145[Projected 
Cost])</f>
        <v>0</v>
      </c>
      <c r="D77" s="53">
        <f>SUBTOTAL(109,PersonalCare3749738597109121133145[Actual 
Cost])</f>
        <v>0</v>
      </c>
      <c r="E77" s="54">
        <f>SUBTOTAL(109,PersonalCare3749738597109121133145[Difference])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Total Projected Cost is auto calculated in cell J61, Total Actual Cost in J63, and Total Difference in J65." sqref="A81" xr:uid="{2B940AC6-CECE-419A-B85C-884BBFA68A88}"/>
    <dataValidation allowBlank="1" showInputMessage="1" showErrorMessage="1" prompt="Enter details in Personal Care table starting in cell at right and in Legal table starting in cell G54. Next instruction is in cell A61." sqref="A78" xr:uid="{FFB27374-8FC7-45E5-91B6-30B7D0648C5C}"/>
    <dataValidation allowBlank="1" showInputMessage="1" showErrorMessage="1" prompt="Enter details in Pets table starting in cell at right and in Gifts table starting in cell G48. Next instruction is in cell A58." sqref="A64:A70" xr:uid="{09B8329D-2208-458F-9575-F850ACC186A8}"/>
    <dataValidation allowBlank="1" showInputMessage="1" showErrorMessage="1" prompt="Enter details in Food table starting in cell at right and in Savings table starting in cell G42. Next instruction is in cell A50." sqref="A56" xr:uid="{C10F9822-9519-47D1-8AEE-E2732FA7EEB9}"/>
    <dataValidation allowBlank="1" showInputMessage="1" showErrorMessage="1" prompt="Enter details in Insurance table starting in cell at right and in Taxes table starting in cell G35. Next instruction is in cell A44." sqref="A47" xr:uid="{74A0A083-A341-4A88-85D1-EA1B103503ED}"/>
    <dataValidation allowBlank="1" showInputMessage="1" showErrorMessage="1" prompt="Enter details in Transportation table starting in cell at right and in Loans table starting in cell G26. Next instruction is in cell A37." sqref="A35" xr:uid="{C418077A-47AB-43D3-B3FB-FD22F78A15FE}"/>
    <dataValidation allowBlank="1" showInputMessage="1" showErrorMessage="1" prompt="Enter details in Housing table starting in cell at right and in Entertainment table starting in cell G14. Next instruction is in cell A27." sqref="A20" xr:uid="{F04F7D5C-75D2-4BEF-B96C-A965E2F61950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1BA05B77-FA99-4968-9429-220D10B9431A}"/>
    <dataValidation allowBlank="1" showInputMessage="1" showErrorMessage="1" prompt="Projected Balance is auto calculated in cell H4, Actual Balance in H6, and Difference in H8. Next instruction is in cell A9." sqref="A9" xr:uid="{6C6550F3-0E17-4A6C-A3B0-96E8467AB039}"/>
    <dataValidation allowBlank="1" showInputMessage="1" showErrorMessage="1" prompt="Title of this worksheet is in cell C2. Next instruction is in cell A4." sqref="A2" xr:uid="{3224190B-5858-40AA-BCAA-47F7A85DC68E}"/>
    <dataValidation allowBlank="1" showInputMessage="1" showErrorMessage="1" prompt="Create a Personal Monthly Budget in this worksheet. Helpful instructions on how to use this worksheet are in cells in this column. Arrow down to get started." sqref="A1" xr:uid="{D9C69A53-4C0B-4E69-A244-86783978FECD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A1DE-4A65-4304-A09C-765BF2106B71}">
  <sheetPr>
    <tabColor theme="4"/>
    <pageSetUpPr autoPageBreaks="0" fitToPage="1"/>
  </sheetPr>
  <dimension ref="A1:J86"/>
  <sheetViews>
    <sheetView topLeftCell="A32" zoomScaleNormal="100" zoomScaleSheetLayoutView="30" workbookViewId="0">
      <selection activeCell="L69" sqref="L69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Housing273963758799111123[[#This Row],[Projected
Cost]]-Housing273963758799111123[[#This Row],[Actual 
Cost]]</f>
        <v>0</v>
      </c>
      <c r="F21" s="11"/>
      <c r="G21" s="60" t="s">
        <v>73</v>
      </c>
      <c r="H21" s="61"/>
      <c r="I21" s="62"/>
      <c r="J21" s="63">
        <f>Entertainment2840647688100112124[[#This Row],[Projected 
Cost]]-Entertainment2840647688100112124[[#This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Housing273963758799111123[[#This Row],[Projected
Cost]]-Housing273963758799111123[[#This Row],[Actual 
Cost]]</f>
        <v>0</v>
      </c>
      <c r="F22" s="11"/>
      <c r="G22" s="60" t="s">
        <v>74</v>
      </c>
      <c r="H22" s="61"/>
      <c r="I22" s="62"/>
      <c r="J22" s="63">
        <f>Entertainment2840647688100112124[[#This Row],[Projected 
Cost]]-Entertainment2840647688100112124[[#This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Housing273963758799111123[[#This Row],[Projected
Cost]]-Housing273963758799111123[[#This Row],[Actual 
Cost]]</f>
        <v>0</v>
      </c>
      <c r="F23" s="11"/>
      <c r="G23" s="60" t="s">
        <v>7</v>
      </c>
      <c r="H23" s="61"/>
      <c r="I23" s="62"/>
      <c r="J23" s="63">
        <f>Entertainment2840647688100112124[[#This Row],[Projected 
Cost]]-Entertainment2840647688100112124[[#This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Housing273963758799111123[[#This Row],[Projected
Cost]]-Housing273963758799111123[[#This Row],[Actual 
Cost]]</f>
        <v>0</v>
      </c>
      <c r="F24" s="11"/>
      <c r="G24" s="60" t="s">
        <v>9</v>
      </c>
      <c r="H24" s="61"/>
      <c r="I24" s="62"/>
      <c r="J24" s="63">
        <f>Entertainment2840647688100112124[[#This Row],[Projected 
Cost]]-Entertainment2840647688100112124[[#This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Housing273963758799111123[[#This Row],[Projected
Cost]]-Housing273963758799111123[[#This Row],[Actual 
Cost]]</f>
        <v>0</v>
      </c>
      <c r="F25" s="11"/>
      <c r="G25" s="60" t="s">
        <v>11</v>
      </c>
      <c r="H25" s="61"/>
      <c r="I25" s="62"/>
      <c r="J25" s="63">
        <f>Entertainment2840647688100112124[[#This Row],[Projected 
Cost]]-Entertainment2840647688100112124[[#This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Housing273963758799111123[[#This Row],[Projected
Cost]]-Housing273963758799111123[[#This Row],[Actual 
Cost]]</f>
        <v>0</v>
      </c>
      <c r="F26" s="11"/>
      <c r="G26" s="60" t="s">
        <v>13</v>
      </c>
      <c r="H26" s="61"/>
      <c r="I26" s="62"/>
      <c r="J26" s="63">
        <f>Entertainment2840647688100112124[[#This Row],[Projected 
Cost]]-Entertainment2840647688100112124[[#This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Housing273963758799111123[[#This Row],[Projected
Cost]]-Housing273963758799111123[[#This Row],[Actual 
Cost]]</f>
        <v>0</v>
      </c>
      <c r="F27" s="11"/>
      <c r="G27" s="60" t="s">
        <v>15</v>
      </c>
      <c r="H27" s="61"/>
      <c r="I27" s="62"/>
      <c r="J27" s="63">
        <f>Entertainment2840647688100112124[[#This Row],[Projected 
Cost]]-Entertainment2840647688100112124[[#This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Housing273963758799111123[[#This Row],[Projected
Cost]]-Housing273963758799111123[[#This Row],[Actual 
Cost]]</f>
        <v>0</v>
      </c>
      <c r="F28" s="11"/>
      <c r="G28" s="60" t="s">
        <v>15</v>
      </c>
      <c r="H28" s="61"/>
      <c r="I28" s="62"/>
      <c r="J28" s="63">
        <f>Entertainment2840647688100112124[[#This Row],[Projected 
Cost]]-Entertainment2840647688100112124[[#This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Housing273963758799111123[[#This Row],[Projected
Cost]]-Housing273963758799111123[[#This Row],[Actual 
Cost]]</f>
        <v>0</v>
      </c>
      <c r="F29" s="11"/>
      <c r="G29" s="60" t="s">
        <v>15</v>
      </c>
      <c r="H29" s="61"/>
      <c r="I29" s="62"/>
      <c r="J29" s="63">
        <f>Entertainment2840647688100112124[[#This Row],[Projected 
Cost]]-Entertainment2840647688100112124[[#This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Housing273963758799111123[[#This Row],[Projected
Cost]]-Housing273963758799111123[[#This Row],[Actual 
Cost]]</f>
        <v>0</v>
      </c>
      <c r="F30" s="11"/>
      <c r="G30" s="51" t="s">
        <v>49</v>
      </c>
      <c r="H30" s="52">
        <f>SUBTOTAL(109,Entertainment2840647688100112124[Projected 
Cost])</f>
        <v>0</v>
      </c>
      <c r="I30" s="53">
        <f>SUBTOTAL(109,Entertainment2840647688100112124[Actual 
Cost])</f>
        <v>0</v>
      </c>
      <c r="J30" s="54">
        <f>SUBTOTAL(109,Entertainment2840647688100112124[Difference])</f>
        <v>0</v>
      </c>
    </row>
    <row r="31" spans="1:10" ht="18" thickTop="1" thickBot="1" x14ac:dyDescent="0.25">
      <c r="B31" s="51" t="s">
        <v>49</v>
      </c>
      <c r="C31" s="52">
        <f>SUBTOTAL(109,Housing273963758799111123[Projected
Cost])</f>
        <v>0</v>
      </c>
      <c r="D31" s="53">
        <f>SUBTOTAL(109,Housing273963758799111123[Actual 
Cost])</f>
        <v>0</v>
      </c>
      <c r="E31" s="54">
        <f>SUBTOTAL(109,Housing273963758799111123[Difference])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Transportation3042667890102114126[[#This Row],[Projected 
Cost]]-Transportation3042667890102114126[[#This Row],[Actual 
Cost]]</f>
        <v>0</v>
      </c>
      <c r="F35" s="11"/>
      <c r="G35" s="60" t="s">
        <v>18</v>
      </c>
      <c r="H35" s="61"/>
      <c r="I35" s="62"/>
      <c r="J35" s="63">
        <f>Loans2941657789101113125[[#This Row],[Projected 
Cost]]-Loans2941657789101113125[[#This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Transportation3042667890102114126[[#This Row],[Projected 
Cost]]-Transportation3042667890102114126[[#This Row],[Actual 
Cost]]</f>
        <v>0</v>
      </c>
      <c r="F36" s="11"/>
      <c r="G36" s="60" t="s">
        <v>20</v>
      </c>
      <c r="H36" s="61"/>
      <c r="I36" s="62"/>
      <c r="J36" s="63">
        <f>Loans2941657789101113125[[#This Row],[Projected 
Cost]]-Loans2941657789101113125[[#This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Transportation3042667890102114126[[#This Row],[Projected 
Cost]]-Transportation3042667890102114126[[#This Row],[Actual 
Cost]]</f>
        <v>0</v>
      </c>
      <c r="F37" s="11"/>
      <c r="G37" s="60" t="s">
        <v>22</v>
      </c>
      <c r="H37" s="61"/>
      <c r="I37" s="62"/>
      <c r="J37" s="63">
        <f>Loans2941657789101113125[[#This Row],[Projected 
Cost]]-Loans2941657789101113125[[#This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Transportation3042667890102114126[[#This Row],[Projected 
Cost]]-Transportation3042667890102114126[[#This Row],[Actual 
Cost]]</f>
        <v>0</v>
      </c>
      <c r="F38" s="11"/>
      <c r="G38" s="60" t="s">
        <v>22</v>
      </c>
      <c r="H38" s="61"/>
      <c r="I38" s="62"/>
      <c r="J38" s="63">
        <f>Loans2941657789101113125[[#This Row],[Projected 
Cost]]-Loans2941657789101113125[[#This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Transportation3042667890102114126[[#This Row],[Projected 
Cost]]-Transportation3042667890102114126[[#This Row],[Actual 
Cost]]</f>
        <v>0</v>
      </c>
      <c r="F39" s="11"/>
      <c r="G39" s="60" t="s">
        <v>22</v>
      </c>
      <c r="H39" s="61"/>
      <c r="I39" s="62"/>
      <c r="J39" s="63">
        <f>Loans2941657789101113125[[#This Row],[Projected 
Cost]]-Loans2941657789101113125[[#This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Transportation3042667890102114126[[#This Row],[Projected 
Cost]]-Transportation3042667890102114126[[#This Row],[Actual 
Cost]]</f>
        <v>0</v>
      </c>
      <c r="F40" s="11"/>
      <c r="G40" s="60" t="s">
        <v>15</v>
      </c>
      <c r="H40" s="61"/>
      <c r="I40" s="62"/>
      <c r="J40" s="63">
        <f>Loans2941657789101113125[[#This Row],[Projected 
Cost]]-Loans2941657789101113125[[#This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Transportation3042667890102114126[[#This Row],[Projected 
Cost]]-Transportation3042667890102114126[[#This Row],[Actual 
Cost]]</f>
        <v>0</v>
      </c>
      <c r="F41" s="11"/>
      <c r="G41" s="51" t="s">
        <v>49</v>
      </c>
      <c r="H41" s="52">
        <f>SUBTOTAL(109,Loans2941657789101113125[Projected 
Cost])</f>
        <v>0</v>
      </c>
      <c r="I41" s="53">
        <f>SUBTOTAL(109,Loans2941657789101113125[Actual 
Cost])</f>
        <v>0</v>
      </c>
      <c r="J41" s="54">
        <f>SUBTOTAL(109,Loans2941657789101113125[Difference])</f>
        <v>0</v>
      </c>
    </row>
    <row r="42" spans="1:10" ht="18" thickTop="1" thickBot="1" x14ac:dyDescent="0.25">
      <c r="B42" s="51" t="s">
        <v>49</v>
      </c>
      <c r="C42" s="52">
        <f>SUBTOTAL(109,Transportation3042667890102114126[Projected 
Cost])</f>
        <v>0</v>
      </c>
      <c r="D42" s="53">
        <f>SUBTOTAL(109,Transportation3042667890102114126[Actual 
Cost])</f>
        <v>0</v>
      </c>
      <c r="E42" s="54">
        <f>SUBTOTAL(109,Transportation3042667890102114126[Difference])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Insurance3143677991103115127[[#This Row],[Projected 
Cost]]-Insurance3143677991103115127[[#This Row],[Actual 
Cost]]</f>
        <v>0</v>
      </c>
      <c r="F46" s="11"/>
      <c r="G46" s="84" t="s">
        <v>30</v>
      </c>
      <c r="H46" s="85"/>
      <c r="I46" s="86"/>
      <c r="J46" s="87">
        <f>Savings3244688092104116128[[#This Row],[Projected 
Cost]]-Savings3244688092104116128[[#This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Insurance3143677991103115127[[#This Row],[Projected 
Cost]]-Insurance3143677991103115127[[#This Row],[Actual 
Cost]]</f>
        <v>0</v>
      </c>
      <c r="F47" s="11"/>
      <c r="G47" s="88" t="s">
        <v>31</v>
      </c>
      <c r="H47" s="89"/>
      <c r="I47" s="90"/>
      <c r="J47" s="91">
        <f>Savings3244688092104116128[[#This Row],[Projected 
Cost]]-Savings3244688092104116128[[#This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Insurance3143677991103115127[[#This Row],[Projected 
Cost]]-Insurance3143677991103115127[[#This Row],[Actual 
Cost]]</f>
        <v>0</v>
      </c>
      <c r="F48" s="11"/>
      <c r="G48" s="88" t="s">
        <v>15</v>
      </c>
      <c r="H48" s="89"/>
      <c r="I48" s="90"/>
      <c r="J48" s="91">
        <f>Savings3244688092104116128[[#This Row],[Projected 
Cost]]-Savings3244688092104116128[[#This Row],[Actual 
Cost]]</f>
        <v>0</v>
      </c>
    </row>
    <row r="49" spans="1:10" ht="16" x14ac:dyDescent="0.2">
      <c r="B49" s="80" t="s">
        <v>15</v>
      </c>
      <c r="C49" s="81"/>
      <c r="D49" s="82"/>
      <c r="E49" s="83">
        <f>Insurance3143677991103115127[[#This Row],[Projected 
Cost]]-Insurance3143677991103115127[[#This Row],[Actual 
Cost]]</f>
        <v>0</v>
      </c>
      <c r="F49" s="11"/>
      <c r="G49" s="88"/>
      <c r="H49" s="89"/>
      <c r="I49" s="90"/>
      <c r="J49" s="91">
        <f>Savings3244688092104116128[[#This Row],[Projected 
Cost]]-Savings3244688092104116128[[#This Row],[Actual 
Cost]]</f>
        <v>0</v>
      </c>
    </row>
    <row r="50" spans="1:10" ht="17" thickBot="1" x14ac:dyDescent="0.25">
      <c r="B50" s="55" t="s">
        <v>49</v>
      </c>
      <c r="C50" s="56">
        <f>SUBTOTAL(109,Insurance3143677991103115127[Projected 
Cost])</f>
        <v>0</v>
      </c>
      <c r="D50" s="57">
        <f>SUBTOTAL(109,Insurance3143677991103115127[Actual 
Cost])</f>
        <v>0</v>
      </c>
      <c r="E50" s="58">
        <f>SUBTOTAL(109,Insurance3143677991103115127[Difference])</f>
        <v>0</v>
      </c>
      <c r="F50" s="11"/>
      <c r="G50" s="124" t="s">
        <v>49</v>
      </c>
      <c r="H50" s="125">
        <f>SUBTOTAL(109,Savings3244688092104116128[Projected 
Cost])</f>
        <v>0</v>
      </c>
      <c r="I50" s="126">
        <f>SUBTOTAL(109,Savings3244688092104116128[Actual 
Cost])</f>
        <v>0</v>
      </c>
      <c r="J50" s="127">
        <f>SUBTOTAL(109,Savings3244688092104116128[Difference])</f>
        <v>0</v>
      </c>
    </row>
    <row r="51" spans="1:10" ht="38" customHeight="1" thickTop="1" x14ac:dyDescent="0.2">
      <c r="B51" s="16"/>
      <c r="C51" s="17"/>
      <c r="D51" s="17"/>
      <c r="E51" s="18"/>
      <c r="F51" s="11"/>
      <c r="G51" s="11"/>
      <c r="H51" s="11"/>
      <c r="I51" s="11"/>
      <c r="J51" s="1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Food3345698193105117129[[#This Row],[Projected 
Cost]]-Food3345698193105117129[[#This Row],[Actual 
Cost]]</f>
        <v>0</v>
      </c>
      <c r="F54" s="11"/>
      <c r="G54" s="96" t="s">
        <v>34</v>
      </c>
      <c r="H54" s="97"/>
      <c r="I54" s="98"/>
      <c r="J54" s="99">
        <f>Gifts3446708294106118130[[#This Row],[Projected 
Cost]]-Gifts3446708294106118130[[#This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Food3345698193105117129[[#This Row],[Projected 
Cost]]-Food3345698193105117129[[#This Row],[Actual 
Cost]]</f>
        <v>0</v>
      </c>
      <c r="F55" s="11"/>
      <c r="G55" s="60" t="s">
        <v>35</v>
      </c>
      <c r="H55" s="61"/>
      <c r="I55" s="62"/>
      <c r="J55" s="63">
        <f>Gifts3446708294106118130[[#This Row],[Projected 
Cost]]-Gifts3446708294106118130[[#This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Food3345698193105117129[[#This Row],[Projected 
Cost]]-Food3345698193105117129[[#This Row],[Actual 
Cost]]</f>
        <v>0</v>
      </c>
      <c r="F56" s="11"/>
      <c r="G56" s="60" t="s">
        <v>37</v>
      </c>
      <c r="H56" s="61"/>
      <c r="I56" s="62"/>
      <c r="J56" s="63">
        <f>Gifts3446708294106118130[[#This Row],[Projected 
Cost]]-Gifts3446708294106118130[[#This Row],[Actual 
Cost]]</f>
        <v>0</v>
      </c>
    </row>
    <row r="57" spans="1:10" ht="17" thickBot="1" x14ac:dyDescent="0.25">
      <c r="B57" s="51" t="s">
        <v>49</v>
      </c>
      <c r="C57" s="52">
        <f>SUBTOTAL(109,Food3345698193105117129[Projected 
Cost])</f>
        <v>0</v>
      </c>
      <c r="D57" s="53">
        <f>SUBTOTAL(109,Food3345698193105117129[Actual 
Cost])</f>
        <v>0</v>
      </c>
      <c r="E57" s="54">
        <f>SUBTOTAL(109,Food3345698193105117129[Difference])</f>
        <v>0</v>
      </c>
      <c r="F57" s="11"/>
      <c r="G57" s="51" t="s">
        <v>49</v>
      </c>
      <c r="H57" s="52">
        <f>SUBTOTAL(109,Gifts3446708294106118130[Projected 
Cost])</f>
        <v>0</v>
      </c>
      <c r="I57" s="53">
        <f>SUBTOTAL(109,Gifts3446708294106118130[Actual 
Cost])</f>
        <v>0</v>
      </c>
      <c r="J57" s="54">
        <f>SUBTOTAL(109,Gifts3446708294106118130[Difference])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Pets3547718395107119131[[#This Row],[Projected 
Cost]]-Pets3547718395107119131[[#This Row],[Actual 
Cost]]</f>
        <v>0</v>
      </c>
      <c r="F61" s="11"/>
      <c r="G61" s="96" t="s">
        <v>41</v>
      </c>
      <c r="H61" s="97"/>
      <c r="I61" s="98"/>
      <c r="J61" s="99">
        <f>Legal3648728496108120132[[#This Row],[Projected 
Cost]]-Legal3648728496108120132[[#This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Pets3547718395107119131[[#This Row],[Projected 
Cost]]-Pets3547718395107119131[[#This Row],[Actual 
Cost]]</f>
        <v>0</v>
      </c>
      <c r="F62" s="11"/>
      <c r="G62" s="60" t="s">
        <v>42</v>
      </c>
      <c r="H62" s="61"/>
      <c r="I62" s="62"/>
      <c r="J62" s="63">
        <f>Legal3648728496108120132[[#This Row],[Projected 
Cost]]-Legal3648728496108120132[[#This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Pets3547718395107119131[[#This Row],[Projected 
Cost]]-Pets3547718395107119131[[#This Row],[Actual 
Cost]]</f>
        <v>0</v>
      </c>
      <c r="F63" s="11"/>
      <c r="G63" s="60" t="s">
        <v>43</v>
      </c>
      <c r="H63" s="61"/>
      <c r="I63" s="62"/>
      <c r="J63" s="63">
        <f>Legal3648728496108120132[[#This Row],[Projected 
Cost]]-Legal3648728496108120132[[#This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Pets3547718395107119131[[#This Row],[Projected 
Cost]]-Pets3547718395107119131[[#This Row],[Actual 
Cost]]</f>
        <v>0</v>
      </c>
      <c r="F64" s="11"/>
      <c r="G64" s="60" t="s">
        <v>15</v>
      </c>
      <c r="H64" s="61"/>
      <c r="I64" s="62"/>
      <c r="J64" s="63">
        <f>Legal3648728496108120132[[#This Row],[Projected 
Cost]]-Legal3648728496108120132[[#This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Pets3547718395107119131[[#This Row],[Projected 
Cost]]-Pets3547718395107119131[[#This Row],[Actual 
Cost]]</f>
        <v>0</v>
      </c>
      <c r="F65" s="11"/>
      <c r="G65" s="51" t="s">
        <v>49</v>
      </c>
      <c r="H65" s="52">
        <f>SUBTOTAL(109,Legal3648728496108120132[Projected 
Cost])</f>
        <v>0</v>
      </c>
      <c r="I65" s="53">
        <f>SUBTOTAL(109,Legal3648728496108120132[Actual 
Cost])</f>
        <v>0</v>
      </c>
      <c r="J65" s="54">
        <f>SUBTOTAL(109,Legal3648728496108120132[Difference])</f>
        <v>0</v>
      </c>
    </row>
    <row r="66" spans="1:10" ht="18" thickTop="1" thickBot="1" x14ac:dyDescent="0.25">
      <c r="B66" s="51" t="s">
        <v>49</v>
      </c>
      <c r="C66" s="52">
        <f>SUBTOTAL(109,Pets3547718395107119131[Projected 
Cost])</f>
        <v>0</v>
      </c>
      <c r="D66" s="53">
        <f>SUBTOTAL(109,Pets3547718395107119131[Actual 
Cost])</f>
        <v>0</v>
      </c>
      <c r="E66" s="54">
        <f>SUBTOTAL(109,Pets3547718395107119131[Difference])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PersonalCare3749738597109121133[[#This Row],[Projected 
Cost]]-PersonalCare3749738597109121133[[#This Row],[Actual 
Cost]]</f>
        <v>0</v>
      </c>
      <c r="F70" s="11"/>
      <c r="G70" s="150" t="s">
        <v>52</v>
      </c>
      <c r="H70" s="150"/>
      <c r="I70" s="150"/>
      <c r="J70" s="151">
        <f>Housing273963758799111123[[#Totals],[Projected
Cost]]+Entertainment2840647688100112124[[#Totals],[Projected 
Cost]]+Transportation3042667890102114126[[#Totals],[Projected 
Cost]]+Loans2941657789101113125[[#Totals],[Projected 
Cost]]+Insurance3143677991103115127[[#Totals],[Projected 
Cost]]+Savings3244688092104116128[[#Totals],[Projected 
Cost]]+Food3345698193105117129[[#Totals],[Projected 
Cost]]+Gifts3446708294106118130[[#Totals],[Projected 
Cost]]+Pets3547718395107119131[[#Totals],[Projected 
Cost]]+Legal3648728496108120132[[#Totals],[Projected 
Cost]]+PersonalCare3749738597109121133[[#Totals],[Projected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PersonalCare3749738597109121133[[#This Row],[Projected 
Cost]]-PersonalCare3749738597109121133[[#This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PersonalCare3749738597109121133[[#This Row],[Projected 
Cost]]-PersonalCare3749738597109121133[[#This Row],[Actual 
Cost]]</f>
        <v>0</v>
      </c>
      <c r="F72" s="11"/>
      <c r="G72" s="146" t="s">
        <v>53</v>
      </c>
      <c r="H72" s="146"/>
      <c r="I72" s="146"/>
      <c r="J72" s="147">
        <f>Housing273963758799111123[[#Totals],[Actual 
Cost]]+Entertainment2840647688100112124[[#Totals],[Actual 
Cost]]+Transportation3042667890102114126[[#Totals],[Actual 
Cost]]+Loans2941657789101113125[[#Totals],[Actual 
Cost]]+Insurance3143677991103115127[[#Totals],[Actual 
Cost]]+Food3345698193105117129[[#Totals],[Actual 
Cost]]+Gifts3446708294106118130[[#Totals],[Actual 
Cost]]+Pets3547718395107119131[[#Totals],[Actual 
Cost]]+Legal3648728496108120132[[#Totals],[Actual 
Cost]]+PersonalCare3749738597109121133[[#Totals],[Actual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PersonalCare3749738597109121133[[#This Row],[Projected 
Cost]]-PersonalCare3749738597109121133[[#This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PersonalCare3749738597109121133[[#This Row],[Projected 
Cost]]-PersonalCare3749738597109121133[[#This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PersonalCare3749738597109121133[[#This Row],[Projected 
Cost]]-PersonalCare3749738597109121133[[#This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PersonalCare3749738597109121133[[#This Row],[Projected 
Cost]]-PersonalCare3749738597109121133[[#This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SUBTOTAL(109,PersonalCare3749738597109121133[Projected 
Cost])</f>
        <v>0</v>
      </c>
      <c r="D77" s="53">
        <f>SUBTOTAL(109,PersonalCare3749738597109121133[Actual 
Cost])</f>
        <v>0</v>
      </c>
      <c r="E77" s="54">
        <f>SUBTOTAL(109,PersonalCare3749738597109121133[Difference])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Create a Personal Monthly Budget in this worksheet. Helpful instructions on how to use this worksheet are in cells in this column. Arrow down to get started." sqref="A1" xr:uid="{224CA560-DF3A-4E85-B4F4-12A40255782C}"/>
    <dataValidation allowBlank="1" showInputMessage="1" showErrorMessage="1" prompt="Title of this worksheet is in cell C2. Next instruction is in cell A4." sqref="A2" xr:uid="{3A249DD2-E7C8-41D9-8649-B1F7B0B528CC}"/>
    <dataValidation allowBlank="1" showInputMessage="1" showErrorMessage="1" prompt="Projected Balance is auto calculated in cell H4, Actual Balance in H6, and Difference in H8. Next instruction is in cell A9." sqref="A9" xr:uid="{B8F8532E-434B-42F8-AEEB-241F3E4F94B5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FCFFDAAB-10DD-44F8-A9EE-05E96C9C2C70}"/>
    <dataValidation allowBlank="1" showInputMessage="1" showErrorMessage="1" prompt="Enter details in Housing table starting in cell at right and in Entertainment table starting in cell G14. Next instruction is in cell A27." sqref="A20" xr:uid="{3698F924-56FA-448A-8AD9-98BAA0DC3A13}"/>
    <dataValidation allowBlank="1" showInputMessage="1" showErrorMessage="1" prompt="Enter details in Transportation table starting in cell at right and in Loans table starting in cell G26. Next instruction is in cell A37." sqref="A35" xr:uid="{40CE5505-63A1-47FE-BAA2-8179C3D581D8}"/>
    <dataValidation allowBlank="1" showInputMessage="1" showErrorMessage="1" prompt="Enter details in Insurance table starting in cell at right and in Taxes table starting in cell G35. Next instruction is in cell A44." sqref="A47" xr:uid="{C8527253-39D9-413F-A515-955D353369BB}"/>
    <dataValidation allowBlank="1" showInputMessage="1" showErrorMessage="1" prompt="Enter details in Food table starting in cell at right and in Savings table starting in cell G42. Next instruction is in cell A50." sqref="A56" xr:uid="{EE3A7F4C-453B-4351-9E60-537D5CE82EC3}"/>
    <dataValidation allowBlank="1" showInputMessage="1" showErrorMessage="1" prompt="Enter details in Pets table starting in cell at right and in Gifts table starting in cell G48. Next instruction is in cell A58." sqref="A64:A70" xr:uid="{EC525B75-E7ED-4BC6-85B6-B3D92D6BD601}"/>
    <dataValidation allowBlank="1" showInputMessage="1" showErrorMessage="1" prompt="Enter details in Personal Care table starting in cell at right and in Legal table starting in cell G54. Next instruction is in cell A61." sqref="A78" xr:uid="{A44A5F16-C063-4B98-BE53-9CB45720478E}"/>
    <dataValidation allowBlank="1" showInputMessage="1" showErrorMessage="1" prompt="Total Projected Cost is auto calculated in cell J61, Total Actual Cost in J63, and Total Difference in J65." sqref="A81" xr:uid="{692A37CB-062D-40EC-B2FC-EE1877A07AF6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94D5-BE33-4BB4-BAC3-18E460FEE854}">
  <sheetPr>
    <tabColor theme="4"/>
    <pageSetUpPr autoPageBreaks="0" fitToPage="1"/>
  </sheetPr>
  <dimension ref="A1:J86"/>
  <sheetViews>
    <sheetView zoomScaleNormal="100" zoomScaleSheetLayoutView="30" workbookViewId="0">
      <selection activeCell="C70" sqref="C70:D7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Housing273963758799111[[#This Row],[Projected
Cost]]-Housing273963758799111[[#This Row],[Actual 
Cost]]</f>
        <v>0</v>
      </c>
      <c r="F21" s="11"/>
      <c r="G21" s="60" t="s">
        <v>73</v>
      </c>
      <c r="H21" s="61"/>
      <c r="I21" s="62"/>
      <c r="J21" s="63">
        <f>Entertainment2840647688100112[[#This Row],[Projected 
Cost]]-Entertainment2840647688100112[[#This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Housing273963758799111[[#This Row],[Projected
Cost]]-Housing273963758799111[[#This Row],[Actual 
Cost]]</f>
        <v>0</v>
      </c>
      <c r="F22" s="11"/>
      <c r="G22" s="60" t="s">
        <v>74</v>
      </c>
      <c r="H22" s="61"/>
      <c r="I22" s="62"/>
      <c r="J22" s="63">
        <f>Entertainment2840647688100112[[#This Row],[Projected 
Cost]]-Entertainment2840647688100112[[#This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Housing273963758799111[[#This Row],[Projected
Cost]]-Housing273963758799111[[#This Row],[Actual 
Cost]]</f>
        <v>0</v>
      </c>
      <c r="F23" s="11"/>
      <c r="G23" s="60" t="s">
        <v>7</v>
      </c>
      <c r="H23" s="61"/>
      <c r="I23" s="62"/>
      <c r="J23" s="63">
        <f>Entertainment2840647688100112[[#This Row],[Projected 
Cost]]-Entertainment2840647688100112[[#This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Housing273963758799111[[#This Row],[Projected
Cost]]-Housing273963758799111[[#This Row],[Actual 
Cost]]</f>
        <v>0</v>
      </c>
      <c r="F24" s="11"/>
      <c r="G24" s="60" t="s">
        <v>9</v>
      </c>
      <c r="H24" s="61"/>
      <c r="I24" s="62"/>
      <c r="J24" s="63">
        <f>Entertainment2840647688100112[[#This Row],[Projected 
Cost]]-Entertainment2840647688100112[[#This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Housing273963758799111[[#This Row],[Projected
Cost]]-Housing273963758799111[[#This Row],[Actual 
Cost]]</f>
        <v>0</v>
      </c>
      <c r="F25" s="11"/>
      <c r="G25" s="60" t="s">
        <v>11</v>
      </c>
      <c r="H25" s="61"/>
      <c r="I25" s="62"/>
      <c r="J25" s="63">
        <f>Entertainment2840647688100112[[#This Row],[Projected 
Cost]]-Entertainment2840647688100112[[#This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Housing273963758799111[[#This Row],[Projected
Cost]]-Housing273963758799111[[#This Row],[Actual 
Cost]]</f>
        <v>0</v>
      </c>
      <c r="F26" s="11"/>
      <c r="G26" s="60" t="s">
        <v>13</v>
      </c>
      <c r="H26" s="61"/>
      <c r="I26" s="62"/>
      <c r="J26" s="63">
        <f>Entertainment2840647688100112[[#This Row],[Projected 
Cost]]-Entertainment2840647688100112[[#This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Housing273963758799111[[#This Row],[Projected
Cost]]-Housing273963758799111[[#This Row],[Actual 
Cost]]</f>
        <v>0</v>
      </c>
      <c r="F27" s="11"/>
      <c r="G27" s="60" t="s">
        <v>15</v>
      </c>
      <c r="H27" s="61"/>
      <c r="I27" s="62"/>
      <c r="J27" s="63">
        <f>Entertainment2840647688100112[[#This Row],[Projected 
Cost]]-Entertainment2840647688100112[[#This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Housing273963758799111[[#This Row],[Projected
Cost]]-Housing273963758799111[[#This Row],[Actual 
Cost]]</f>
        <v>0</v>
      </c>
      <c r="F28" s="11"/>
      <c r="G28" s="60" t="s">
        <v>15</v>
      </c>
      <c r="H28" s="61"/>
      <c r="I28" s="62"/>
      <c r="J28" s="63">
        <f>Entertainment2840647688100112[[#This Row],[Projected 
Cost]]-Entertainment2840647688100112[[#This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Housing273963758799111[[#This Row],[Projected
Cost]]-Housing273963758799111[[#This Row],[Actual 
Cost]]</f>
        <v>0</v>
      </c>
      <c r="F29" s="11"/>
      <c r="G29" s="60" t="s">
        <v>15</v>
      </c>
      <c r="H29" s="61"/>
      <c r="I29" s="62"/>
      <c r="J29" s="63">
        <f>Entertainment2840647688100112[[#This Row],[Projected 
Cost]]-Entertainment2840647688100112[[#This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Housing273963758799111[[#This Row],[Projected
Cost]]-Housing273963758799111[[#This Row],[Actual 
Cost]]</f>
        <v>0</v>
      </c>
      <c r="F30" s="11"/>
      <c r="G30" s="51" t="s">
        <v>49</v>
      </c>
      <c r="H30" s="52">
        <f>SUBTOTAL(109,Entertainment2840647688100112[Projected 
Cost])</f>
        <v>0</v>
      </c>
      <c r="I30" s="53">
        <f>SUBTOTAL(109,Entertainment2840647688100112[Actual 
Cost])</f>
        <v>0</v>
      </c>
      <c r="J30" s="54">
        <f>SUBTOTAL(109,Entertainment2840647688100112[Difference])</f>
        <v>0</v>
      </c>
    </row>
    <row r="31" spans="1:10" ht="18" thickTop="1" thickBot="1" x14ac:dyDescent="0.25">
      <c r="B31" s="51" t="s">
        <v>49</v>
      </c>
      <c r="C31" s="52">
        <f>SUBTOTAL(109,Housing273963758799111[Projected
Cost])</f>
        <v>0</v>
      </c>
      <c r="D31" s="53">
        <f>SUBTOTAL(109,Housing273963758799111[Actual 
Cost])</f>
        <v>0</v>
      </c>
      <c r="E31" s="54">
        <f>SUBTOTAL(109,Housing273963758799111[Difference])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Transportation3042667890102114[[#This Row],[Projected 
Cost]]-Transportation3042667890102114[[#This Row],[Actual 
Cost]]</f>
        <v>0</v>
      </c>
      <c r="F35" s="11"/>
      <c r="G35" s="60" t="s">
        <v>18</v>
      </c>
      <c r="H35" s="61"/>
      <c r="I35" s="62"/>
      <c r="J35" s="63">
        <f>Loans2941657789101113[[#This Row],[Projected 
Cost]]-Loans2941657789101113[[#This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Transportation3042667890102114[[#This Row],[Projected 
Cost]]-Transportation3042667890102114[[#This Row],[Actual 
Cost]]</f>
        <v>0</v>
      </c>
      <c r="F36" s="11"/>
      <c r="G36" s="60" t="s">
        <v>20</v>
      </c>
      <c r="H36" s="61"/>
      <c r="I36" s="62"/>
      <c r="J36" s="63">
        <f>Loans2941657789101113[[#This Row],[Projected 
Cost]]-Loans2941657789101113[[#This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Transportation3042667890102114[[#This Row],[Projected 
Cost]]-Transportation3042667890102114[[#This Row],[Actual 
Cost]]</f>
        <v>0</v>
      </c>
      <c r="F37" s="11"/>
      <c r="G37" s="60" t="s">
        <v>22</v>
      </c>
      <c r="H37" s="61"/>
      <c r="I37" s="62"/>
      <c r="J37" s="63">
        <f>Loans2941657789101113[[#This Row],[Projected 
Cost]]-Loans2941657789101113[[#This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Transportation3042667890102114[[#This Row],[Projected 
Cost]]-Transportation3042667890102114[[#This Row],[Actual 
Cost]]</f>
        <v>0</v>
      </c>
      <c r="F38" s="11"/>
      <c r="G38" s="60" t="s">
        <v>22</v>
      </c>
      <c r="H38" s="61"/>
      <c r="I38" s="62"/>
      <c r="J38" s="63">
        <f>Loans2941657789101113[[#This Row],[Projected 
Cost]]-Loans2941657789101113[[#This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Transportation3042667890102114[[#This Row],[Projected 
Cost]]-Transportation3042667890102114[[#This Row],[Actual 
Cost]]</f>
        <v>0</v>
      </c>
      <c r="F39" s="11"/>
      <c r="G39" s="60" t="s">
        <v>22</v>
      </c>
      <c r="H39" s="61"/>
      <c r="I39" s="62"/>
      <c r="J39" s="63">
        <f>Loans2941657789101113[[#This Row],[Projected 
Cost]]-Loans2941657789101113[[#This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Transportation3042667890102114[[#This Row],[Projected 
Cost]]-Transportation3042667890102114[[#This Row],[Actual 
Cost]]</f>
        <v>0</v>
      </c>
      <c r="F40" s="11"/>
      <c r="G40" s="60" t="s">
        <v>15</v>
      </c>
      <c r="H40" s="61"/>
      <c r="I40" s="62"/>
      <c r="J40" s="63">
        <f>Loans2941657789101113[[#This Row],[Projected 
Cost]]-Loans2941657789101113[[#This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Transportation3042667890102114[[#This Row],[Projected 
Cost]]-Transportation3042667890102114[[#This Row],[Actual 
Cost]]</f>
        <v>0</v>
      </c>
      <c r="F41" s="11"/>
      <c r="G41" s="51" t="s">
        <v>49</v>
      </c>
      <c r="H41" s="52">
        <f>SUBTOTAL(109,Loans2941657789101113[Projected 
Cost])</f>
        <v>0</v>
      </c>
      <c r="I41" s="53">
        <f>SUBTOTAL(109,Loans2941657789101113[Actual 
Cost])</f>
        <v>0</v>
      </c>
      <c r="J41" s="54">
        <f>SUBTOTAL(109,Loans2941657789101113[Difference])</f>
        <v>0</v>
      </c>
    </row>
    <row r="42" spans="1:10" ht="18" thickTop="1" thickBot="1" x14ac:dyDescent="0.25">
      <c r="B42" s="51" t="s">
        <v>49</v>
      </c>
      <c r="C42" s="52">
        <f>SUBTOTAL(109,Transportation3042667890102114[Projected 
Cost])</f>
        <v>0</v>
      </c>
      <c r="D42" s="53">
        <f>SUBTOTAL(109,Transportation3042667890102114[Actual 
Cost])</f>
        <v>0</v>
      </c>
      <c r="E42" s="54">
        <f>SUBTOTAL(109,Transportation3042667890102114[Difference])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Insurance3143677991103115[[#This Row],[Projected 
Cost]]-Insurance3143677991103115[[#This Row],[Actual 
Cost]]</f>
        <v>0</v>
      </c>
      <c r="F46" s="11"/>
      <c r="G46" s="84" t="s">
        <v>30</v>
      </c>
      <c r="H46" s="85"/>
      <c r="I46" s="86"/>
      <c r="J46" s="87">
        <f>Savings3244688092104116[[#This Row],[Projected 
Cost]]-Savings3244688092104116[[#This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Insurance3143677991103115[[#This Row],[Projected 
Cost]]-Insurance3143677991103115[[#This Row],[Actual 
Cost]]</f>
        <v>0</v>
      </c>
      <c r="F47" s="11"/>
      <c r="G47" s="88" t="s">
        <v>31</v>
      </c>
      <c r="H47" s="89"/>
      <c r="I47" s="90"/>
      <c r="J47" s="91">
        <f>Savings3244688092104116[[#This Row],[Projected 
Cost]]-Savings3244688092104116[[#This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Insurance3143677991103115[[#This Row],[Projected 
Cost]]-Insurance3143677991103115[[#This Row],[Actual 
Cost]]</f>
        <v>0</v>
      </c>
      <c r="F48" s="11"/>
      <c r="G48" s="88" t="s">
        <v>15</v>
      </c>
      <c r="H48" s="89"/>
      <c r="I48" s="90"/>
      <c r="J48" s="91">
        <f>Savings3244688092104116[[#This Row],[Projected 
Cost]]-Savings3244688092104116[[#This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Insurance3143677991103115[[#This Row],[Projected 
Cost]]-Insurance3143677991103115[[#This Row],[Actual 
Cost]]</f>
        <v>0</v>
      </c>
      <c r="F49" s="11"/>
      <c r="G49" s="92" t="s">
        <v>49</v>
      </c>
      <c r="H49" s="93">
        <f>SUBTOTAL(109,Savings3244688092104116[Projected 
Cost])</f>
        <v>0</v>
      </c>
      <c r="I49" s="94">
        <f>SUBTOTAL(109,Savings3244688092104116[Actual 
Cost])</f>
        <v>0</v>
      </c>
      <c r="J49" s="95">
        <f>SUBTOTAL(109,Savings3244688092104116[Difference])</f>
        <v>0</v>
      </c>
    </row>
    <row r="50" spans="1:10" ht="18" thickTop="1" thickBot="1" x14ac:dyDescent="0.25">
      <c r="B50" s="55" t="s">
        <v>49</v>
      </c>
      <c r="C50" s="56">
        <f>SUBTOTAL(109,Insurance3143677991103115[Projected 
Cost])</f>
        <v>0</v>
      </c>
      <c r="D50" s="57">
        <f>SUBTOTAL(109,Insurance3143677991103115[Actual 
Cost])</f>
        <v>0</v>
      </c>
      <c r="E50" s="58">
        <f>SUBTOTAL(109,Insurance3143677991103115[Difference])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Food3345698193105117[[#This Row],[Projected 
Cost]]-Food3345698193105117[[#This Row],[Actual 
Cost]]</f>
        <v>0</v>
      </c>
      <c r="F54" s="11"/>
      <c r="G54" s="96" t="s">
        <v>34</v>
      </c>
      <c r="H54" s="97"/>
      <c r="I54" s="98"/>
      <c r="J54" s="99">
        <f>Gifts3446708294106118[[#This Row],[Projected 
Cost]]-Gifts3446708294106118[[#This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Food3345698193105117[[#This Row],[Projected 
Cost]]-Food3345698193105117[[#This Row],[Actual 
Cost]]</f>
        <v>0</v>
      </c>
      <c r="F55" s="11"/>
      <c r="G55" s="60" t="s">
        <v>35</v>
      </c>
      <c r="H55" s="61"/>
      <c r="I55" s="62"/>
      <c r="J55" s="63">
        <f>Gifts3446708294106118[[#This Row],[Projected 
Cost]]-Gifts3446708294106118[[#This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Food3345698193105117[[#This Row],[Projected 
Cost]]-Food3345698193105117[[#This Row],[Actual 
Cost]]</f>
        <v>0</v>
      </c>
      <c r="F56" s="11"/>
      <c r="G56" s="60" t="s">
        <v>37</v>
      </c>
      <c r="H56" s="61"/>
      <c r="I56" s="62"/>
      <c r="J56" s="63">
        <f>Gifts3446708294106118[[#This Row],[Projected 
Cost]]-Gifts3446708294106118[[#This Row],[Actual 
Cost]]</f>
        <v>0</v>
      </c>
    </row>
    <row r="57" spans="1:10" ht="17" thickBot="1" x14ac:dyDescent="0.25">
      <c r="B57" s="51" t="s">
        <v>49</v>
      </c>
      <c r="C57" s="52">
        <f>SUBTOTAL(109,Food3345698193105117[Projected 
Cost])</f>
        <v>0</v>
      </c>
      <c r="D57" s="53">
        <f>SUBTOTAL(109,Food3345698193105117[Actual 
Cost])</f>
        <v>0</v>
      </c>
      <c r="E57" s="54">
        <f>SUBTOTAL(109,Food3345698193105117[Difference])</f>
        <v>0</v>
      </c>
      <c r="F57" s="11"/>
      <c r="G57" s="51" t="s">
        <v>49</v>
      </c>
      <c r="H57" s="52">
        <f>SUBTOTAL(109,Gifts3446708294106118[Projected 
Cost])</f>
        <v>0</v>
      </c>
      <c r="I57" s="53">
        <f>SUBTOTAL(109,Gifts3446708294106118[Actual 
Cost])</f>
        <v>0</v>
      </c>
      <c r="J57" s="54">
        <f>SUBTOTAL(109,Gifts3446708294106118[Difference])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Pets3547718395107119[[#This Row],[Projected 
Cost]]-Pets3547718395107119[[#This Row],[Actual 
Cost]]</f>
        <v>0</v>
      </c>
      <c r="F61" s="11"/>
      <c r="G61" s="96" t="s">
        <v>41</v>
      </c>
      <c r="H61" s="97"/>
      <c r="I61" s="98"/>
      <c r="J61" s="99">
        <f>Legal3648728496108120[[#This Row],[Projected 
Cost]]-Legal3648728496108120[[#This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Pets3547718395107119[[#This Row],[Projected 
Cost]]-Pets3547718395107119[[#This Row],[Actual 
Cost]]</f>
        <v>0</v>
      </c>
      <c r="F62" s="11"/>
      <c r="G62" s="60" t="s">
        <v>42</v>
      </c>
      <c r="H62" s="61"/>
      <c r="I62" s="62"/>
      <c r="J62" s="63">
        <f>Legal3648728496108120[[#This Row],[Projected 
Cost]]-Legal3648728496108120[[#This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Pets3547718395107119[[#This Row],[Projected 
Cost]]-Pets3547718395107119[[#This Row],[Actual 
Cost]]</f>
        <v>0</v>
      </c>
      <c r="F63" s="11"/>
      <c r="G63" s="60" t="s">
        <v>43</v>
      </c>
      <c r="H63" s="61"/>
      <c r="I63" s="62"/>
      <c r="J63" s="63">
        <f>Legal3648728496108120[[#This Row],[Projected 
Cost]]-Legal3648728496108120[[#This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Pets3547718395107119[[#This Row],[Projected 
Cost]]-Pets3547718395107119[[#This Row],[Actual 
Cost]]</f>
        <v>0</v>
      </c>
      <c r="F64" s="11"/>
      <c r="G64" s="60" t="s">
        <v>15</v>
      </c>
      <c r="H64" s="61"/>
      <c r="I64" s="62"/>
      <c r="J64" s="63">
        <f>Legal3648728496108120[[#This Row],[Projected 
Cost]]-Legal3648728496108120[[#This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Pets3547718395107119[[#This Row],[Projected 
Cost]]-Pets3547718395107119[[#This Row],[Actual 
Cost]]</f>
        <v>0</v>
      </c>
      <c r="F65" s="11"/>
      <c r="G65" s="51" t="s">
        <v>49</v>
      </c>
      <c r="H65" s="52">
        <f>SUBTOTAL(109,Legal3648728496108120[Projected 
Cost])</f>
        <v>0</v>
      </c>
      <c r="I65" s="53">
        <f>SUBTOTAL(109,Legal3648728496108120[Actual 
Cost])</f>
        <v>0</v>
      </c>
      <c r="J65" s="54">
        <f>SUBTOTAL(109,Legal3648728496108120[Difference])</f>
        <v>0</v>
      </c>
    </row>
    <row r="66" spans="1:10" ht="18" thickTop="1" thickBot="1" x14ac:dyDescent="0.25">
      <c r="B66" s="51" t="s">
        <v>49</v>
      </c>
      <c r="C66" s="52">
        <f>SUBTOTAL(109,Pets3547718395107119[Projected 
Cost])</f>
        <v>0</v>
      </c>
      <c r="D66" s="53">
        <f>SUBTOTAL(109,Pets3547718395107119[Actual 
Cost])</f>
        <v>0</v>
      </c>
      <c r="E66" s="54">
        <f>SUBTOTAL(109,Pets3547718395107119[Difference])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PersonalCare3749738597109121[[#This Row],[Projected 
Cost]]-PersonalCare3749738597109121[[#This Row],[Actual 
Cost]]</f>
        <v>0</v>
      </c>
      <c r="F70" s="11"/>
      <c r="G70" s="150" t="s">
        <v>52</v>
      </c>
      <c r="H70" s="150"/>
      <c r="I70" s="150"/>
      <c r="J70" s="151">
        <f>Housing273963758799111[[#Totals],[Projected
Cost]]+Entertainment2840647688100112[[#Totals],[Projected 
Cost]]+Transportation3042667890102114[[#Totals],[Projected 
Cost]]+Loans2941657789101113[[#Totals],[Projected 
Cost]]+Insurance3143677991103115[[#Totals],[Projected 
Cost]]+Savings3244688092104116[[#Totals],[Projected 
Cost]]+Food3345698193105117[[#Totals],[Projected 
Cost]]+Gifts3446708294106118[[#Totals],[Projected 
Cost]]+Pets3547718395107119[[#Totals],[Projected 
Cost]]+Legal3648728496108120[[#Totals],[Projected 
Cost]]+PersonalCare3749738597109121[[#Totals],[Projected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PersonalCare3749738597109121[[#This Row],[Projected 
Cost]]-PersonalCare3749738597109121[[#This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PersonalCare3749738597109121[[#This Row],[Projected 
Cost]]-PersonalCare3749738597109121[[#This Row],[Actual 
Cost]]</f>
        <v>0</v>
      </c>
      <c r="F72" s="11"/>
      <c r="G72" s="146" t="s">
        <v>53</v>
      </c>
      <c r="H72" s="146"/>
      <c r="I72" s="146"/>
      <c r="J72" s="147">
        <f>Housing273963758799111[[#Totals],[Actual 
Cost]]+Entertainment2840647688100112[[#Totals],[Actual 
Cost]]+Transportation3042667890102114[[#Totals],[Actual 
Cost]]+Loans2941657789101113[[#Totals],[Actual 
Cost]]+Insurance3143677991103115[[#Totals],[Actual 
Cost]]+Food3345698193105117[[#Totals],[Actual 
Cost]]+Gifts3446708294106118[[#Totals],[Actual 
Cost]]+Pets3547718395107119[[#Totals],[Actual 
Cost]]+Legal3648728496108120[[#Totals],[Actual 
Cost]]+PersonalCare3749738597109121[[#Totals],[Actual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PersonalCare3749738597109121[[#This Row],[Projected 
Cost]]-PersonalCare3749738597109121[[#This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PersonalCare3749738597109121[[#This Row],[Projected 
Cost]]-PersonalCare3749738597109121[[#This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PersonalCare3749738597109121[[#This Row],[Projected 
Cost]]-PersonalCare3749738597109121[[#This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PersonalCare3749738597109121[[#This Row],[Projected 
Cost]]-PersonalCare3749738597109121[[#This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SUBTOTAL(109,PersonalCare3749738597109121[Projected 
Cost])</f>
        <v>0</v>
      </c>
      <c r="D77" s="53">
        <f>SUBTOTAL(109,PersonalCare3749738597109121[Actual 
Cost])</f>
        <v>0</v>
      </c>
      <c r="E77" s="54">
        <f>SUBTOTAL(109,PersonalCare3749738597109121[Difference])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Total Projected Cost is auto calculated in cell J61, Total Actual Cost in J63, and Total Difference in J65." sqref="A81" xr:uid="{4AEEAE09-089B-4ADB-8843-3ED2CE97625D}"/>
    <dataValidation allowBlank="1" showInputMessage="1" showErrorMessage="1" prompt="Enter details in Personal Care table starting in cell at right and in Legal table starting in cell G54. Next instruction is in cell A61." sqref="A78" xr:uid="{FB4B4D16-7F6B-4E51-A001-3376E80383E5}"/>
    <dataValidation allowBlank="1" showInputMessage="1" showErrorMessage="1" prompt="Enter details in Pets table starting in cell at right and in Gifts table starting in cell G48. Next instruction is in cell A58." sqref="A64:A70" xr:uid="{C3D7EB89-B39C-4F1D-A8F9-B5E3C57D8E37}"/>
    <dataValidation allowBlank="1" showInputMessage="1" showErrorMessage="1" prompt="Enter details in Food table starting in cell at right and in Savings table starting in cell G42. Next instruction is in cell A50." sqref="A56" xr:uid="{15994AFA-6620-4936-B169-9B60338C68C7}"/>
    <dataValidation allowBlank="1" showInputMessage="1" showErrorMessage="1" prompt="Enter details in Insurance table starting in cell at right and in Taxes table starting in cell G35. Next instruction is in cell A44." sqref="A47" xr:uid="{AFE61DDE-246B-46D7-9A02-A1826207C472}"/>
    <dataValidation allowBlank="1" showInputMessage="1" showErrorMessage="1" prompt="Enter details in Transportation table starting in cell at right and in Loans table starting in cell G26. Next instruction is in cell A37." sqref="A35" xr:uid="{E6041CE4-1355-41F2-B614-8A4AE4EF0CE9}"/>
    <dataValidation allowBlank="1" showInputMessage="1" showErrorMessage="1" prompt="Enter details in Housing table starting in cell at right and in Entertainment table starting in cell G14. Next instruction is in cell A27." sqref="A20" xr:uid="{2C92962F-53D3-4E8D-B094-B59CED076B5D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50DF8E88-B2ED-4E01-9AF8-9EB79450ADE2}"/>
    <dataValidation allowBlank="1" showInputMessage="1" showErrorMessage="1" prompt="Projected Balance is auto calculated in cell H4, Actual Balance in H6, and Difference in H8. Next instruction is in cell A9." sqref="A9" xr:uid="{6732BF3A-6224-4BDE-AE96-8ECB656362CE}"/>
    <dataValidation allowBlank="1" showInputMessage="1" showErrorMessage="1" prompt="Title of this worksheet is in cell C2. Next instruction is in cell A4." sqref="A2" xr:uid="{8B91067E-552A-4BD5-836D-12220F1836E9}"/>
    <dataValidation allowBlank="1" showInputMessage="1" showErrorMessage="1" prompt="Create a Personal Monthly Budget in this worksheet. Helpful instructions on how to use this worksheet are in cells in this column. Arrow down to get started." sqref="A1" xr:uid="{D7C49019-4018-423E-BA2D-1E63AB8EE139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667D-5F12-4387-9B03-7E59826A0C32}">
  <sheetPr>
    <tabColor theme="4"/>
    <pageSetUpPr autoPageBreaks="0" fitToPage="1"/>
  </sheetPr>
  <dimension ref="A1:J86"/>
  <sheetViews>
    <sheetView zoomScaleNormal="100" zoomScaleSheetLayoutView="30" workbookViewId="0">
      <selection activeCell="C12" sqref="C12:C1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Housing273963758799[[#This Row],[Projected
Cost]]-Housing273963758799[[#This Row],[Actual 
Cost]]</f>
        <v>0</v>
      </c>
      <c r="F21" s="11"/>
      <c r="G21" s="60" t="s">
        <v>73</v>
      </c>
      <c r="H21" s="61"/>
      <c r="I21" s="62"/>
      <c r="J21" s="63">
        <f>Entertainment2840647688100[[#This Row],[Projected 
Cost]]-Entertainment2840647688100[[#This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Housing273963758799[[#This Row],[Projected
Cost]]-Housing273963758799[[#This Row],[Actual 
Cost]]</f>
        <v>0</v>
      </c>
      <c r="F22" s="11"/>
      <c r="G22" s="60" t="s">
        <v>74</v>
      </c>
      <c r="H22" s="61"/>
      <c r="I22" s="62"/>
      <c r="J22" s="63">
        <f>Entertainment2840647688100[[#This Row],[Projected 
Cost]]-Entertainment2840647688100[[#This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Housing273963758799[[#This Row],[Projected
Cost]]-Housing273963758799[[#This Row],[Actual 
Cost]]</f>
        <v>0</v>
      </c>
      <c r="F23" s="11"/>
      <c r="G23" s="60" t="s">
        <v>7</v>
      </c>
      <c r="H23" s="61"/>
      <c r="I23" s="62"/>
      <c r="J23" s="63">
        <f>Entertainment2840647688100[[#This Row],[Projected 
Cost]]-Entertainment2840647688100[[#This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Housing273963758799[[#This Row],[Projected
Cost]]-Housing273963758799[[#This Row],[Actual 
Cost]]</f>
        <v>0</v>
      </c>
      <c r="F24" s="11"/>
      <c r="G24" s="60" t="s">
        <v>9</v>
      </c>
      <c r="H24" s="61"/>
      <c r="I24" s="62"/>
      <c r="J24" s="63">
        <f>Entertainment2840647688100[[#This Row],[Projected 
Cost]]-Entertainment2840647688100[[#This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Housing273963758799[[#This Row],[Projected
Cost]]-Housing273963758799[[#This Row],[Actual 
Cost]]</f>
        <v>0</v>
      </c>
      <c r="F25" s="11"/>
      <c r="G25" s="60" t="s">
        <v>11</v>
      </c>
      <c r="H25" s="61"/>
      <c r="I25" s="62"/>
      <c r="J25" s="63">
        <f>Entertainment2840647688100[[#This Row],[Projected 
Cost]]-Entertainment2840647688100[[#This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Housing273963758799[[#This Row],[Projected
Cost]]-Housing273963758799[[#This Row],[Actual 
Cost]]</f>
        <v>0</v>
      </c>
      <c r="F26" s="11"/>
      <c r="G26" s="60" t="s">
        <v>13</v>
      </c>
      <c r="H26" s="61"/>
      <c r="I26" s="62"/>
      <c r="J26" s="63">
        <f>Entertainment2840647688100[[#This Row],[Projected 
Cost]]-Entertainment2840647688100[[#This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Housing273963758799[[#This Row],[Projected
Cost]]-Housing273963758799[[#This Row],[Actual 
Cost]]</f>
        <v>0</v>
      </c>
      <c r="F27" s="11"/>
      <c r="G27" s="60" t="s">
        <v>15</v>
      </c>
      <c r="H27" s="61"/>
      <c r="I27" s="62"/>
      <c r="J27" s="63">
        <f>Entertainment2840647688100[[#This Row],[Projected 
Cost]]-Entertainment2840647688100[[#This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Housing273963758799[[#This Row],[Projected
Cost]]-Housing273963758799[[#This Row],[Actual 
Cost]]</f>
        <v>0</v>
      </c>
      <c r="F28" s="11"/>
      <c r="G28" s="60" t="s">
        <v>15</v>
      </c>
      <c r="H28" s="61"/>
      <c r="I28" s="62"/>
      <c r="J28" s="63">
        <f>Entertainment2840647688100[[#This Row],[Projected 
Cost]]-Entertainment2840647688100[[#This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Housing273963758799[[#This Row],[Projected
Cost]]-Housing273963758799[[#This Row],[Actual 
Cost]]</f>
        <v>0</v>
      </c>
      <c r="F29" s="11"/>
      <c r="G29" s="60" t="s">
        <v>15</v>
      </c>
      <c r="H29" s="61"/>
      <c r="I29" s="62"/>
      <c r="J29" s="63">
        <f>Entertainment2840647688100[[#This Row],[Projected 
Cost]]-Entertainment2840647688100[[#This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Housing273963758799[[#This Row],[Projected
Cost]]-Housing273963758799[[#This Row],[Actual 
Cost]]</f>
        <v>0</v>
      </c>
      <c r="F30" s="11"/>
      <c r="G30" s="51" t="s">
        <v>49</v>
      </c>
      <c r="H30" s="52">
        <f>SUBTOTAL(109,Entertainment2840647688100[Projected 
Cost])</f>
        <v>0</v>
      </c>
      <c r="I30" s="53">
        <f>SUBTOTAL(109,Entertainment2840647688100[Actual 
Cost])</f>
        <v>0</v>
      </c>
      <c r="J30" s="54">
        <f>SUBTOTAL(109,Entertainment2840647688100[Difference])</f>
        <v>0</v>
      </c>
    </row>
    <row r="31" spans="1:10" ht="18" thickTop="1" thickBot="1" x14ac:dyDescent="0.25">
      <c r="B31" s="51" t="s">
        <v>49</v>
      </c>
      <c r="C31" s="52">
        <f>SUBTOTAL(109,Housing273963758799[Projected
Cost])</f>
        <v>0</v>
      </c>
      <c r="D31" s="53">
        <f>SUBTOTAL(109,Housing273963758799[Actual 
Cost])</f>
        <v>0</v>
      </c>
      <c r="E31" s="54">
        <f>SUBTOTAL(109,Housing273963758799[Difference])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Transportation3042667890102[[#This Row],[Projected 
Cost]]-Transportation3042667890102[[#This Row],[Actual 
Cost]]</f>
        <v>0</v>
      </c>
      <c r="F35" s="11"/>
      <c r="G35" s="60" t="s">
        <v>18</v>
      </c>
      <c r="H35" s="61"/>
      <c r="I35" s="62"/>
      <c r="J35" s="63">
        <f>Loans2941657789101[[#This Row],[Projected 
Cost]]-Loans2941657789101[[#This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Transportation3042667890102[[#This Row],[Projected 
Cost]]-Transportation3042667890102[[#This Row],[Actual 
Cost]]</f>
        <v>0</v>
      </c>
      <c r="F36" s="11"/>
      <c r="G36" s="60" t="s">
        <v>20</v>
      </c>
      <c r="H36" s="61"/>
      <c r="I36" s="62"/>
      <c r="J36" s="63">
        <f>Loans2941657789101[[#This Row],[Projected 
Cost]]-Loans2941657789101[[#This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Transportation3042667890102[[#This Row],[Projected 
Cost]]-Transportation3042667890102[[#This Row],[Actual 
Cost]]</f>
        <v>0</v>
      </c>
      <c r="F37" s="11"/>
      <c r="G37" s="60" t="s">
        <v>22</v>
      </c>
      <c r="H37" s="61"/>
      <c r="I37" s="62"/>
      <c r="J37" s="63">
        <f>Loans2941657789101[[#This Row],[Projected 
Cost]]-Loans2941657789101[[#This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Transportation3042667890102[[#This Row],[Projected 
Cost]]-Transportation3042667890102[[#This Row],[Actual 
Cost]]</f>
        <v>0</v>
      </c>
      <c r="F38" s="11"/>
      <c r="G38" s="60" t="s">
        <v>22</v>
      </c>
      <c r="H38" s="61"/>
      <c r="I38" s="62"/>
      <c r="J38" s="63">
        <f>Loans2941657789101[[#This Row],[Projected 
Cost]]-Loans2941657789101[[#This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Transportation3042667890102[[#This Row],[Projected 
Cost]]-Transportation3042667890102[[#This Row],[Actual 
Cost]]</f>
        <v>0</v>
      </c>
      <c r="F39" s="11"/>
      <c r="G39" s="60" t="s">
        <v>22</v>
      </c>
      <c r="H39" s="61"/>
      <c r="I39" s="62"/>
      <c r="J39" s="63">
        <f>Loans2941657789101[[#This Row],[Projected 
Cost]]-Loans2941657789101[[#This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Transportation3042667890102[[#This Row],[Projected 
Cost]]-Transportation3042667890102[[#This Row],[Actual 
Cost]]</f>
        <v>0</v>
      </c>
      <c r="F40" s="11"/>
      <c r="G40" s="60" t="s">
        <v>15</v>
      </c>
      <c r="H40" s="61"/>
      <c r="I40" s="62"/>
      <c r="J40" s="63">
        <f>Loans2941657789101[[#This Row],[Projected 
Cost]]-Loans2941657789101[[#This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Transportation3042667890102[[#This Row],[Projected 
Cost]]-Transportation3042667890102[[#This Row],[Actual 
Cost]]</f>
        <v>0</v>
      </c>
      <c r="F41" s="11"/>
      <c r="G41" s="51" t="s">
        <v>49</v>
      </c>
      <c r="H41" s="52">
        <f>SUBTOTAL(109,Loans2941657789101[Projected 
Cost])</f>
        <v>0</v>
      </c>
      <c r="I41" s="53">
        <f>SUBTOTAL(109,Loans2941657789101[Actual 
Cost])</f>
        <v>0</v>
      </c>
      <c r="J41" s="54">
        <f>SUBTOTAL(109,Loans2941657789101[Difference])</f>
        <v>0</v>
      </c>
    </row>
    <row r="42" spans="1:10" ht="18" thickTop="1" thickBot="1" x14ac:dyDescent="0.25">
      <c r="B42" s="51" t="s">
        <v>49</v>
      </c>
      <c r="C42" s="52">
        <f>SUBTOTAL(109,Transportation3042667890102[Projected 
Cost])</f>
        <v>0</v>
      </c>
      <c r="D42" s="53">
        <f>SUBTOTAL(109,Transportation3042667890102[Actual 
Cost])</f>
        <v>0</v>
      </c>
      <c r="E42" s="54">
        <f>SUBTOTAL(109,Transportation3042667890102[Difference])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Insurance3143677991103[[#This Row],[Projected 
Cost]]-Insurance3143677991103[[#This Row],[Actual 
Cost]]</f>
        <v>0</v>
      </c>
      <c r="F46" s="11"/>
      <c r="G46" s="84" t="s">
        <v>30</v>
      </c>
      <c r="H46" s="85"/>
      <c r="I46" s="86"/>
      <c r="J46" s="87">
        <f>Savings3244688092104[[#This Row],[Projected 
Cost]]-Savings3244688092104[[#This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Insurance3143677991103[[#This Row],[Projected 
Cost]]-Insurance3143677991103[[#This Row],[Actual 
Cost]]</f>
        <v>0</v>
      </c>
      <c r="F47" s="11"/>
      <c r="G47" s="88" t="s">
        <v>31</v>
      </c>
      <c r="H47" s="89"/>
      <c r="I47" s="90"/>
      <c r="J47" s="91">
        <f>Savings3244688092104[[#This Row],[Projected 
Cost]]-Savings3244688092104[[#This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Insurance3143677991103[[#This Row],[Projected 
Cost]]-Insurance3143677991103[[#This Row],[Actual 
Cost]]</f>
        <v>0</v>
      </c>
      <c r="F48" s="11"/>
      <c r="G48" s="88" t="s">
        <v>15</v>
      </c>
      <c r="H48" s="89"/>
      <c r="I48" s="90"/>
      <c r="J48" s="91">
        <f>Savings3244688092104[[#This Row],[Projected 
Cost]]-Savings3244688092104[[#This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Insurance3143677991103[[#This Row],[Projected 
Cost]]-Insurance3143677991103[[#This Row],[Actual 
Cost]]</f>
        <v>0</v>
      </c>
      <c r="F49" s="11"/>
      <c r="G49" s="92" t="s">
        <v>49</v>
      </c>
      <c r="H49" s="93">
        <f>SUBTOTAL(109,Savings3244688092104[Projected 
Cost])</f>
        <v>0</v>
      </c>
      <c r="I49" s="94">
        <f>SUBTOTAL(109,Savings3244688092104[Actual 
Cost])</f>
        <v>0</v>
      </c>
      <c r="J49" s="95">
        <f>SUBTOTAL(109,Savings3244688092104[Difference])</f>
        <v>0</v>
      </c>
    </row>
    <row r="50" spans="1:10" ht="18" thickTop="1" thickBot="1" x14ac:dyDescent="0.25">
      <c r="B50" s="55" t="s">
        <v>49</v>
      </c>
      <c r="C50" s="56">
        <f>SUBTOTAL(109,Insurance3143677991103[Projected 
Cost])</f>
        <v>0</v>
      </c>
      <c r="D50" s="57">
        <f>SUBTOTAL(109,Insurance3143677991103[Actual 
Cost])</f>
        <v>0</v>
      </c>
      <c r="E50" s="58">
        <f>SUBTOTAL(109,Insurance3143677991103[Difference])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Food3345698193105[[#This Row],[Projected 
Cost]]-Food3345698193105[[#This Row],[Actual 
Cost]]</f>
        <v>0</v>
      </c>
      <c r="F54" s="11"/>
      <c r="G54" s="96" t="s">
        <v>34</v>
      </c>
      <c r="H54" s="97"/>
      <c r="I54" s="98"/>
      <c r="J54" s="99">
        <f>Gifts3446708294106[[#This Row],[Projected 
Cost]]-Gifts3446708294106[[#This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Food3345698193105[[#This Row],[Projected 
Cost]]-Food3345698193105[[#This Row],[Actual 
Cost]]</f>
        <v>0</v>
      </c>
      <c r="F55" s="11"/>
      <c r="G55" s="60" t="s">
        <v>35</v>
      </c>
      <c r="H55" s="61"/>
      <c r="I55" s="62"/>
      <c r="J55" s="63">
        <f>Gifts3446708294106[[#This Row],[Projected 
Cost]]-Gifts3446708294106[[#This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Food3345698193105[[#This Row],[Projected 
Cost]]-Food3345698193105[[#This Row],[Actual 
Cost]]</f>
        <v>0</v>
      </c>
      <c r="F56" s="11"/>
      <c r="G56" s="60" t="s">
        <v>37</v>
      </c>
      <c r="H56" s="61"/>
      <c r="I56" s="62"/>
      <c r="J56" s="63">
        <f>Gifts3446708294106[[#This Row],[Projected 
Cost]]-Gifts3446708294106[[#This Row],[Actual 
Cost]]</f>
        <v>0</v>
      </c>
    </row>
    <row r="57" spans="1:10" ht="17" thickBot="1" x14ac:dyDescent="0.25">
      <c r="B57" s="51" t="s">
        <v>49</v>
      </c>
      <c r="C57" s="52">
        <f>SUBTOTAL(109,Food3345698193105[Projected 
Cost])</f>
        <v>0</v>
      </c>
      <c r="D57" s="53">
        <f>SUBTOTAL(109,Food3345698193105[Actual 
Cost])</f>
        <v>0</v>
      </c>
      <c r="E57" s="54">
        <f>SUBTOTAL(109,Food3345698193105[Difference])</f>
        <v>0</v>
      </c>
      <c r="F57" s="11"/>
      <c r="G57" s="51" t="s">
        <v>49</v>
      </c>
      <c r="H57" s="52">
        <f>SUBTOTAL(109,Gifts3446708294106[Projected 
Cost])</f>
        <v>0</v>
      </c>
      <c r="I57" s="53">
        <f>SUBTOTAL(109,Gifts3446708294106[Actual 
Cost])</f>
        <v>0</v>
      </c>
      <c r="J57" s="54">
        <f>SUBTOTAL(109,Gifts3446708294106[Difference])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Pets3547718395107[[#This Row],[Projected 
Cost]]-Pets3547718395107[[#This Row],[Actual 
Cost]]</f>
        <v>0</v>
      </c>
      <c r="F61" s="11"/>
      <c r="G61" s="96" t="s">
        <v>41</v>
      </c>
      <c r="H61" s="97"/>
      <c r="I61" s="98"/>
      <c r="J61" s="99">
        <f>Legal3648728496108[[#This Row],[Projected 
Cost]]-Legal3648728496108[[#This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Pets3547718395107[[#This Row],[Projected 
Cost]]-Pets3547718395107[[#This Row],[Actual 
Cost]]</f>
        <v>0</v>
      </c>
      <c r="F62" s="11"/>
      <c r="G62" s="60" t="s">
        <v>42</v>
      </c>
      <c r="H62" s="61"/>
      <c r="I62" s="62"/>
      <c r="J62" s="63">
        <f>Legal3648728496108[[#This Row],[Projected 
Cost]]-Legal3648728496108[[#This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Pets3547718395107[[#This Row],[Projected 
Cost]]-Pets3547718395107[[#This Row],[Actual 
Cost]]</f>
        <v>0</v>
      </c>
      <c r="F63" s="11"/>
      <c r="G63" s="60" t="s">
        <v>43</v>
      </c>
      <c r="H63" s="61"/>
      <c r="I63" s="62"/>
      <c r="J63" s="63">
        <f>Legal3648728496108[[#This Row],[Projected 
Cost]]-Legal3648728496108[[#This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Pets3547718395107[[#This Row],[Projected 
Cost]]-Pets3547718395107[[#This Row],[Actual 
Cost]]</f>
        <v>0</v>
      </c>
      <c r="F64" s="11"/>
      <c r="G64" s="60" t="s">
        <v>15</v>
      </c>
      <c r="H64" s="61"/>
      <c r="I64" s="62"/>
      <c r="J64" s="63">
        <f>Legal3648728496108[[#This Row],[Projected 
Cost]]-Legal3648728496108[[#This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Pets3547718395107[[#This Row],[Projected 
Cost]]-Pets3547718395107[[#This Row],[Actual 
Cost]]</f>
        <v>0</v>
      </c>
      <c r="F65" s="11"/>
      <c r="G65" s="51" t="s">
        <v>49</v>
      </c>
      <c r="H65" s="52">
        <f>SUBTOTAL(109,Legal3648728496108[Projected 
Cost])</f>
        <v>0</v>
      </c>
      <c r="I65" s="53">
        <f>SUBTOTAL(109,Legal3648728496108[Actual 
Cost])</f>
        <v>0</v>
      </c>
      <c r="J65" s="54">
        <f>SUBTOTAL(109,Legal3648728496108[Difference])</f>
        <v>0</v>
      </c>
    </row>
    <row r="66" spans="1:10" ht="18" thickTop="1" thickBot="1" x14ac:dyDescent="0.25">
      <c r="B66" s="51" t="s">
        <v>49</v>
      </c>
      <c r="C66" s="52">
        <f>SUBTOTAL(109,Pets3547718395107[Projected 
Cost])</f>
        <v>0</v>
      </c>
      <c r="D66" s="53">
        <f>SUBTOTAL(109,Pets3547718395107[Actual 
Cost])</f>
        <v>0</v>
      </c>
      <c r="E66" s="54">
        <f>SUBTOTAL(109,Pets3547718395107[Difference])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PersonalCare3749738597109[[#This Row],[Projected 
Cost]]-PersonalCare3749738597109[[#This Row],[Actual 
Cost]]</f>
        <v>0</v>
      </c>
      <c r="F70" s="11"/>
      <c r="G70" s="150" t="s">
        <v>52</v>
      </c>
      <c r="H70" s="150"/>
      <c r="I70" s="150"/>
      <c r="J70" s="151">
        <f>Housing273963758799[[#Totals],[Projected
Cost]]+Entertainment2840647688100[[#Totals],[Projected 
Cost]]+Transportation3042667890102[[#Totals],[Projected 
Cost]]+Loans2941657789101[[#Totals],[Projected 
Cost]]+Insurance3143677991103[[#Totals],[Projected 
Cost]]+Savings3244688092104[[#Totals],[Projected 
Cost]]+Food3345698193105[[#Totals],[Projected 
Cost]]+Gifts3446708294106[[#Totals],[Projected 
Cost]]+Pets3547718395107[[#Totals],[Projected 
Cost]]+Legal3648728496108[[#Totals],[Projected 
Cost]]+PersonalCare3749738597109[[#Totals],[Projected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PersonalCare3749738597109[[#This Row],[Projected 
Cost]]-PersonalCare3749738597109[[#This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PersonalCare3749738597109[[#This Row],[Projected 
Cost]]-PersonalCare3749738597109[[#This Row],[Actual 
Cost]]</f>
        <v>0</v>
      </c>
      <c r="F72" s="11"/>
      <c r="G72" s="146" t="s">
        <v>53</v>
      </c>
      <c r="H72" s="146"/>
      <c r="I72" s="146"/>
      <c r="J72" s="147">
        <f>Housing273963758799[[#Totals],[Actual 
Cost]]+Entertainment2840647688100[[#Totals],[Actual 
Cost]]+Transportation3042667890102[[#Totals],[Actual 
Cost]]+Loans2941657789101[[#Totals],[Actual 
Cost]]+Insurance3143677991103[[#Totals],[Actual 
Cost]]+Food3345698193105[[#Totals],[Actual 
Cost]]+Gifts3446708294106[[#Totals],[Actual 
Cost]]+Pets3547718395107[[#Totals],[Actual 
Cost]]+Legal3648728496108[[#Totals],[Actual 
Cost]]+PersonalCare3749738597109[[#Totals],[Actual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PersonalCare3749738597109[[#This Row],[Projected 
Cost]]-PersonalCare3749738597109[[#This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PersonalCare3749738597109[[#This Row],[Projected 
Cost]]-PersonalCare3749738597109[[#This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PersonalCare3749738597109[[#This Row],[Projected 
Cost]]-PersonalCare3749738597109[[#This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PersonalCare3749738597109[[#This Row],[Projected 
Cost]]-PersonalCare3749738597109[[#This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SUBTOTAL(109,PersonalCare3749738597109[Projected 
Cost])</f>
        <v>0</v>
      </c>
      <c r="D77" s="53">
        <f>SUBTOTAL(109,PersonalCare3749738597109[Actual 
Cost])</f>
        <v>0</v>
      </c>
      <c r="E77" s="54">
        <f>SUBTOTAL(109,PersonalCare3749738597109[Difference])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Create a Personal Monthly Budget in this worksheet. Helpful instructions on how to use this worksheet are in cells in this column. Arrow down to get started." sqref="A1" xr:uid="{120DC25D-47DA-42B8-8ADE-371F2472BA97}"/>
    <dataValidation allowBlank="1" showInputMessage="1" showErrorMessage="1" prompt="Title of this worksheet is in cell C2. Next instruction is in cell A4." sqref="A2" xr:uid="{6A579501-8525-425E-9C0C-A9007A8679FA}"/>
    <dataValidation allowBlank="1" showInputMessage="1" showErrorMessage="1" prompt="Projected Balance is auto calculated in cell H4, Actual Balance in H6, and Difference in H8. Next instruction is in cell A9." sqref="A9" xr:uid="{0671D4ED-9BC3-4655-8A61-3383A55F86B3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1AC0F3DD-E256-4E1F-BC6E-F455B2BCC74F}"/>
    <dataValidation allowBlank="1" showInputMessage="1" showErrorMessage="1" prompt="Enter details in Housing table starting in cell at right and in Entertainment table starting in cell G14. Next instruction is in cell A27." sqref="A20" xr:uid="{007E3234-69F1-42ED-A165-C56A3ECE86F3}"/>
    <dataValidation allowBlank="1" showInputMessage="1" showErrorMessage="1" prompt="Enter details in Transportation table starting in cell at right and in Loans table starting in cell G26. Next instruction is in cell A37." sqref="A35" xr:uid="{69769314-DB37-4464-8481-E08CF367EB1C}"/>
    <dataValidation allowBlank="1" showInputMessage="1" showErrorMessage="1" prompt="Enter details in Insurance table starting in cell at right and in Taxes table starting in cell G35. Next instruction is in cell A44." sqref="A47" xr:uid="{FA76B011-A883-40C9-9CE4-64C2F0A37422}"/>
    <dataValidation allowBlank="1" showInputMessage="1" showErrorMessage="1" prompt="Enter details in Food table starting in cell at right and in Savings table starting in cell G42. Next instruction is in cell A50." sqref="A56" xr:uid="{C4A046AD-8EF9-4D11-8259-CC48D86FF75F}"/>
    <dataValidation allowBlank="1" showInputMessage="1" showErrorMessage="1" prompt="Enter details in Pets table starting in cell at right and in Gifts table starting in cell G48. Next instruction is in cell A58." sqref="A64:A70" xr:uid="{5DCE6498-295B-44A0-95C5-C66D0A016907}"/>
    <dataValidation allowBlank="1" showInputMessage="1" showErrorMessage="1" prompt="Enter details in Personal Care table starting in cell at right and in Legal table starting in cell G54. Next instruction is in cell A61." sqref="A78" xr:uid="{12EFCFBA-B51A-4ED8-82B5-F83B14714283}"/>
    <dataValidation allowBlank="1" showInputMessage="1" showErrorMessage="1" prompt="Total Projected Cost is auto calculated in cell J61, Total Actual Cost in J63, and Total Difference in J65." sqref="A81" xr:uid="{10D6B53D-523E-4232-839A-2220A3A1D6A7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F13E-69C9-4FEF-BBB1-2B82950A1772}">
  <sheetPr>
    <tabColor theme="4"/>
    <pageSetUpPr autoPageBreaks="0" fitToPage="1"/>
  </sheetPr>
  <dimension ref="A1:J86"/>
  <sheetViews>
    <sheetView zoomScaleNormal="100" zoomScaleSheetLayoutView="30" workbookViewId="0">
      <selection activeCell="C12" sqref="C12:C1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Housing2739637587[[#This Row],[Projected
Cost]]-Housing2739637587[[#This Row],[Actual 
Cost]]</f>
        <v>0</v>
      </c>
      <c r="F21" s="11"/>
      <c r="G21" s="60" t="s">
        <v>73</v>
      </c>
      <c r="H21" s="61"/>
      <c r="I21" s="62"/>
      <c r="J21" s="63">
        <f>Entertainment2840647688[[#This Row],[Projected 
Cost]]-Entertainment2840647688[[#This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Housing2739637587[[#This Row],[Projected
Cost]]-Housing2739637587[[#This Row],[Actual 
Cost]]</f>
        <v>0</v>
      </c>
      <c r="F22" s="11"/>
      <c r="G22" s="60" t="s">
        <v>74</v>
      </c>
      <c r="H22" s="61"/>
      <c r="I22" s="62"/>
      <c r="J22" s="63">
        <f>Entertainment2840647688[[#This Row],[Projected 
Cost]]-Entertainment2840647688[[#This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Housing2739637587[[#This Row],[Projected
Cost]]-Housing2739637587[[#This Row],[Actual 
Cost]]</f>
        <v>0</v>
      </c>
      <c r="F23" s="11"/>
      <c r="G23" s="60" t="s">
        <v>7</v>
      </c>
      <c r="H23" s="61"/>
      <c r="I23" s="62"/>
      <c r="J23" s="63">
        <f>Entertainment2840647688[[#This Row],[Projected 
Cost]]-Entertainment2840647688[[#This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Housing2739637587[[#This Row],[Projected
Cost]]-Housing2739637587[[#This Row],[Actual 
Cost]]</f>
        <v>0</v>
      </c>
      <c r="F24" s="11"/>
      <c r="G24" s="60" t="s">
        <v>9</v>
      </c>
      <c r="H24" s="61"/>
      <c r="I24" s="62"/>
      <c r="J24" s="63">
        <f>Entertainment2840647688[[#This Row],[Projected 
Cost]]-Entertainment2840647688[[#This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Housing2739637587[[#This Row],[Projected
Cost]]-Housing2739637587[[#This Row],[Actual 
Cost]]</f>
        <v>0</v>
      </c>
      <c r="F25" s="11"/>
      <c r="G25" s="60" t="s">
        <v>11</v>
      </c>
      <c r="H25" s="61"/>
      <c r="I25" s="62"/>
      <c r="J25" s="63">
        <f>Entertainment2840647688[[#This Row],[Projected 
Cost]]-Entertainment2840647688[[#This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Housing2739637587[[#This Row],[Projected
Cost]]-Housing2739637587[[#This Row],[Actual 
Cost]]</f>
        <v>0</v>
      </c>
      <c r="F26" s="11"/>
      <c r="G26" s="60" t="s">
        <v>13</v>
      </c>
      <c r="H26" s="61"/>
      <c r="I26" s="62"/>
      <c r="J26" s="63">
        <f>Entertainment2840647688[[#This Row],[Projected 
Cost]]-Entertainment2840647688[[#This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Housing2739637587[[#This Row],[Projected
Cost]]-Housing2739637587[[#This Row],[Actual 
Cost]]</f>
        <v>0</v>
      </c>
      <c r="F27" s="11"/>
      <c r="G27" s="60" t="s">
        <v>15</v>
      </c>
      <c r="H27" s="61"/>
      <c r="I27" s="62"/>
      <c r="J27" s="63">
        <f>Entertainment2840647688[[#This Row],[Projected 
Cost]]-Entertainment2840647688[[#This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Housing2739637587[[#This Row],[Projected
Cost]]-Housing2739637587[[#This Row],[Actual 
Cost]]</f>
        <v>0</v>
      </c>
      <c r="F28" s="11"/>
      <c r="G28" s="60" t="s">
        <v>15</v>
      </c>
      <c r="H28" s="61"/>
      <c r="I28" s="62"/>
      <c r="J28" s="63">
        <f>Entertainment2840647688[[#This Row],[Projected 
Cost]]-Entertainment2840647688[[#This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Housing2739637587[[#This Row],[Projected
Cost]]-Housing2739637587[[#This Row],[Actual 
Cost]]</f>
        <v>0</v>
      </c>
      <c r="F29" s="11"/>
      <c r="G29" s="60" t="s">
        <v>15</v>
      </c>
      <c r="H29" s="61"/>
      <c r="I29" s="62"/>
      <c r="J29" s="63">
        <f>Entertainment2840647688[[#This Row],[Projected 
Cost]]-Entertainment2840647688[[#This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Housing2739637587[[#This Row],[Projected
Cost]]-Housing2739637587[[#This Row],[Actual 
Cost]]</f>
        <v>0</v>
      </c>
      <c r="F30" s="11"/>
      <c r="G30" s="51" t="s">
        <v>49</v>
      </c>
      <c r="H30" s="52">
        <f>SUBTOTAL(109,Entertainment2840647688[Projected 
Cost])</f>
        <v>0</v>
      </c>
      <c r="I30" s="53">
        <f>SUBTOTAL(109,Entertainment2840647688[Actual 
Cost])</f>
        <v>0</v>
      </c>
      <c r="J30" s="54">
        <f>SUBTOTAL(109,Entertainment2840647688[Difference])</f>
        <v>0</v>
      </c>
    </row>
    <row r="31" spans="1:10" ht="18" thickTop="1" thickBot="1" x14ac:dyDescent="0.25">
      <c r="B31" s="51" t="s">
        <v>49</v>
      </c>
      <c r="C31" s="52">
        <f>SUBTOTAL(109,Housing2739637587[Projected
Cost])</f>
        <v>0</v>
      </c>
      <c r="D31" s="53">
        <f>SUBTOTAL(109,Housing2739637587[Actual 
Cost])</f>
        <v>0</v>
      </c>
      <c r="E31" s="54">
        <f>SUBTOTAL(109,Housing2739637587[Difference])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Transportation3042667890[[#This Row],[Projected 
Cost]]-Transportation3042667890[[#This Row],[Actual 
Cost]]</f>
        <v>0</v>
      </c>
      <c r="F35" s="11"/>
      <c r="G35" s="60" t="s">
        <v>18</v>
      </c>
      <c r="H35" s="61"/>
      <c r="I35" s="62"/>
      <c r="J35" s="63">
        <f>Loans2941657789[[#This Row],[Projected 
Cost]]-Loans2941657789[[#This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Transportation3042667890[[#This Row],[Projected 
Cost]]-Transportation3042667890[[#This Row],[Actual 
Cost]]</f>
        <v>0</v>
      </c>
      <c r="F36" s="11"/>
      <c r="G36" s="60" t="s">
        <v>20</v>
      </c>
      <c r="H36" s="61"/>
      <c r="I36" s="62"/>
      <c r="J36" s="63">
        <f>Loans2941657789[[#This Row],[Projected 
Cost]]-Loans2941657789[[#This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Transportation3042667890[[#This Row],[Projected 
Cost]]-Transportation3042667890[[#This Row],[Actual 
Cost]]</f>
        <v>0</v>
      </c>
      <c r="F37" s="11"/>
      <c r="G37" s="60" t="s">
        <v>22</v>
      </c>
      <c r="H37" s="61"/>
      <c r="I37" s="62"/>
      <c r="J37" s="63">
        <f>Loans2941657789[[#This Row],[Projected 
Cost]]-Loans2941657789[[#This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Transportation3042667890[[#This Row],[Projected 
Cost]]-Transportation3042667890[[#This Row],[Actual 
Cost]]</f>
        <v>0</v>
      </c>
      <c r="F38" s="11"/>
      <c r="G38" s="60" t="s">
        <v>22</v>
      </c>
      <c r="H38" s="61"/>
      <c r="I38" s="62"/>
      <c r="J38" s="63">
        <f>Loans2941657789[[#This Row],[Projected 
Cost]]-Loans2941657789[[#This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Transportation3042667890[[#This Row],[Projected 
Cost]]-Transportation3042667890[[#This Row],[Actual 
Cost]]</f>
        <v>0</v>
      </c>
      <c r="F39" s="11"/>
      <c r="G39" s="60" t="s">
        <v>22</v>
      </c>
      <c r="H39" s="61"/>
      <c r="I39" s="62"/>
      <c r="J39" s="63">
        <f>Loans2941657789[[#This Row],[Projected 
Cost]]-Loans2941657789[[#This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Transportation3042667890[[#This Row],[Projected 
Cost]]-Transportation3042667890[[#This Row],[Actual 
Cost]]</f>
        <v>0</v>
      </c>
      <c r="F40" s="11"/>
      <c r="G40" s="60" t="s">
        <v>15</v>
      </c>
      <c r="H40" s="61"/>
      <c r="I40" s="62"/>
      <c r="J40" s="63">
        <f>Loans2941657789[[#This Row],[Projected 
Cost]]-Loans2941657789[[#This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Transportation3042667890[[#This Row],[Projected 
Cost]]-Transportation3042667890[[#This Row],[Actual 
Cost]]</f>
        <v>0</v>
      </c>
      <c r="F41" s="11"/>
      <c r="G41" s="51" t="s">
        <v>49</v>
      </c>
      <c r="H41" s="52">
        <f>SUBTOTAL(109,Loans2941657789[Projected 
Cost])</f>
        <v>0</v>
      </c>
      <c r="I41" s="53">
        <f>SUBTOTAL(109,Loans2941657789[Actual 
Cost])</f>
        <v>0</v>
      </c>
      <c r="J41" s="54">
        <f>SUBTOTAL(109,Loans2941657789[Difference])</f>
        <v>0</v>
      </c>
    </row>
    <row r="42" spans="1:10" ht="18" thickTop="1" thickBot="1" x14ac:dyDescent="0.25">
      <c r="B42" s="51" t="s">
        <v>49</v>
      </c>
      <c r="C42" s="52">
        <f>SUBTOTAL(109,Transportation3042667890[Projected 
Cost])</f>
        <v>0</v>
      </c>
      <c r="D42" s="53">
        <f>SUBTOTAL(109,Transportation3042667890[Actual 
Cost])</f>
        <v>0</v>
      </c>
      <c r="E42" s="54">
        <f>SUBTOTAL(109,Transportation3042667890[Difference])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Insurance3143677991[[#This Row],[Projected 
Cost]]-Insurance3143677991[[#This Row],[Actual 
Cost]]</f>
        <v>0</v>
      </c>
      <c r="F46" s="11"/>
      <c r="G46" s="84" t="s">
        <v>30</v>
      </c>
      <c r="H46" s="85"/>
      <c r="I46" s="86"/>
      <c r="J46" s="87">
        <f>Savings3244688092[[#This Row],[Projected 
Cost]]-Savings3244688092[[#This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Insurance3143677991[[#This Row],[Projected 
Cost]]-Insurance3143677991[[#This Row],[Actual 
Cost]]</f>
        <v>0</v>
      </c>
      <c r="F47" s="11"/>
      <c r="G47" s="88" t="s">
        <v>31</v>
      </c>
      <c r="H47" s="89"/>
      <c r="I47" s="90"/>
      <c r="J47" s="91">
        <f>Savings3244688092[[#This Row],[Projected 
Cost]]-Savings3244688092[[#This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Insurance3143677991[[#This Row],[Projected 
Cost]]-Insurance3143677991[[#This Row],[Actual 
Cost]]</f>
        <v>0</v>
      </c>
      <c r="F48" s="11"/>
      <c r="G48" s="88" t="s">
        <v>15</v>
      </c>
      <c r="H48" s="89"/>
      <c r="I48" s="90"/>
      <c r="J48" s="91">
        <f>Savings3244688092[[#This Row],[Projected 
Cost]]-Savings3244688092[[#This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Insurance3143677991[[#This Row],[Projected 
Cost]]-Insurance3143677991[[#This Row],[Actual 
Cost]]</f>
        <v>0</v>
      </c>
      <c r="F49" s="11"/>
      <c r="G49" s="92" t="s">
        <v>49</v>
      </c>
      <c r="H49" s="93">
        <f>SUBTOTAL(109,Savings3244688092[Projected 
Cost])</f>
        <v>0</v>
      </c>
      <c r="I49" s="94">
        <f>SUBTOTAL(109,Savings3244688092[Actual 
Cost])</f>
        <v>0</v>
      </c>
      <c r="J49" s="95">
        <f>SUBTOTAL(109,Savings3244688092[Difference])</f>
        <v>0</v>
      </c>
    </row>
    <row r="50" spans="1:10" ht="18" thickTop="1" thickBot="1" x14ac:dyDescent="0.25">
      <c r="B50" s="55" t="s">
        <v>49</v>
      </c>
      <c r="C50" s="56">
        <f>SUBTOTAL(109,Insurance3143677991[Projected 
Cost])</f>
        <v>0</v>
      </c>
      <c r="D50" s="57">
        <f>SUBTOTAL(109,Insurance3143677991[Actual 
Cost])</f>
        <v>0</v>
      </c>
      <c r="E50" s="58">
        <f>SUBTOTAL(109,Insurance3143677991[Difference])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Food3345698193[[#This Row],[Projected 
Cost]]-Food3345698193[[#This Row],[Actual 
Cost]]</f>
        <v>0</v>
      </c>
      <c r="F54" s="11"/>
      <c r="G54" s="96" t="s">
        <v>34</v>
      </c>
      <c r="H54" s="97"/>
      <c r="I54" s="98"/>
      <c r="J54" s="99">
        <f>Gifts3446708294[[#This Row],[Projected 
Cost]]-Gifts3446708294[[#This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Food3345698193[[#This Row],[Projected 
Cost]]-Food3345698193[[#This Row],[Actual 
Cost]]</f>
        <v>0</v>
      </c>
      <c r="F55" s="11"/>
      <c r="G55" s="60" t="s">
        <v>35</v>
      </c>
      <c r="H55" s="61"/>
      <c r="I55" s="62"/>
      <c r="J55" s="63">
        <f>Gifts3446708294[[#This Row],[Projected 
Cost]]-Gifts3446708294[[#This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Food3345698193[[#This Row],[Projected 
Cost]]-Food3345698193[[#This Row],[Actual 
Cost]]</f>
        <v>0</v>
      </c>
      <c r="F56" s="11"/>
      <c r="G56" s="60" t="s">
        <v>37</v>
      </c>
      <c r="H56" s="61"/>
      <c r="I56" s="62"/>
      <c r="J56" s="63">
        <f>Gifts3446708294[[#This Row],[Projected 
Cost]]-Gifts3446708294[[#This Row],[Actual 
Cost]]</f>
        <v>0</v>
      </c>
    </row>
    <row r="57" spans="1:10" ht="17" thickBot="1" x14ac:dyDescent="0.25">
      <c r="B57" s="51" t="s">
        <v>49</v>
      </c>
      <c r="C57" s="52">
        <f>SUBTOTAL(109,Food3345698193[Projected 
Cost])</f>
        <v>0</v>
      </c>
      <c r="D57" s="53">
        <f>SUBTOTAL(109,Food3345698193[Actual 
Cost])</f>
        <v>0</v>
      </c>
      <c r="E57" s="54">
        <f>SUBTOTAL(109,Food3345698193[Difference])</f>
        <v>0</v>
      </c>
      <c r="F57" s="11"/>
      <c r="G57" s="51" t="s">
        <v>49</v>
      </c>
      <c r="H57" s="52">
        <f>SUBTOTAL(109,Gifts3446708294[Projected 
Cost])</f>
        <v>0</v>
      </c>
      <c r="I57" s="53">
        <f>SUBTOTAL(109,Gifts3446708294[Actual 
Cost])</f>
        <v>0</v>
      </c>
      <c r="J57" s="54">
        <f>SUBTOTAL(109,Gifts3446708294[Difference])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Pets3547718395[[#This Row],[Projected 
Cost]]-Pets3547718395[[#This Row],[Actual 
Cost]]</f>
        <v>0</v>
      </c>
      <c r="F61" s="11"/>
      <c r="G61" s="96" t="s">
        <v>41</v>
      </c>
      <c r="H61" s="97"/>
      <c r="I61" s="98"/>
      <c r="J61" s="99">
        <f>Legal3648728496[[#This Row],[Projected 
Cost]]-Legal3648728496[[#This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Pets3547718395[[#This Row],[Projected 
Cost]]-Pets3547718395[[#This Row],[Actual 
Cost]]</f>
        <v>0</v>
      </c>
      <c r="F62" s="11"/>
      <c r="G62" s="60" t="s">
        <v>42</v>
      </c>
      <c r="H62" s="61"/>
      <c r="I62" s="62"/>
      <c r="J62" s="63">
        <f>Legal3648728496[[#This Row],[Projected 
Cost]]-Legal3648728496[[#This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Pets3547718395[[#This Row],[Projected 
Cost]]-Pets3547718395[[#This Row],[Actual 
Cost]]</f>
        <v>0</v>
      </c>
      <c r="F63" s="11"/>
      <c r="G63" s="60" t="s">
        <v>43</v>
      </c>
      <c r="H63" s="61"/>
      <c r="I63" s="62"/>
      <c r="J63" s="63">
        <f>Legal3648728496[[#This Row],[Projected 
Cost]]-Legal3648728496[[#This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Pets3547718395[[#This Row],[Projected 
Cost]]-Pets3547718395[[#This Row],[Actual 
Cost]]</f>
        <v>0</v>
      </c>
      <c r="F64" s="11"/>
      <c r="G64" s="60" t="s">
        <v>15</v>
      </c>
      <c r="H64" s="61"/>
      <c r="I64" s="62"/>
      <c r="J64" s="63">
        <f>Legal3648728496[[#This Row],[Projected 
Cost]]-Legal3648728496[[#This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Pets3547718395[[#This Row],[Projected 
Cost]]-Pets3547718395[[#This Row],[Actual 
Cost]]</f>
        <v>0</v>
      </c>
      <c r="F65" s="11"/>
      <c r="G65" s="51" t="s">
        <v>49</v>
      </c>
      <c r="H65" s="52">
        <f>SUBTOTAL(109,Legal3648728496[Projected 
Cost])</f>
        <v>0</v>
      </c>
      <c r="I65" s="53">
        <f>SUBTOTAL(109,Legal3648728496[Actual 
Cost])</f>
        <v>0</v>
      </c>
      <c r="J65" s="54">
        <f>SUBTOTAL(109,Legal3648728496[Difference])</f>
        <v>0</v>
      </c>
    </row>
    <row r="66" spans="1:10" ht="18" thickTop="1" thickBot="1" x14ac:dyDescent="0.25">
      <c r="B66" s="51" t="s">
        <v>49</v>
      </c>
      <c r="C66" s="52">
        <f>SUBTOTAL(109,Pets3547718395[Projected 
Cost])</f>
        <v>0</v>
      </c>
      <c r="D66" s="53">
        <f>SUBTOTAL(109,Pets3547718395[Actual 
Cost])</f>
        <v>0</v>
      </c>
      <c r="E66" s="54">
        <f>SUBTOTAL(109,Pets3547718395[Difference])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PersonalCare3749738597[[#This Row],[Projected 
Cost]]-PersonalCare3749738597[[#This Row],[Actual 
Cost]]</f>
        <v>0</v>
      </c>
      <c r="F70" s="11"/>
      <c r="G70" s="150" t="s">
        <v>52</v>
      </c>
      <c r="H70" s="150"/>
      <c r="I70" s="150"/>
      <c r="J70" s="151">
        <f>Housing2739637587[[#Totals],[Projected
Cost]]+Entertainment2840647688[[#Totals],[Projected 
Cost]]+Transportation3042667890[[#Totals],[Projected 
Cost]]+Loans2941657789[[#Totals],[Projected 
Cost]]+Insurance3143677991[[#Totals],[Projected 
Cost]]+Savings3244688092[[#Totals],[Projected 
Cost]]+Food3345698193[[#Totals],[Projected 
Cost]]+Gifts3446708294[[#Totals],[Projected 
Cost]]+Pets3547718395[[#Totals],[Projected 
Cost]]+Legal3648728496[[#Totals],[Projected 
Cost]]+PersonalCare3749738597[[#Totals],[Projected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PersonalCare3749738597[[#This Row],[Projected 
Cost]]-PersonalCare3749738597[[#This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PersonalCare3749738597[[#This Row],[Projected 
Cost]]-PersonalCare3749738597[[#This Row],[Actual 
Cost]]</f>
        <v>0</v>
      </c>
      <c r="F72" s="11"/>
      <c r="G72" s="146" t="s">
        <v>53</v>
      </c>
      <c r="H72" s="146"/>
      <c r="I72" s="146"/>
      <c r="J72" s="147">
        <f>Housing2739637587[[#Totals],[Actual 
Cost]]+Entertainment2840647688[[#Totals],[Actual 
Cost]]+Transportation3042667890[[#Totals],[Actual 
Cost]]+Loans2941657789[[#Totals],[Actual 
Cost]]+Insurance3143677991[[#Totals],[Actual 
Cost]]+Food3345698193[[#Totals],[Actual 
Cost]]+Gifts3446708294[[#Totals],[Actual 
Cost]]+Pets3547718395[[#Totals],[Actual 
Cost]]+Legal3648728496[[#Totals],[Actual 
Cost]]+PersonalCare3749738597[[#Totals],[Actual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PersonalCare3749738597[[#This Row],[Projected 
Cost]]-PersonalCare3749738597[[#This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PersonalCare3749738597[[#This Row],[Projected 
Cost]]-PersonalCare3749738597[[#This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PersonalCare3749738597[[#This Row],[Projected 
Cost]]-PersonalCare3749738597[[#This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PersonalCare3749738597[[#This Row],[Projected 
Cost]]-PersonalCare3749738597[[#This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SUBTOTAL(109,PersonalCare3749738597[Projected 
Cost])</f>
        <v>0</v>
      </c>
      <c r="D77" s="53">
        <f>SUBTOTAL(109,PersonalCare3749738597[Actual 
Cost])</f>
        <v>0</v>
      </c>
      <c r="E77" s="54">
        <f>SUBTOTAL(109,PersonalCare3749738597[Difference])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Total Projected Cost is auto calculated in cell J61, Total Actual Cost in J63, and Total Difference in J65." sqref="A81" xr:uid="{4433855A-1140-47A4-B49C-C7DAB5FF6035}"/>
    <dataValidation allowBlank="1" showInputMessage="1" showErrorMessage="1" prompt="Enter details in Personal Care table starting in cell at right and in Legal table starting in cell G54. Next instruction is in cell A61." sqref="A78" xr:uid="{AC448EAD-2B08-4EDC-A974-98474B68EB7F}"/>
    <dataValidation allowBlank="1" showInputMessage="1" showErrorMessage="1" prompt="Enter details in Pets table starting in cell at right and in Gifts table starting in cell G48. Next instruction is in cell A58." sqref="A64:A70" xr:uid="{429732F0-27DD-43F5-9479-560780EB2B61}"/>
    <dataValidation allowBlank="1" showInputMessage="1" showErrorMessage="1" prompt="Enter details in Food table starting in cell at right and in Savings table starting in cell G42. Next instruction is in cell A50." sqref="A56" xr:uid="{14EF8488-BF7F-4184-9F7B-2542797AD3F4}"/>
    <dataValidation allowBlank="1" showInputMessage="1" showErrorMessage="1" prompt="Enter details in Insurance table starting in cell at right and in Taxes table starting in cell G35. Next instruction is in cell A44." sqref="A47" xr:uid="{0EFE44F7-B4FF-4DA5-8537-CC9FEE3A88A5}"/>
    <dataValidation allowBlank="1" showInputMessage="1" showErrorMessage="1" prompt="Enter details in Transportation table starting in cell at right and in Loans table starting in cell G26. Next instruction is in cell A37." sqref="A35" xr:uid="{EEBAFBB4-0372-4C71-94FC-67AAC34C888D}"/>
    <dataValidation allowBlank="1" showInputMessage="1" showErrorMessage="1" prompt="Enter details in Housing table starting in cell at right and in Entertainment table starting in cell G14. Next instruction is in cell A27." sqref="A20" xr:uid="{7DB69F28-611F-4EE2-84B0-B7E665DB5476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F9A8C074-2551-4252-82F9-96BD1F618420}"/>
    <dataValidation allowBlank="1" showInputMessage="1" showErrorMessage="1" prompt="Projected Balance is auto calculated in cell H4, Actual Balance in H6, and Difference in H8. Next instruction is in cell A9." sqref="A9" xr:uid="{FF1F3DA1-9698-4282-979F-C87A4AB3FCC3}"/>
    <dataValidation allowBlank="1" showInputMessage="1" showErrorMessage="1" prompt="Title of this worksheet is in cell C2. Next instruction is in cell A4." sqref="A2" xr:uid="{BD33CB23-9C9A-4B55-AC4A-D7355C0BBB71}"/>
    <dataValidation allowBlank="1" showInputMessage="1" showErrorMessage="1" prompt="Create a Personal Monthly Budget in this worksheet. Helpful instructions on how to use this worksheet are in cells in this column. Arrow down to get started." sqref="A1" xr:uid="{6B2BBD58-B2BE-4C55-8286-4E570AEFFCDA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EEB8-BDD8-403C-8ABF-529685B29DFB}">
  <sheetPr>
    <tabColor theme="4"/>
    <pageSetUpPr autoPageBreaks="0" fitToPage="1"/>
  </sheetPr>
  <dimension ref="A1:J86"/>
  <sheetViews>
    <sheetView zoomScaleNormal="100" zoomScaleSheetLayoutView="30" workbookViewId="0">
      <selection activeCell="F18" sqref="F18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Housing27396375[[#This Row],[Projected
Cost]]-Housing27396375[[#This Row],[Actual 
Cost]]</f>
        <v>0</v>
      </c>
      <c r="F21" s="11"/>
      <c r="G21" s="60" t="s">
        <v>73</v>
      </c>
      <c r="H21" s="61"/>
      <c r="I21" s="62"/>
      <c r="J21" s="63">
        <f>Entertainment28406476[[#This Row],[Projected 
Cost]]-Entertainment28406476[[#This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Housing27396375[[#This Row],[Projected
Cost]]-Housing27396375[[#This Row],[Actual 
Cost]]</f>
        <v>0</v>
      </c>
      <c r="F22" s="11"/>
      <c r="G22" s="60" t="s">
        <v>74</v>
      </c>
      <c r="H22" s="61"/>
      <c r="I22" s="62"/>
      <c r="J22" s="63">
        <f>Entertainment28406476[[#This Row],[Projected 
Cost]]-Entertainment28406476[[#This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Housing27396375[[#This Row],[Projected
Cost]]-Housing27396375[[#This Row],[Actual 
Cost]]</f>
        <v>0</v>
      </c>
      <c r="F23" s="11"/>
      <c r="G23" s="60" t="s">
        <v>7</v>
      </c>
      <c r="H23" s="61"/>
      <c r="I23" s="62"/>
      <c r="J23" s="63">
        <f>Entertainment28406476[[#This Row],[Projected 
Cost]]-Entertainment28406476[[#This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Housing27396375[[#This Row],[Projected
Cost]]-Housing27396375[[#This Row],[Actual 
Cost]]</f>
        <v>0</v>
      </c>
      <c r="F24" s="11"/>
      <c r="G24" s="60" t="s">
        <v>9</v>
      </c>
      <c r="H24" s="61"/>
      <c r="I24" s="62"/>
      <c r="J24" s="63">
        <f>Entertainment28406476[[#This Row],[Projected 
Cost]]-Entertainment28406476[[#This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Housing27396375[[#This Row],[Projected
Cost]]-Housing27396375[[#This Row],[Actual 
Cost]]</f>
        <v>0</v>
      </c>
      <c r="F25" s="11"/>
      <c r="G25" s="60" t="s">
        <v>11</v>
      </c>
      <c r="H25" s="61"/>
      <c r="I25" s="62"/>
      <c r="J25" s="63">
        <f>Entertainment28406476[[#This Row],[Projected 
Cost]]-Entertainment28406476[[#This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Housing27396375[[#This Row],[Projected
Cost]]-Housing27396375[[#This Row],[Actual 
Cost]]</f>
        <v>0</v>
      </c>
      <c r="F26" s="11"/>
      <c r="G26" s="60" t="s">
        <v>13</v>
      </c>
      <c r="H26" s="61"/>
      <c r="I26" s="62"/>
      <c r="J26" s="63">
        <f>Entertainment28406476[[#This Row],[Projected 
Cost]]-Entertainment28406476[[#This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Housing27396375[[#This Row],[Projected
Cost]]-Housing27396375[[#This Row],[Actual 
Cost]]</f>
        <v>0</v>
      </c>
      <c r="F27" s="11"/>
      <c r="G27" s="60" t="s">
        <v>15</v>
      </c>
      <c r="H27" s="61"/>
      <c r="I27" s="62"/>
      <c r="J27" s="63">
        <f>Entertainment28406476[[#This Row],[Projected 
Cost]]-Entertainment28406476[[#This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Housing27396375[[#This Row],[Projected
Cost]]-Housing27396375[[#This Row],[Actual 
Cost]]</f>
        <v>0</v>
      </c>
      <c r="F28" s="11"/>
      <c r="G28" s="60" t="s">
        <v>15</v>
      </c>
      <c r="H28" s="61"/>
      <c r="I28" s="62"/>
      <c r="J28" s="63">
        <f>Entertainment28406476[[#This Row],[Projected 
Cost]]-Entertainment28406476[[#This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Housing27396375[[#This Row],[Projected
Cost]]-Housing27396375[[#This Row],[Actual 
Cost]]</f>
        <v>0</v>
      </c>
      <c r="F29" s="11"/>
      <c r="G29" s="60" t="s">
        <v>15</v>
      </c>
      <c r="H29" s="61"/>
      <c r="I29" s="62"/>
      <c r="J29" s="63">
        <f>Entertainment28406476[[#This Row],[Projected 
Cost]]-Entertainment28406476[[#This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Housing27396375[[#This Row],[Projected
Cost]]-Housing27396375[[#This Row],[Actual 
Cost]]</f>
        <v>0</v>
      </c>
      <c r="F30" s="11"/>
      <c r="G30" s="51" t="s">
        <v>49</v>
      </c>
      <c r="H30" s="52">
        <f>SUBTOTAL(109,Entertainment28406476[Projected 
Cost])</f>
        <v>0</v>
      </c>
      <c r="I30" s="53">
        <f>SUBTOTAL(109,Entertainment28406476[Actual 
Cost])</f>
        <v>0</v>
      </c>
      <c r="J30" s="54">
        <f>SUBTOTAL(109,Entertainment28406476[Difference])</f>
        <v>0</v>
      </c>
    </row>
    <row r="31" spans="1:10" ht="18" thickTop="1" thickBot="1" x14ac:dyDescent="0.25">
      <c r="B31" s="51" t="s">
        <v>49</v>
      </c>
      <c r="C31" s="52">
        <f>SUBTOTAL(109,Housing27396375[Projected
Cost])</f>
        <v>0</v>
      </c>
      <c r="D31" s="53">
        <f>SUBTOTAL(109,Housing27396375[Actual 
Cost])</f>
        <v>0</v>
      </c>
      <c r="E31" s="54">
        <f>SUBTOTAL(109,Housing27396375[Difference])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Transportation30426678[[#This Row],[Projected 
Cost]]-Transportation30426678[[#This Row],[Actual 
Cost]]</f>
        <v>0</v>
      </c>
      <c r="F35" s="11"/>
      <c r="G35" s="60" t="s">
        <v>18</v>
      </c>
      <c r="H35" s="61"/>
      <c r="I35" s="62"/>
      <c r="J35" s="63">
        <f>Loans29416577[[#This Row],[Projected 
Cost]]-Loans29416577[[#This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Transportation30426678[[#This Row],[Projected 
Cost]]-Transportation30426678[[#This Row],[Actual 
Cost]]</f>
        <v>0</v>
      </c>
      <c r="F36" s="11"/>
      <c r="G36" s="60" t="s">
        <v>20</v>
      </c>
      <c r="H36" s="61"/>
      <c r="I36" s="62"/>
      <c r="J36" s="63">
        <f>Loans29416577[[#This Row],[Projected 
Cost]]-Loans29416577[[#This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Transportation30426678[[#This Row],[Projected 
Cost]]-Transportation30426678[[#This Row],[Actual 
Cost]]</f>
        <v>0</v>
      </c>
      <c r="F37" s="11"/>
      <c r="G37" s="60" t="s">
        <v>22</v>
      </c>
      <c r="H37" s="61"/>
      <c r="I37" s="62"/>
      <c r="J37" s="63">
        <f>Loans29416577[[#This Row],[Projected 
Cost]]-Loans29416577[[#This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Transportation30426678[[#This Row],[Projected 
Cost]]-Transportation30426678[[#This Row],[Actual 
Cost]]</f>
        <v>0</v>
      </c>
      <c r="F38" s="11"/>
      <c r="G38" s="60" t="s">
        <v>22</v>
      </c>
      <c r="H38" s="61"/>
      <c r="I38" s="62"/>
      <c r="J38" s="63">
        <f>Loans29416577[[#This Row],[Projected 
Cost]]-Loans29416577[[#This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Transportation30426678[[#This Row],[Projected 
Cost]]-Transportation30426678[[#This Row],[Actual 
Cost]]</f>
        <v>0</v>
      </c>
      <c r="F39" s="11"/>
      <c r="G39" s="60" t="s">
        <v>22</v>
      </c>
      <c r="H39" s="61"/>
      <c r="I39" s="62"/>
      <c r="J39" s="63">
        <f>Loans29416577[[#This Row],[Projected 
Cost]]-Loans29416577[[#This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Transportation30426678[[#This Row],[Projected 
Cost]]-Transportation30426678[[#This Row],[Actual 
Cost]]</f>
        <v>0</v>
      </c>
      <c r="F40" s="11"/>
      <c r="G40" s="60" t="s">
        <v>15</v>
      </c>
      <c r="H40" s="61"/>
      <c r="I40" s="62"/>
      <c r="J40" s="63">
        <f>Loans29416577[[#This Row],[Projected 
Cost]]-Loans29416577[[#This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Transportation30426678[[#This Row],[Projected 
Cost]]-Transportation30426678[[#This Row],[Actual 
Cost]]</f>
        <v>0</v>
      </c>
      <c r="F41" s="11"/>
      <c r="G41" s="51" t="s">
        <v>49</v>
      </c>
      <c r="H41" s="52">
        <f>SUBTOTAL(109,Loans29416577[Projected 
Cost])</f>
        <v>0</v>
      </c>
      <c r="I41" s="53">
        <f>SUBTOTAL(109,Loans29416577[Actual 
Cost])</f>
        <v>0</v>
      </c>
      <c r="J41" s="54">
        <f>SUBTOTAL(109,Loans29416577[Difference])</f>
        <v>0</v>
      </c>
    </row>
    <row r="42" spans="1:10" ht="18" thickTop="1" thickBot="1" x14ac:dyDescent="0.25">
      <c r="B42" s="51" t="s">
        <v>49</v>
      </c>
      <c r="C42" s="52">
        <f>SUBTOTAL(109,Transportation30426678[Projected 
Cost])</f>
        <v>0</v>
      </c>
      <c r="D42" s="53">
        <f>SUBTOTAL(109,Transportation30426678[Actual 
Cost])</f>
        <v>0</v>
      </c>
      <c r="E42" s="54">
        <f>SUBTOTAL(109,Transportation30426678[Difference])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Insurance31436779[[#This Row],[Projected 
Cost]]-Insurance31436779[[#This Row],[Actual 
Cost]]</f>
        <v>0</v>
      </c>
      <c r="F46" s="11"/>
      <c r="G46" s="84" t="s">
        <v>30</v>
      </c>
      <c r="H46" s="85"/>
      <c r="I46" s="86"/>
      <c r="J46" s="87">
        <f>Savings32446880[[#This Row],[Projected 
Cost]]-Savings32446880[[#This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Insurance31436779[[#This Row],[Projected 
Cost]]-Insurance31436779[[#This Row],[Actual 
Cost]]</f>
        <v>0</v>
      </c>
      <c r="F47" s="11"/>
      <c r="G47" s="88" t="s">
        <v>31</v>
      </c>
      <c r="H47" s="89"/>
      <c r="I47" s="90"/>
      <c r="J47" s="91">
        <f>Savings32446880[[#This Row],[Projected 
Cost]]-Savings32446880[[#This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Insurance31436779[[#This Row],[Projected 
Cost]]-Insurance31436779[[#This Row],[Actual 
Cost]]</f>
        <v>0</v>
      </c>
      <c r="F48" s="11"/>
      <c r="G48" s="88" t="s">
        <v>15</v>
      </c>
      <c r="H48" s="89"/>
      <c r="I48" s="90"/>
      <c r="J48" s="91">
        <f>Savings32446880[[#This Row],[Projected 
Cost]]-Savings32446880[[#This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Insurance31436779[[#This Row],[Projected 
Cost]]-Insurance31436779[[#This Row],[Actual 
Cost]]</f>
        <v>0</v>
      </c>
      <c r="F49" s="11"/>
      <c r="G49" s="92" t="s">
        <v>49</v>
      </c>
      <c r="H49" s="93">
        <f>SUBTOTAL(109,Savings32446880[Projected 
Cost])</f>
        <v>0</v>
      </c>
      <c r="I49" s="94">
        <f>SUBTOTAL(109,Savings32446880[Actual 
Cost])</f>
        <v>0</v>
      </c>
      <c r="J49" s="95">
        <f>SUBTOTAL(109,Savings32446880[Difference])</f>
        <v>0</v>
      </c>
    </row>
    <row r="50" spans="1:10" ht="18" thickTop="1" thickBot="1" x14ac:dyDescent="0.25">
      <c r="B50" s="55" t="s">
        <v>49</v>
      </c>
      <c r="C50" s="56">
        <f>SUBTOTAL(109,Insurance31436779[Projected 
Cost])</f>
        <v>0</v>
      </c>
      <c r="D50" s="57">
        <f>SUBTOTAL(109,Insurance31436779[Actual 
Cost])</f>
        <v>0</v>
      </c>
      <c r="E50" s="58">
        <f>SUBTOTAL(109,Insurance31436779[Difference])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Food33456981[[#This Row],[Projected 
Cost]]-Food33456981[[#This Row],[Actual 
Cost]]</f>
        <v>0</v>
      </c>
      <c r="F54" s="11"/>
      <c r="G54" s="96" t="s">
        <v>34</v>
      </c>
      <c r="H54" s="97"/>
      <c r="I54" s="98"/>
      <c r="J54" s="99">
        <f>Gifts34467082[[#This Row],[Projected 
Cost]]-Gifts34467082[[#This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Food33456981[[#This Row],[Projected 
Cost]]-Food33456981[[#This Row],[Actual 
Cost]]</f>
        <v>0</v>
      </c>
      <c r="F55" s="11"/>
      <c r="G55" s="60" t="s">
        <v>35</v>
      </c>
      <c r="H55" s="61"/>
      <c r="I55" s="62"/>
      <c r="J55" s="63">
        <f>Gifts34467082[[#This Row],[Projected 
Cost]]-Gifts34467082[[#This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Food33456981[[#This Row],[Projected 
Cost]]-Food33456981[[#This Row],[Actual 
Cost]]</f>
        <v>0</v>
      </c>
      <c r="F56" s="11"/>
      <c r="G56" s="60" t="s">
        <v>37</v>
      </c>
      <c r="H56" s="61"/>
      <c r="I56" s="62"/>
      <c r="J56" s="63">
        <f>Gifts34467082[[#This Row],[Projected 
Cost]]-Gifts34467082[[#This Row],[Actual 
Cost]]</f>
        <v>0</v>
      </c>
    </row>
    <row r="57" spans="1:10" ht="17" thickBot="1" x14ac:dyDescent="0.25">
      <c r="B57" s="51" t="s">
        <v>49</v>
      </c>
      <c r="C57" s="52">
        <f>SUBTOTAL(109,Food33456981[Projected 
Cost])</f>
        <v>0</v>
      </c>
      <c r="D57" s="53">
        <f>SUBTOTAL(109,Food33456981[Actual 
Cost])</f>
        <v>0</v>
      </c>
      <c r="E57" s="54">
        <f>SUBTOTAL(109,Food33456981[Difference])</f>
        <v>0</v>
      </c>
      <c r="F57" s="11"/>
      <c r="G57" s="51" t="s">
        <v>49</v>
      </c>
      <c r="H57" s="52">
        <f>SUBTOTAL(109,Gifts34467082[Projected 
Cost])</f>
        <v>0</v>
      </c>
      <c r="I57" s="53">
        <f>SUBTOTAL(109,Gifts34467082[Actual 
Cost])</f>
        <v>0</v>
      </c>
      <c r="J57" s="54">
        <f>SUBTOTAL(109,Gifts34467082[Difference])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Pets35477183[[#This Row],[Projected 
Cost]]-Pets35477183[[#This Row],[Actual 
Cost]]</f>
        <v>0</v>
      </c>
      <c r="F61" s="11"/>
      <c r="G61" s="96" t="s">
        <v>41</v>
      </c>
      <c r="H61" s="97"/>
      <c r="I61" s="98"/>
      <c r="J61" s="99">
        <f>Legal36487284[[#This Row],[Projected 
Cost]]-Legal36487284[[#This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Pets35477183[[#This Row],[Projected 
Cost]]-Pets35477183[[#This Row],[Actual 
Cost]]</f>
        <v>0</v>
      </c>
      <c r="F62" s="11"/>
      <c r="G62" s="60" t="s">
        <v>42</v>
      </c>
      <c r="H62" s="61"/>
      <c r="I62" s="62"/>
      <c r="J62" s="63">
        <f>Legal36487284[[#This Row],[Projected 
Cost]]-Legal36487284[[#This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Pets35477183[[#This Row],[Projected 
Cost]]-Pets35477183[[#This Row],[Actual 
Cost]]</f>
        <v>0</v>
      </c>
      <c r="F63" s="11"/>
      <c r="G63" s="60" t="s">
        <v>43</v>
      </c>
      <c r="H63" s="61"/>
      <c r="I63" s="62"/>
      <c r="J63" s="63">
        <f>Legal36487284[[#This Row],[Projected 
Cost]]-Legal36487284[[#This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Pets35477183[[#This Row],[Projected 
Cost]]-Pets35477183[[#This Row],[Actual 
Cost]]</f>
        <v>0</v>
      </c>
      <c r="F64" s="11"/>
      <c r="G64" s="60" t="s">
        <v>15</v>
      </c>
      <c r="H64" s="61"/>
      <c r="I64" s="62"/>
      <c r="J64" s="63">
        <f>Legal36487284[[#This Row],[Projected 
Cost]]-Legal36487284[[#This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Pets35477183[[#This Row],[Projected 
Cost]]-Pets35477183[[#This Row],[Actual 
Cost]]</f>
        <v>0</v>
      </c>
      <c r="F65" s="11"/>
      <c r="G65" s="51" t="s">
        <v>49</v>
      </c>
      <c r="H65" s="52">
        <f>SUBTOTAL(109,Legal36487284[Projected 
Cost])</f>
        <v>0</v>
      </c>
      <c r="I65" s="53">
        <f>SUBTOTAL(109,Legal36487284[Actual 
Cost])</f>
        <v>0</v>
      </c>
      <c r="J65" s="54">
        <f>SUBTOTAL(109,Legal36487284[Difference])</f>
        <v>0</v>
      </c>
    </row>
    <row r="66" spans="1:10" ht="18" thickTop="1" thickBot="1" x14ac:dyDescent="0.25">
      <c r="B66" s="51" t="s">
        <v>49</v>
      </c>
      <c r="C66" s="52">
        <f>SUBTOTAL(109,Pets35477183[Projected 
Cost])</f>
        <v>0</v>
      </c>
      <c r="D66" s="53">
        <f>SUBTOTAL(109,Pets35477183[Actual 
Cost])</f>
        <v>0</v>
      </c>
      <c r="E66" s="54">
        <f>SUBTOTAL(109,Pets35477183[Difference])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PersonalCare37497385[[#This Row],[Projected 
Cost]]-PersonalCare37497385[[#This Row],[Actual 
Cost]]</f>
        <v>0</v>
      </c>
      <c r="F70" s="11"/>
      <c r="G70" s="150" t="s">
        <v>52</v>
      </c>
      <c r="H70" s="150"/>
      <c r="I70" s="150"/>
      <c r="J70" s="151">
        <f>Housing27396375[[#Totals],[Projected
Cost]]+Entertainment28406476[[#Totals],[Projected 
Cost]]+Transportation30426678[[#Totals],[Projected 
Cost]]+Loans29416577[[#Totals],[Projected 
Cost]]+Insurance31436779[[#Totals],[Projected 
Cost]]+Savings32446880[[#Totals],[Projected 
Cost]]+Food33456981[[#Totals],[Projected 
Cost]]+Gifts34467082[[#Totals],[Projected 
Cost]]+Pets35477183[[#Totals],[Projected 
Cost]]+Legal36487284[[#Totals],[Projected 
Cost]]+PersonalCare37497385[[#Totals],[Projected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PersonalCare37497385[[#This Row],[Projected 
Cost]]-PersonalCare37497385[[#This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PersonalCare37497385[[#This Row],[Projected 
Cost]]-PersonalCare37497385[[#This Row],[Actual 
Cost]]</f>
        <v>0</v>
      </c>
      <c r="F72" s="11"/>
      <c r="G72" s="146" t="s">
        <v>53</v>
      </c>
      <c r="H72" s="146"/>
      <c r="I72" s="146"/>
      <c r="J72" s="147">
        <f>Housing27396375[[#Totals],[Actual 
Cost]]+Entertainment28406476[[#Totals],[Actual 
Cost]]+Transportation30426678[[#Totals],[Actual 
Cost]]+Loans29416577[[#Totals],[Actual 
Cost]]+Insurance31436779[[#Totals],[Actual 
Cost]]+Food33456981[[#Totals],[Actual 
Cost]]+Gifts34467082[[#Totals],[Actual 
Cost]]+Pets35477183[[#Totals],[Actual 
Cost]]+Legal36487284[[#Totals],[Actual 
Cost]]+PersonalCare37497385[[#Totals],[Actual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PersonalCare37497385[[#This Row],[Projected 
Cost]]-PersonalCare37497385[[#This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PersonalCare37497385[[#This Row],[Projected 
Cost]]-PersonalCare37497385[[#This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PersonalCare37497385[[#This Row],[Projected 
Cost]]-PersonalCare37497385[[#This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PersonalCare37497385[[#This Row],[Projected 
Cost]]-PersonalCare37497385[[#This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SUBTOTAL(109,PersonalCare37497385[Projected 
Cost])</f>
        <v>0</v>
      </c>
      <c r="D77" s="53">
        <f>SUBTOTAL(109,PersonalCare37497385[Actual 
Cost])</f>
        <v>0</v>
      </c>
      <c r="E77" s="54">
        <f>SUBTOTAL(109,PersonalCare37497385[Difference])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Create a Personal Monthly Budget in this worksheet. Helpful instructions on how to use this worksheet are in cells in this column. Arrow down to get started." sqref="A1" xr:uid="{B0F7B3DA-AE97-4E06-B3BB-E1F29DFB3FD4}"/>
    <dataValidation allowBlank="1" showInputMessage="1" showErrorMessage="1" prompt="Title of this worksheet is in cell C2. Next instruction is in cell A4." sqref="A2" xr:uid="{4908ACB3-9EE8-4363-9C5E-345389C86929}"/>
    <dataValidation allowBlank="1" showInputMessage="1" showErrorMessage="1" prompt="Projected Balance is auto calculated in cell H4, Actual Balance in H6, and Difference in H8. Next instruction is in cell A9." sqref="A9" xr:uid="{46DCBCD2-E964-468B-A2F9-E4BA3677E418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BDBF1AF5-82B6-409B-B071-9B841A2EBCE4}"/>
    <dataValidation allowBlank="1" showInputMessage="1" showErrorMessage="1" prompt="Enter details in Housing table starting in cell at right and in Entertainment table starting in cell G14. Next instruction is in cell A27." sqref="A20" xr:uid="{F33B5F5E-37D8-4257-8CF7-B142DDE4C742}"/>
    <dataValidation allowBlank="1" showInputMessage="1" showErrorMessage="1" prompt="Enter details in Transportation table starting in cell at right and in Loans table starting in cell G26. Next instruction is in cell A37." sqref="A35" xr:uid="{5C9D8D2E-BF22-4E27-BE6C-9D1E40859025}"/>
    <dataValidation allowBlank="1" showInputMessage="1" showErrorMessage="1" prompt="Enter details in Insurance table starting in cell at right and in Taxes table starting in cell G35. Next instruction is in cell A44." sqref="A47" xr:uid="{3D1DE9D6-3EAB-44EE-A792-CCF16C016B81}"/>
    <dataValidation allowBlank="1" showInputMessage="1" showErrorMessage="1" prompt="Enter details in Food table starting in cell at right and in Savings table starting in cell G42. Next instruction is in cell A50." sqref="A56" xr:uid="{5B1448FB-06C7-4E47-B8B8-ECFC6E173B92}"/>
    <dataValidation allowBlank="1" showInputMessage="1" showErrorMessage="1" prompt="Enter details in Pets table starting in cell at right and in Gifts table starting in cell G48. Next instruction is in cell A58." sqref="A64:A70" xr:uid="{1F6F87B7-C4CA-488C-B1BB-3048033C0C90}"/>
    <dataValidation allowBlank="1" showInputMessage="1" showErrorMessage="1" prompt="Enter details in Personal Care table starting in cell at right and in Legal table starting in cell G54. Next instruction is in cell A61." sqref="A78" xr:uid="{28BFEABC-EFED-4FE6-B65C-EC41FD78A434}"/>
    <dataValidation allowBlank="1" showInputMessage="1" showErrorMessage="1" prompt="Total Projected Cost is auto calculated in cell J61, Total Actual Cost in J63, and Total Difference in J65." sqref="A81" xr:uid="{776435BD-FDE1-48A7-8D81-0874ACF5F947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9062-6E05-444D-9F33-8A62DA1980AF}">
  <sheetPr>
    <tabColor theme="4"/>
    <pageSetUpPr autoPageBreaks="0" fitToPage="1"/>
  </sheetPr>
  <dimension ref="A1:J86"/>
  <sheetViews>
    <sheetView zoomScaleNormal="100" zoomScaleSheetLayoutView="30" workbookViewId="0">
      <selection activeCell="C12" sqref="C12:C1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Housing273963[[#This Row],[Projected
Cost]]-Housing273963[[#This Row],[Actual 
Cost]]</f>
        <v>0</v>
      </c>
      <c r="F21" s="11"/>
      <c r="G21" s="60" t="s">
        <v>73</v>
      </c>
      <c r="H21" s="61"/>
      <c r="I21" s="62"/>
      <c r="J21" s="63">
        <f>Entertainment284064[[#This Row],[Projected 
Cost]]-Entertainment284064[[#This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Housing273963[[#This Row],[Projected
Cost]]-Housing273963[[#This Row],[Actual 
Cost]]</f>
        <v>0</v>
      </c>
      <c r="F22" s="11"/>
      <c r="G22" s="60" t="s">
        <v>74</v>
      </c>
      <c r="H22" s="61"/>
      <c r="I22" s="62"/>
      <c r="J22" s="63">
        <f>Entertainment284064[[#This Row],[Projected 
Cost]]-Entertainment284064[[#This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Housing273963[[#This Row],[Projected
Cost]]-Housing273963[[#This Row],[Actual 
Cost]]</f>
        <v>0</v>
      </c>
      <c r="F23" s="11"/>
      <c r="G23" s="60" t="s">
        <v>7</v>
      </c>
      <c r="H23" s="61"/>
      <c r="I23" s="62"/>
      <c r="J23" s="63">
        <f>Entertainment284064[[#This Row],[Projected 
Cost]]-Entertainment284064[[#This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Housing273963[[#This Row],[Projected
Cost]]-Housing273963[[#This Row],[Actual 
Cost]]</f>
        <v>0</v>
      </c>
      <c r="F24" s="11"/>
      <c r="G24" s="60" t="s">
        <v>9</v>
      </c>
      <c r="H24" s="61"/>
      <c r="I24" s="62"/>
      <c r="J24" s="63">
        <f>Entertainment284064[[#This Row],[Projected 
Cost]]-Entertainment284064[[#This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Housing273963[[#This Row],[Projected
Cost]]-Housing273963[[#This Row],[Actual 
Cost]]</f>
        <v>0</v>
      </c>
      <c r="F25" s="11"/>
      <c r="G25" s="60" t="s">
        <v>11</v>
      </c>
      <c r="H25" s="61"/>
      <c r="I25" s="62"/>
      <c r="J25" s="63">
        <f>Entertainment284064[[#This Row],[Projected 
Cost]]-Entertainment284064[[#This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Housing273963[[#This Row],[Projected
Cost]]-Housing273963[[#This Row],[Actual 
Cost]]</f>
        <v>0</v>
      </c>
      <c r="F26" s="11"/>
      <c r="G26" s="60" t="s">
        <v>13</v>
      </c>
      <c r="H26" s="61"/>
      <c r="I26" s="62"/>
      <c r="J26" s="63">
        <f>Entertainment284064[[#This Row],[Projected 
Cost]]-Entertainment284064[[#This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Housing273963[[#This Row],[Projected
Cost]]-Housing273963[[#This Row],[Actual 
Cost]]</f>
        <v>0</v>
      </c>
      <c r="F27" s="11"/>
      <c r="G27" s="60" t="s">
        <v>15</v>
      </c>
      <c r="H27" s="61"/>
      <c r="I27" s="62"/>
      <c r="J27" s="63">
        <f>Entertainment284064[[#This Row],[Projected 
Cost]]-Entertainment284064[[#This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Housing273963[[#This Row],[Projected
Cost]]-Housing273963[[#This Row],[Actual 
Cost]]</f>
        <v>0</v>
      </c>
      <c r="F28" s="11"/>
      <c r="G28" s="60" t="s">
        <v>15</v>
      </c>
      <c r="H28" s="61"/>
      <c r="I28" s="62"/>
      <c r="J28" s="63">
        <f>Entertainment284064[[#This Row],[Projected 
Cost]]-Entertainment284064[[#This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Housing273963[[#This Row],[Projected
Cost]]-Housing273963[[#This Row],[Actual 
Cost]]</f>
        <v>0</v>
      </c>
      <c r="F29" s="11"/>
      <c r="G29" s="60" t="s">
        <v>15</v>
      </c>
      <c r="H29" s="61"/>
      <c r="I29" s="62"/>
      <c r="J29" s="63">
        <f>Entertainment284064[[#This Row],[Projected 
Cost]]-Entertainment284064[[#This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Housing273963[[#This Row],[Projected
Cost]]-Housing273963[[#This Row],[Actual 
Cost]]</f>
        <v>0</v>
      </c>
      <c r="F30" s="11"/>
      <c r="G30" s="51" t="s">
        <v>49</v>
      </c>
      <c r="H30" s="52">
        <f>SUBTOTAL(109,Entertainment284064[Projected 
Cost])</f>
        <v>0</v>
      </c>
      <c r="I30" s="53">
        <f>SUBTOTAL(109,Entertainment284064[Actual 
Cost])</f>
        <v>0</v>
      </c>
      <c r="J30" s="54">
        <f>SUBTOTAL(109,Entertainment284064[Difference])</f>
        <v>0</v>
      </c>
    </row>
    <row r="31" spans="1:10" ht="18" thickTop="1" thickBot="1" x14ac:dyDescent="0.25">
      <c r="B31" s="51" t="s">
        <v>49</v>
      </c>
      <c r="C31" s="52">
        <f>SUBTOTAL(109,Housing273963[Projected
Cost])</f>
        <v>0</v>
      </c>
      <c r="D31" s="53">
        <f>SUBTOTAL(109,Housing273963[Actual 
Cost])</f>
        <v>0</v>
      </c>
      <c r="E31" s="54">
        <f>SUBTOTAL(109,Housing273963[Difference])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Transportation304266[[#This Row],[Projected 
Cost]]-Transportation304266[[#This Row],[Actual 
Cost]]</f>
        <v>0</v>
      </c>
      <c r="F35" s="11"/>
      <c r="G35" s="60" t="s">
        <v>18</v>
      </c>
      <c r="H35" s="61"/>
      <c r="I35" s="62"/>
      <c r="J35" s="63">
        <f>Loans294165[[#This Row],[Projected 
Cost]]-Loans294165[[#This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Transportation304266[[#This Row],[Projected 
Cost]]-Transportation304266[[#This Row],[Actual 
Cost]]</f>
        <v>0</v>
      </c>
      <c r="F36" s="11"/>
      <c r="G36" s="60" t="s">
        <v>20</v>
      </c>
      <c r="H36" s="61"/>
      <c r="I36" s="62"/>
      <c r="J36" s="63">
        <f>Loans294165[[#This Row],[Projected 
Cost]]-Loans294165[[#This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Transportation304266[[#This Row],[Projected 
Cost]]-Transportation304266[[#This Row],[Actual 
Cost]]</f>
        <v>0</v>
      </c>
      <c r="F37" s="11"/>
      <c r="G37" s="60" t="s">
        <v>22</v>
      </c>
      <c r="H37" s="61"/>
      <c r="I37" s="62"/>
      <c r="J37" s="63">
        <f>Loans294165[[#This Row],[Projected 
Cost]]-Loans294165[[#This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Transportation304266[[#This Row],[Projected 
Cost]]-Transportation304266[[#This Row],[Actual 
Cost]]</f>
        <v>0</v>
      </c>
      <c r="F38" s="11"/>
      <c r="G38" s="60" t="s">
        <v>22</v>
      </c>
      <c r="H38" s="61"/>
      <c r="I38" s="62"/>
      <c r="J38" s="63">
        <f>Loans294165[[#This Row],[Projected 
Cost]]-Loans294165[[#This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Transportation304266[[#This Row],[Projected 
Cost]]-Transportation304266[[#This Row],[Actual 
Cost]]</f>
        <v>0</v>
      </c>
      <c r="F39" s="11"/>
      <c r="G39" s="60" t="s">
        <v>22</v>
      </c>
      <c r="H39" s="61"/>
      <c r="I39" s="62"/>
      <c r="J39" s="63">
        <f>Loans294165[[#This Row],[Projected 
Cost]]-Loans294165[[#This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Transportation304266[[#This Row],[Projected 
Cost]]-Transportation304266[[#This Row],[Actual 
Cost]]</f>
        <v>0</v>
      </c>
      <c r="F40" s="11"/>
      <c r="G40" s="60" t="s">
        <v>15</v>
      </c>
      <c r="H40" s="61"/>
      <c r="I40" s="62"/>
      <c r="J40" s="63">
        <f>Loans294165[[#This Row],[Projected 
Cost]]-Loans294165[[#This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Transportation304266[[#This Row],[Projected 
Cost]]-Transportation304266[[#This Row],[Actual 
Cost]]</f>
        <v>0</v>
      </c>
      <c r="F41" s="11"/>
      <c r="G41" s="51" t="s">
        <v>49</v>
      </c>
      <c r="H41" s="52">
        <f>SUBTOTAL(109,Loans294165[Projected 
Cost])</f>
        <v>0</v>
      </c>
      <c r="I41" s="53">
        <f>SUBTOTAL(109,Loans294165[Actual 
Cost])</f>
        <v>0</v>
      </c>
      <c r="J41" s="54">
        <f>SUBTOTAL(109,Loans294165[Difference])</f>
        <v>0</v>
      </c>
    </row>
    <row r="42" spans="1:10" ht="18" thickTop="1" thickBot="1" x14ac:dyDescent="0.25">
      <c r="B42" s="51" t="s">
        <v>49</v>
      </c>
      <c r="C42" s="52">
        <f>SUBTOTAL(109,Transportation304266[Projected 
Cost])</f>
        <v>0</v>
      </c>
      <c r="D42" s="53">
        <f>SUBTOTAL(109,Transportation304266[Actual 
Cost])</f>
        <v>0</v>
      </c>
      <c r="E42" s="54">
        <f>SUBTOTAL(109,Transportation304266[Difference])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Insurance314367[[#This Row],[Projected 
Cost]]-Insurance314367[[#This Row],[Actual 
Cost]]</f>
        <v>0</v>
      </c>
      <c r="F46" s="11"/>
      <c r="G46" s="84" t="s">
        <v>30</v>
      </c>
      <c r="H46" s="85"/>
      <c r="I46" s="86"/>
      <c r="J46" s="87">
        <f>Savings324468[[#This Row],[Projected 
Cost]]-Savings324468[[#This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Insurance314367[[#This Row],[Projected 
Cost]]-Insurance314367[[#This Row],[Actual 
Cost]]</f>
        <v>0</v>
      </c>
      <c r="F47" s="11"/>
      <c r="G47" s="88" t="s">
        <v>31</v>
      </c>
      <c r="H47" s="89"/>
      <c r="I47" s="90"/>
      <c r="J47" s="91">
        <f>Savings324468[[#This Row],[Projected 
Cost]]-Savings324468[[#This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Insurance314367[[#This Row],[Projected 
Cost]]-Insurance314367[[#This Row],[Actual 
Cost]]</f>
        <v>0</v>
      </c>
      <c r="F48" s="11"/>
      <c r="G48" s="88" t="s">
        <v>15</v>
      </c>
      <c r="H48" s="89"/>
      <c r="I48" s="90"/>
      <c r="J48" s="91">
        <f>Savings324468[[#This Row],[Projected 
Cost]]-Savings324468[[#This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Insurance314367[[#This Row],[Projected 
Cost]]-Insurance314367[[#This Row],[Actual 
Cost]]</f>
        <v>0</v>
      </c>
      <c r="F49" s="11"/>
      <c r="G49" s="92" t="s">
        <v>49</v>
      </c>
      <c r="H49" s="93">
        <f>SUBTOTAL(109,Savings324468[Projected 
Cost])</f>
        <v>0</v>
      </c>
      <c r="I49" s="94">
        <f>SUBTOTAL(109,Savings324468[Actual 
Cost])</f>
        <v>0</v>
      </c>
      <c r="J49" s="95">
        <f>SUBTOTAL(109,Savings324468[Difference])</f>
        <v>0</v>
      </c>
    </row>
    <row r="50" spans="1:10" ht="18" thickTop="1" thickBot="1" x14ac:dyDescent="0.25">
      <c r="B50" s="55" t="s">
        <v>49</v>
      </c>
      <c r="C50" s="56">
        <f>SUBTOTAL(109,Insurance314367[Projected 
Cost])</f>
        <v>0</v>
      </c>
      <c r="D50" s="57">
        <f>SUBTOTAL(109,Insurance314367[Actual 
Cost])</f>
        <v>0</v>
      </c>
      <c r="E50" s="58">
        <f>SUBTOTAL(109,Insurance314367[Difference])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Food334569[[#This Row],[Projected 
Cost]]-Food334569[[#This Row],[Actual 
Cost]]</f>
        <v>0</v>
      </c>
      <c r="F54" s="11"/>
      <c r="G54" s="96" t="s">
        <v>34</v>
      </c>
      <c r="H54" s="97"/>
      <c r="I54" s="98"/>
      <c r="J54" s="99">
        <f>Gifts344670[[#This Row],[Projected 
Cost]]-Gifts344670[[#This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Food334569[[#This Row],[Projected 
Cost]]-Food334569[[#This Row],[Actual 
Cost]]</f>
        <v>0</v>
      </c>
      <c r="F55" s="11"/>
      <c r="G55" s="60" t="s">
        <v>35</v>
      </c>
      <c r="H55" s="61"/>
      <c r="I55" s="62"/>
      <c r="J55" s="63">
        <f>Gifts344670[[#This Row],[Projected 
Cost]]-Gifts344670[[#This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Food334569[[#This Row],[Projected 
Cost]]-Food334569[[#This Row],[Actual 
Cost]]</f>
        <v>0</v>
      </c>
      <c r="F56" s="11"/>
      <c r="G56" s="60" t="s">
        <v>37</v>
      </c>
      <c r="H56" s="61"/>
      <c r="I56" s="62"/>
      <c r="J56" s="63">
        <f>Gifts344670[[#This Row],[Projected 
Cost]]-Gifts344670[[#This Row],[Actual 
Cost]]</f>
        <v>0</v>
      </c>
    </row>
    <row r="57" spans="1:10" ht="17" thickBot="1" x14ac:dyDescent="0.25">
      <c r="B57" s="51" t="s">
        <v>49</v>
      </c>
      <c r="C57" s="52">
        <f>SUBTOTAL(109,Food334569[Projected 
Cost])</f>
        <v>0</v>
      </c>
      <c r="D57" s="53">
        <f>SUBTOTAL(109,Food334569[Actual 
Cost])</f>
        <v>0</v>
      </c>
      <c r="E57" s="54">
        <f>SUBTOTAL(109,Food334569[Difference])</f>
        <v>0</v>
      </c>
      <c r="F57" s="11"/>
      <c r="G57" s="51" t="s">
        <v>49</v>
      </c>
      <c r="H57" s="52">
        <f>SUBTOTAL(109,Gifts344670[Projected 
Cost])</f>
        <v>0</v>
      </c>
      <c r="I57" s="53">
        <f>SUBTOTAL(109,Gifts344670[Actual 
Cost])</f>
        <v>0</v>
      </c>
      <c r="J57" s="54">
        <f>SUBTOTAL(109,Gifts344670[Difference])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Pets354771[[#This Row],[Projected 
Cost]]-Pets354771[[#This Row],[Actual 
Cost]]</f>
        <v>0</v>
      </c>
      <c r="F61" s="11"/>
      <c r="G61" s="96" t="s">
        <v>41</v>
      </c>
      <c r="H61" s="97"/>
      <c r="I61" s="98"/>
      <c r="J61" s="99">
        <f>Legal364872[[#This Row],[Projected 
Cost]]-Legal364872[[#This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Pets354771[[#This Row],[Projected 
Cost]]-Pets354771[[#This Row],[Actual 
Cost]]</f>
        <v>0</v>
      </c>
      <c r="F62" s="11"/>
      <c r="G62" s="60" t="s">
        <v>42</v>
      </c>
      <c r="H62" s="61"/>
      <c r="I62" s="62"/>
      <c r="J62" s="63">
        <f>Legal364872[[#This Row],[Projected 
Cost]]-Legal364872[[#This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Pets354771[[#This Row],[Projected 
Cost]]-Pets354771[[#This Row],[Actual 
Cost]]</f>
        <v>0</v>
      </c>
      <c r="F63" s="11"/>
      <c r="G63" s="60" t="s">
        <v>43</v>
      </c>
      <c r="H63" s="61"/>
      <c r="I63" s="62"/>
      <c r="J63" s="63">
        <f>Legal364872[[#This Row],[Projected 
Cost]]-Legal364872[[#This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Pets354771[[#This Row],[Projected 
Cost]]-Pets354771[[#This Row],[Actual 
Cost]]</f>
        <v>0</v>
      </c>
      <c r="F64" s="11"/>
      <c r="G64" s="60" t="s">
        <v>15</v>
      </c>
      <c r="H64" s="61"/>
      <c r="I64" s="62"/>
      <c r="J64" s="63">
        <f>Legal364872[[#This Row],[Projected 
Cost]]-Legal364872[[#This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Pets354771[[#This Row],[Projected 
Cost]]-Pets354771[[#This Row],[Actual 
Cost]]</f>
        <v>0</v>
      </c>
      <c r="F65" s="11"/>
      <c r="G65" s="51" t="s">
        <v>49</v>
      </c>
      <c r="H65" s="52">
        <f>SUBTOTAL(109,Legal364872[Projected 
Cost])</f>
        <v>0</v>
      </c>
      <c r="I65" s="53">
        <f>SUBTOTAL(109,Legal364872[Actual 
Cost])</f>
        <v>0</v>
      </c>
      <c r="J65" s="54">
        <f>SUBTOTAL(109,Legal364872[Difference])</f>
        <v>0</v>
      </c>
    </row>
    <row r="66" spans="1:10" ht="18" thickTop="1" thickBot="1" x14ac:dyDescent="0.25">
      <c r="B66" s="51" t="s">
        <v>49</v>
      </c>
      <c r="C66" s="52">
        <f>SUBTOTAL(109,Pets354771[Projected 
Cost])</f>
        <v>0</v>
      </c>
      <c r="D66" s="53">
        <f>SUBTOTAL(109,Pets354771[Actual 
Cost])</f>
        <v>0</v>
      </c>
      <c r="E66" s="54">
        <f>SUBTOTAL(109,Pets354771[Difference])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PersonalCare374973[[#This Row],[Projected 
Cost]]-PersonalCare374973[[#This Row],[Actual 
Cost]]</f>
        <v>0</v>
      </c>
      <c r="F70" s="11"/>
      <c r="G70" s="150" t="s">
        <v>52</v>
      </c>
      <c r="H70" s="150"/>
      <c r="I70" s="150"/>
      <c r="J70" s="151">
        <f>Housing273963[[#Totals],[Projected
Cost]]+Entertainment284064[[#Totals],[Projected 
Cost]]+Transportation304266[[#Totals],[Projected 
Cost]]+Loans294165[[#Totals],[Projected 
Cost]]+Insurance314367[[#Totals],[Projected 
Cost]]+Savings324468[[#Totals],[Projected 
Cost]]+Food334569[[#Totals],[Projected 
Cost]]+Gifts344670[[#Totals],[Projected 
Cost]]+Pets354771[[#Totals],[Projected 
Cost]]+Legal364872[[#Totals],[Projected 
Cost]]+PersonalCare374973[[#Totals],[Projected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PersonalCare374973[[#This Row],[Projected 
Cost]]-PersonalCare374973[[#This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PersonalCare374973[[#This Row],[Projected 
Cost]]-PersonalCare374973[[#This Row],[Actual 
Cost]]</f>
        <v>0</v>
      </c>
      <c r="F72" s="11"/>
      <c r="G72" s="146" t="s">
        <v>53</v>
      </c>
      <c r="H72" s="146"/>
      <c r="I72" s="146"/>
      <c r="J72" s="147">
        <f>Housing273963[[#Totals],[Actual 
Cost]]+Entertainment284064[[#Totals],[Actual 
Cost]]+Transportation304266[[#Totals],[Actual 
Cost]]+Loans294165[[#Totals],[Actual 
Cost]]+Insurance314367[[#Totals],[Actual 
Cost]]+Food334569[[#Totals],[Actual 
Cost]]+Gifts344670[[#Totals],[Actual 
Cost]]+Pets354771[[#Totals],[Actual 
Cost]]+Legal364872[[#Totals],[Actual 
Cost]]+PersonalCare374973[[#Totals],[Actual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PersonalCare374973[[#This Row],[Projected 
Cost]]-PersonalCare374973[[#This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PersonalCare374973[[#This Row],[Projected 
Cost]]-PersonalCare374973[[#This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PersonalCare374973[[#This Row],[Projected 
Cost]]-PersonalCare374973[[#This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PersonalCare374973[[#This Row],[Projected 
Cost]]-PersonalCare374973[[#This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SUBTOTAL(109,PersonalCare374973[Projected 
Cost])</f>
        <v>0</v>
      </c>
      <c r="D77" s="53">
        <f>SUBTOTAL(109,PersonalCare374973[Actual 
Cost])</f>
        <v>0</v>
      </c>
      <c r="E77" s="54">
        <f>SUBTOTAL(109,PersonalCare374973[Difference])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Total Projected Cost is auto calculated in cell J61, Total Actual Cost in J63, and Total Difference in J65." sqref="A81" xr:uid="{F63E3103-D392-4DA3-A67B-DE0E7E619408}"/>
    <dataValidation allowBlank="1" showInputMessage="1" showErrorMessage="1" prompt="Enter details in Personal Care table starting in cell at right and in Legal table starting in cell G54. Next instruction is in cell A61." sqref="A78" xr:uid="{F5D124E7-62CE-47A1-B668-C0DF32BCC26D}"/>
    <dataValidation allowBlank="1" showInputMessage="1" showErrorMessage="1" prompt="Enter details in Pets table starting in cell at right and in Gifts table starting in cell G48. Next instruction is in cell A58." sqref="A64:A70" xr:uid="{E5180C11-D558-4678-A974-D14BFDE74E5B}"/>
    <dataValidation allowBlank="1" showInputMessage="1" showErrorMessage="1" prompt="Enter details in Food table starting in cell at right and in Savings table starting in cell G42. Next instruction is in cell A50." sqref="A56" xr:uid="{3250B5B0-584B-4D62-9D4C-B341A8CA606A}"/>
    <dataValidation allowBlank="1" showInputMessage="1" showErrorMessage="1" prompt="Enter details in Insurance table starting in cell at right and in Taxes table starting in cell G35. Next instruction is in cell A44." sqref="A47" xr:uid="{A072A1BF-8154-45BC-BC25-2E3B60EE8DC9}"/>
    <dataValidation allowBlank="1" showInputMessage="1" showErrorMessage="1" prompt="Enter details in Transportation table starting in cell at right and in Loans table starting in cell G26. Next instruction is in cell A37." sqref="A35" xr:uid="{1951AC96-4858-4A3A-8C53-6B627A640423}"/>
    <dataValidation allowBlank="1" showInputMessage="1" showErrorMessage="1" prompt="Enter details in Housing table starting in cell at right and in Entertainment table starting in cell G14. Next instruction is in cell A27." sqref="A20" xr:uid="{D9E8746E-A6AE-42FB-AA8B-7E7BE9B9523C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94961364-C0E9-4C5E-8460-40E6A480E8E7}"/>
    <dataValidation allowBlank="1" showInputMessage="1" showErrorMessage="1" prompt="Projected Balance is auto calculated in cell H4, Actual Balance in H6, and Difference in H8. Next instruction is in cell A9." sqref="A9" xr:uid="{556594D6-0045-41F0-A5C0-4783E7343054}"/>
    <dataValidation allowBlank="1" showInputMessage="1" showErrorMessage="1" prompt="Title of this worksheet is in cell C2. Next instruction is in cell A4." sqref="A2" xr:uid="{8D1A2274-B5DE-46ED-991E-3097B869D33B}"/>
    <dataValidation allowBlank="1" showInputMessage="1" showErrorMessage="1" prompt="Create a Personal Monthly Budget in this worksheet. Helpful instructions on how to use this worksheet are in cells in this column. Arrow down to get started." sqref="A1" xr:uid="{CC3405EC-5937-48CD-B356-C9B75F7A0377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53FD-5EE3-404C-BABB-52E1C11F9B1C}">
  <sheetPr>
    <tabColor theme="4"/>
    <pageSetUpPr autoPageBreaks="0" fitToPage="1"/>
  </sheetPr>
  <dimension ref="A1:J86"/>
  <sheetViews>
    <sheetView zoomScaleNormal="100" zoomScaleSheetLayoutView="30" workbookViewId="0">
      <selection activeCell="C12" sqref="C12:C16"/>
    </sheetView>
  </sheetViews>
  <sheetFormatPr baseColWidth="10" defaultColWidth="9" defaultRowHeight="14" x14ac:dyDescent="0.2"/>
  <cols>
    <col min="1" max="1" width="1.3984375" style="4" customWidth="1"/>
    <col min="2" max="2" width="26.796875" bestFit="1" customWidth="1"/>
    <col min="3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2">
      <c r="A1" s="3"/>
      <c r="B1" s="134" t="s">
        <v>67</v>
      </c>
      <c r="C1" s="134"/>
      <c r="D1" s="134"/>
      <c r="E1" s="134"/>
      <c r="F1" s="134"/>
      <c r="G1" s="134"/>
      <c r="H1" s="134"/>
      <c r="I1" s="134"/>
      <c r="J1" s="134"/>
    </row>
    <row r="2" spans="1:10" s="1" customFormat="1" ht="15.5" customHeight="1" x14ac:dyDescent="0.2">
      <c r="A2" s="6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" x14ac:dyDescent="0.2">
      <c r="B3" s="32" t="s">
        <v>50</v>
      </c>
      <c r="C3" s="31" t="s">
        <v>72</v>
      </c>
      <c r="D3" s="11"/>
      <c r="E3" s="11"/>
      <c r="F3" s="11"/>
      <c r="G3" s="11"/>
      <c r="H3" s="11"/>
      <c r="I3" s="11"/>
      <c r="J3" s="11"/>
    </row>
    <row r="4" spans="1:10" ht="16" x14ac:dyDescent="0.2">
      <c r="B4" s="105" t="s">
        <v>0</v>
      </c>
      <c r="C4" s="106"/>
      <c r="D4" s="11"/>
      <c r="E4" s="135" t="s">
        <v>76</v>
      </c>
      <c r="F4" s="135"/>
      <c r="G4" s="135"/>
      <c r="H4" s="136">
        <f>C9-J70</f>
        <v>0</v>
      </c>
      <c r="I4" s="23"/>
      <c r="J4" s="11"/>
    </row>
    <row r="5" spans="1:10" ht="15.5" customHeight="1" x14ac:dyDescent="0.2">
      <c r="B5" s="107" t="s">
        <v>69</v>
      </c>
      <c r="C5" s="106"/>
      <c r="D5" s="11"/>
      <c r="E5" s="135"/>
      <c r="F5" s="135"/>
      <c r="G5" s="135"/>
      <c r="H5" s="136"/>
      <c r="I5" s="23"/>
      <c r="J5" s="11"/>
    </row>
    <row r="6" spans="1:10" ht="16" x14ac:dyDescent="0.2">
      <c r="B6" s="109" t="s">
        <v>70</v>
      </c>
      <c r="C6" s="106"/>
      <c r="D6" s="11"/>
      <c r="E6" s="135"/>
      <c r="F6" s="135"/>
      <c r="G6" s="135"/>
      <c r="H6" s="136"/>
      <c r="I6" s="23"/>
      <c r="J6" s="11"/>
    </row>
    <row r="7" spans="1:10" ht="16" x14ac:dyDescent="0.2">
      <c r="B7" s="111" t="s">
        <v>71</v>
      </c>
      <c r="C7" s="106"/>
      <c r="D7" s="11"/>
      <c r="E7" s="137" t="s">
        <v>77</v>
      </c>
      <c r="F7" s="137"/>
      <c r="G7" s="137"/>
      <c r="H7" s="138">
        <f>C17-J72</f>
        <v>0</v>
      </c>
      <c r="I7" s="23"/>
      <c r="J7" s="11"/>
    </row>
    <row r="8" spans="1:10" ht="16" x14ac:dyDescent="0.2">
      <c r="B8" s="113" t="s">
        <v>68</v>
      </c>
      <c r="C8" s="106"/>
      <c r="D8" s="11"/>
      <c r="E8" s="137"/>
      <c r="F8" s="137"/>
      <c r="G8" s="137"/>
      <c r="H8" s="138"/>
      <c r="I8" s="23"/>
      <c r="J8" s="11"/>
    </row>
    <row r="9" spans="1:10" ht="17" thickBot="1" x14ac:dyDescent="0.25">
      <c r="B9" s="115" t="s">
        <v>2</v>
      </c>
      <c r="C9" s="116">
        <f>SUM(C4:C8)</f>
        <v>0</v>
      </c>
      <c r="D9" s="11"/>
      <c r="E9" s="137"/>
      <c r="F9" s="137"/>
      <c r="G9" s="137"/>
      <c r="H9" s="138"/>
      <c r="I9" s="23"/>
      <c r="J9" s="11"/>
    </row>
    <row r="10" spans="1:10" ht="30" customHeight="1" thickTop="1" x14ac:dyDescent="0.2">
      <c r="B10" s="11"/>
      <c r="C10" s="11"/>
      <c r="D10" s="11"/>
      <c r="E10" s="139" t="s">
        <v>78</v>
      </c>
      <c r="F10" s="139"/>
      <c r="G10" s="139"/>
      <c r="H10" s="140">
        <f>H4-H7</f>
        <v>0</v>
      </c>
      <c r="I10" s="23"/>
      <c r="J10" s="11"/>
    </row>
    <row r="11" spans="1:10" ht="16" x14ac:dyDescent="0.2">
      <c r="B11" s="29" t="s">
        <v>51</v>
      </c>
      <c r="C11" s="30" t="s">
        <v>72</v>
      </c>
      <c r="D11" s="22"/>
      <c r="E11" s="139"/>
      <c r="F11" s="139"/>
      <c r="G11" s="139"/>
      <c r="H11" s="140"/>
      <c r="I11" s="24"/>
      <c r="J11" s="11"/>
    </row>
    <row r="12" spans="1:10" ht="16" x14ac:dyDescent="0.2">
      <c r="B12" s="69" t="s">
        <v>0</v>
      </c>
      <c r="C12" s="117"/>
      <c r="D12" s="11"/>
      <c r="E12" s="11"/>
      <c r="F12" s="11"/>
      <c r="G12" s="11"/>
      <c r="H12" s="11"/>
      <c r="I12" s="23"/>
      <c r="J12" s="11"/>
    </row>
    <row r="13" spans="1:10" ht="16" x14ac:dyDescent="0.2">
      <c r="B13" s="69" t="s">
        <v>69</v>
      </c>
      <c r="C13" s="117"/>
      <c r="D13" s="11"/>
      <c r="E13" s="11"/>
      <c r="F13" s="11"/>
      <c r="G13" s="11"/>
      <c r="H13" s="11"/>
      <c r="I13" s="23"/>
      <c r="J13" s="11"/>
    </row>
    <row r="14" spans="1:10" ht="16" x14ac:dyDescent="0.2">
      <c r="B14" s="69" t="s">
        <v>70</v>
      </c>
      <c r="C14" s="117"/>
      <c r="D14" s="11"/>
      <c r="E14" s="11"/>
      <c r="F14" s="11"/>
      <c r="G14" s="11"/>
      <c r="H14" s="11"/>
      <c r="I14" s="23"/>
      <c r="J14" s="11"/>
    </row>
    <row r="15" spans="1:10" ht="16" x14ac:dyDescent="0.2">
      <c r="B15" s="69" t="s">
        <v>71</v>
      </c>
      <c r="C15" s="117"/>
      <c r="D15" s="11"/>
      <c r="E15" s="11"/>
      <c r="F15" s="11"/>
      <c r="G15" s="11"/>
      <c r="H15" s="11"/>
      <c r="I15" s="23"/>
      <c r="J15" s="11"/>
    </row>
    <row r="16" spans="1:10" ht="16" x14ac:dyDescent="0.2">
      <c r="B16" s="70" t="s">
        <v>1</v>
      </c>
      <c r="C16" s="117"/>
      <c r="D16" s="11"/>
      <c r="E16" s="23"/>
      <c r="F16" s="11"/>
      <c r="G16" s="11"/>
      <c r="H16" s="25"/>
      <c r="I16" s="23"/>
      <c r="J16" s="11"/>
    </row>
    <row r="17" spans="1:10" ht="17" thickBot="1" x14ac:dyDescent="0.25">
      <c r="B17" s="71" t="s">
        <v>2</v>
      </c>
      <c r="C17" s="119">
        <f>SUM(C12:C16)</f>
        <v>0</v>
      </c>
      <c r="D17" s="11"/>
      <c r="E17" s="11"/>
      <c r="F17" s="11"/>
      <c r="G17" s="11"/>
      <c r="H17" s="11"/>
      <c r="I17" s="11"/>
      <c r="J17" s="11"/>
    </row>
    <row r="18" spans="1:10" ht="38" customHeight="1" thickTop="1" x14ac:dyDescent="0.2">
      <c r="B18" s="9"/>
      <c r="C18" s="10"/>
      <c r="D18" s="11"/>
      <c r="E18" s="11"/>
      <c r="F18" s="11"/>
      <c r="G18" s="11"/>
      <c r="H18" s="11"/>
      <c r="I18" s="11"/>
      <c r="J18" s="11"/>
    </row>
    <row r="19" spans="1:10" s="2" customFormat="1" ht="15.5" customHeight="1" x14ac:dyDescent="0.3">
      <c r="A19" s="7"/>
      <c r="B19" s="141" t="s">
        <v>55</v>
      </c>
      <c r="C19" s="141"/>
      <c r="D19" s="141"/>
      <c r="E19" s="141"/>
      <c r="F19" s="11"/>
      <c r="G19" s="142" t="s">
        <v>56</v>
      </c>
      <c r="H19" s="142"/>
      <c r="I19" s="142"/>
      <c r="J19" s="142"/>
    </row>
    <row r="20" spans="1:10" ht="30" x14ac:dyDescent="0.2">
      <c r="B20" s="35" t="s">
        <v>75</v>
      </c>
      <c r="C20" s="36" t="s">
        <v>57</v>
      </c>
      <c r="D20" s="37" t="s">
        <v>58</v>
      </c>
      <c r="E20" s="38" t="s">
        <v>3</v>
      </c>
      <c r="F20" s="11"/>
      <c r="G20" s="59" t="s">
        <v>75</v>
      </c>
      <c r="H20" s="36" t="s">
        <v>59</v>
      </c>
      <c r="I20" s="37" t="s">
        <v>58</v>
      </c>
      <c r="J20" s="38" t="s">
        <v>3</v>
      </c>
    </row>
    <row r="21" spans="1:10" ht="16" x14ac:dyDescent="0.2">
      <c r="B21" s="39" t="s">
        <v>4</v>
      </c>
      <c r="C21" s="40"/>
      <c r="D21" s="41"/>
      <c r="E21" s="42">
        <f>Housing273951[[#This Row],[Projected
Cost]]-Housing273951[[#This Row],[Actual 
Cost]]</f>
        <v>0</v>
      </c>
      <c r="F21" s="11"/>
      <c r="G21" s="60" t="s">
        <v>73</v>
      </c>
      <c r="H21" s="61"/>
      <c r="I21" s="62"/>
      <c r="J21" s="63">
        <f>Entertainment284052[[#This Row],[Projected 
Cost]]-Entertainment284052[[#This Row],[Actual 
Cost]]</f>
        <v>0</v>
      </c>
    </row>
    <row r="22" spans="1:10" ht="16" x14ac:dyDescent="0.2">
      <c r="B22" s="43" t="s">
        <v>5</v>
      </c>
      <c r="C22" s="44"/>
      <c r="D22" s="45"/>
      <c r="E22" s="46">
        <f>Housing273951[[#This Row],[Projected
Cost]]-Housing273951[[#This Row],[Actual 
Cost]]</f>
        <v>0</v>
      </c>
      <c r="F22" s="11"/>
      <c r="G22" s="60" t="s">
        <v>74</v>
      </c>
      <c r="H22" s="61"/>
      <c r="I22" s="62"/>
      <c r="J22" s="63">
        <f>Entertainment284052[[#This Row],[Projected 
Cost]]-Entertainment284052[[#This Row],[Actual 
Cost]]</f>
        <v>0</v>
      </c>
    </row>
    <row r="23" spans="1:10" ht="16" x14ac:dyDescent="0.2">
      <c r="B23" s="43" t="s">
        <v>6</v>
      </c>
      <c r="C23" s="44"/>
      <c r="D23" s="45"/>
      <c r="E23" s="46">
        <f>Housing273951[[#This Row],[Projected
Cost]]-Housing273951[[#This Row],[Actual 
Cost]]</f>
        <v>0</v>
      </c>
      <c r="F23" s="11"/>
      <c r="G23" s="60" t="s">
        <v>7</v>
      </c>
      <c r="H23" s="61"/>
      <c r="I23" s="62"/>
      <c r="J23" s="63">
        <f>Entertainment284052[[#This Row],[Projected 
Cost]]-Entertainment284052[[#This Row],[Actual 
Cost]]</f>
        <v>0</v>
      </c>
    </row>
    <row r="24" spans="1:10" ht="16" x14ac:dyDescent="0.2">
      <c r="B24" s="43" t="s">
        <v>8</v>
      </c>
      <c r="C24" s="44"/>
      <c r="D24" s="45"/>
      <c r="E24" s="46">
        <f>Housing273951[[#This Row],[Projected
Cost]]-Housing273951[[#This Row],[Actual 
Cost]]</f>
        <v>0</v>
      </c>
      <c r="F24" s="11"/>
      <c r="G24" s="60" t="s">
        <v>9</v>
      </c>
      <c r="H24" s="61"/>
      <c r="I24" s="62"/>
      <c r="J24" s="63">
        <f>Entertainment284052[[#This Row],[Projected 
Cost]]-Entertainment284052[[#This Row],[Actual 
Cost]]</f>
        <v>0</v>
      </c>
    </row>
    <row r="25" spans="1:10" ht="16" x14ac:dyDescent="0.2">
      <c r="B25" s="43" t="s">
        <v>10</v>
      </c>
      <c r="C25" s="44"/>
      <c r="D25" s="45"/>
      <c r="E25" s="46">
        <f>Housing273951[[#This Row],[Projected
Cost]]-Housing273951[[#This Row],[Actual 
Cost]]</f>
        <v>0</v>
      </c>
      <c r="F25" s="11"/>
      <c r="G25" s="60" t="s">
        <v>11</v>
      </c>
      <c r="H25" s="61"/>
      <c r="I25" s="62"/>
      <c r="J25" s="63">
        <f>Entertainment284052[[#This Row],[Projected 
Cost]]-Entertainment284052[[#This Row],[Actual 
Cost]]</f>
        <v>0</v>
      </c>
    </row>
    <row r="26" spans="1:10" ht="16" x14ac:dyDescent="0.2">
      <c r="B26" s="43" t="s">
        <v>12</v>
      </c>
      <c r="C26" s="44"/>
      <c r="D26" s="45"/>
      <c r="E26" s="46">
        <f>Housing273951[[#This Row],[Projected
Cost]]-Housing273951[[#This Row],[Actual 
Cost]]</f>
        <v>0</v>
      </c>
      <c r="F26" s="11"/>
      <c r="G26" s="60" t="s">
        <v>13</v>
      </c>
      <c r="H26" s="61"/>
      <c r="I26" s="62"/>
      <c r="J26" s="63">
        <f>Entertainment284052[[#This Row],[Projected 
Cost]]-Entertainment284052[[#This Row],[Actual 
Cost]]</f>
        <v>0</v>
      </c>
    </row>
    <row r="27" spans="1:10" ht="16" x14ac:dyDescent="0.2">
      <c r="B27" s="43" t="s">
        <v>14</v>
      </c>
      <c r="C27" s="44"/>
      <c r="D27" s="45"/>
      <c r="E27" s="46">
        <f>Housing273951[[#This Row],[Projected
Cost]]-Housing273951[[#This Row],[Actual 
Cost]]</f>
        <v>0</v>
      </c>
      <c r="F27" s="11"/>
      <c r="G27" s="60" t="s">
        <v>15</v>
      </c>
      <c r="H27" s="61"/>
      <c r="I27" s="62"/>
      <c r="J27" s="63">
        <f>Entertainment284052[[#This Row],[Projected 
Cost]]-Entertainment284052[[#This Row],[Actual 
Cost]]</f>
        <v>0</v>
      </c>
    </row>
    <row r="28" spans="1:10" ht="16" x14ac:dyDescent="0.2">
      <c r="B28" s="43" t="s">
        <v>16</v>
      </c>
      <c r="C28" s="44"/>
      <c r="D28" s="45"/>
      <c r="E28" s="46">
        <f>Housing273951[[#This Row],[Projected
Cost]]-Housing273951[[#This Row],[Actual 
Cost]]</f>
        <v>0</v>
      </c>
      <c r="F28" s="11"/>
      <c r="G28" s="60" t="s">
        <v>15</v>
      </c>
      <c r="H28" s="61"/>
      <c r="I28" s="62"/>
      <c r="J28" s="63">
        <f>Entertainment284052[[#This Row],[Projected 
Cost]]-Entertainment284052[[#This Row],[Actual 
Cost]]</f>
        <v>0</v>
      </c>
    </row>
    <row r="29" spans="1:10" ht="16" x14ac:dyDescent="0.2">
      <c r="B29" s="43" t="s">
        <v>17</v>
      </c>
      <c r="C29" s="44"/>
      <c r="D29" s="45"/>
      <c r="E29" s="46">
        <f>Housing273951[[#This Row],[Projected
Cost]]-Housing273951[[#This Row],[Actual 
Cost]]</f>
        <v>0</v>
      </c>
      <c r="F29" s="11"/>
      <c r="G29" s="60" t="s">
        <v>15</v>
      </c>
      <c r="H29" s="61"/>
      <c r="I29" s="62"/>
      <c r="J29" s="63">
        <f>Entertainment284052[[#This Row],[Projected 
Cost]]-Entertainment284052[[#This Row],[Actual 
Cost]]</f>
        <v>0</v>
      </c>
    </row>
    <row r="30" spans="1:10" ht="17" thickBot="1" x14ac:dyDescent="0.25">
      <c r="B30" s="47" t="s">
        <v>15</v>
      </c>
      <c r="C30" s="48"/>
      <c r="D30" s="49"/>
      <c r="E30" s="50">
        <f>Housing273951[[#This Row],[Projected
Cost]]-Housing273951[[#This Row],[Actual 
Cost]]</f>
        <v>0</v>
      </c>
      <c r="F30" s="11"/>
      <c r="G30" s="51" t="s">
        <v>49</v>
      </c>
      <c r="H30" s="52">
        <f>SUBTOTAL(109,Entertainment284052[Projected 
Cost])</f>
        <v>0</v>
      </c>
      <c r="I30" s="53">
        <f>SUBTOTAL(109,Entertainment284052[Actual 
Cost])</f>
        <v>0</v>
      </c>
      <c r="J30" s="54">
        <f>SUBTOTAL(109,Entertainment284052[Difference])</f>
        <v>0</v>
      </c>
    </row>
    <row r="31" spans="1:10" ht="18" thickTop="1" thickBot="1" x14ac:dyDescent="0.25">
      <c r="B31" s="51" t="s">
        <v>49</v>
      </c>
      <c r="C31" s="52">
        <f>SUBTOTAL(109,Housing273951[Projected
Cost])</f>
        <v>0</v>
      </c>
      <c r="D31" s="53">
        <f>SUBTOTAL(109,Housing273951[Actual 
Cost])</f>
        <v>0</v>
      </c>
      <c r="E31" s="54">
        <f>SUBTOTAL(109,Housing273951[Difference])</f>
        <v>0</v>
      </c>
      <c r="F31" s="11"/>
      <c r="G31" s="12"/>
      <c r="H31" s="12"/>
      <c r="I31" s="12"/>
      <c r="J31" s="12"/>
    </row>
    <row r="32" spans="1:10" ht="38" customHeight="1" thickTop="1" x14ac:dyDescent="0.2">
      <c r="B32" s="26"/>
      <c r="C32" s="13"/>
      <c r="D32" s="13"/>
      <c r="E32" s="13"/>
      <c r="F32" s="11"/>
      <c r="G32" s="12"/>
      <c r="H32" s="12"/>
      <c r="I32" s="12"/>
      <c r="J32" s="12"/>
    </row>
    <row r="33" spans="1:10" s="2" customFormat="1" ht="16" x14ac:dyDescent="0.2">
      <c r="A33" s="8"/>
      <c r="B33" s="143" t="s">
        <v>60</v>
      </c>
      <c r="C33" s="143"/>
      <c r="D33" s="143"/>
      <c r="E33" s="143"/>
      <c r="F33" s="11"/>
      <c r="G33" s="144" t="s">
        <v>61</v>
      </c>
      <c r="H33" s="144"/>
      <c r="I33" s="144"/>
      <c r="J33" s="144"/>
    </row>
    <row r="34" spans="1:10" ht="30" x14ac:dyDescent="0.2">
      <c r="B34" s="64" t="s">
        <v>75</v>
      </c>
      <c r="C34" s="36" t="s">
        <v>59</v>
      </c>
      <c r="D34" s="37" t="s">
        <v>58</v>
      </c>
      <c r="E34" s="38" t="s">
        <v>3</v>
      </c>
      <c r="F34" s="11"/>
      <c r="G34" s="65" t="s">
        <v>75</v>
      </c>
      <c r="H34" s="66" t="s">
        <v>59</v>
      </c>
      <c r="I34" s="67" t="s">
        <v>58</v>
      </c>
      <c r="J34" s="68" t="s">
        <v>3</v>
      </c>
    </row>
    <row r="35" spans="1:10" ht="16" x14ac:dyDescent="0.2">
      <c r="B35" s="60" t="s">
        <v>19</v>
      </c>
      <c r="C35" s="61"/>
      <c r="D35" s="62"/>
      <c r="E35" s="63">
        <f>Transportation304254[[#This Row],[Projected 
Cost]]-Transportation304254[[#This Row],[Actual 
Cost]]</f>
        <v>0</v>
      </c>
      <c r="F35" s="11"/>
      <c r="G35" s="60" t="s">
        <v>18</v>
      </c>
      <c r="H35" s="61"/>
      <c r="I35" s="62"/>
      <c r="J35" s="63">
        <f>Loans294153[[#This Row],[Projected 
Cost]]-Loans294153[[#This Row],[Actual 
Cost]]</f>
        <v>0</v>
      </c>
    </row>
    <row r="36" spans="1:10" ht="16" x14ac:dyDescent="0.2">
      <c r="B36" s="60" t="s">
        <v>21</v>
      </c>
      <c r="C36" s="61"/>
      <c r="D36" s="62"/>
      <c r="E36" s="63">
        <f>Transportation304254[[#This Row],[Projected 
Cost]]-Transportation304254[[#This Row],[Actual 
Cost]]</f>
        <v>0</v>
      </c>
      <c r="F36" s="11"/>
      <c r="G36" s="60" t="s">
        <v>20</v>
      </c>
      <c r="H36" s="61"/>
      <c r="I36" s="62"/>
      <c r="J36" s="63">
        <f>Loans294153[[#This Row],[Projected 
Cost]]-Loans294153[[#This Row],[Actual 
Cost]]</f>
        <v>0</v>
      </c>
    </row>
    <row r="37" spans="1:10" ht="16" x14ac:dyDescent="0.2">
      <c r="B37" s="60" t="s">
        <v>23</v>
      </c>
      <c r="C37" s="61"/>
      <c r="D37" s="62"/>
      <c r="E37" s="63">
        <f>Transportation304254[[#This Row],[Projected 
Cost]]-Transportation304254[[#This Row],[Actual 
Cost]]</f>
        <v>0</v>
      </c>
      <c r="F37" s="11"/>
      <c r="G37" s="60" t="s">
        <v>22</v>
      </c>
      <c r="H37" s="61"/>
      <c r="I37" s="62"/>
      <c r="J37" s="63">
        <f>Loans294153[[#This Row],[Projected 
Cost]]-Loans294153[[#This Row],[Actual 
Cost]]</f>
        <v>0</v>
      </c>
    </row>
    <row r="38" spans="1:10" ht="16" x14ac:dyDescent="0.2">
      <c r="B38" s="60" t="s">
        <v>24</v>
      </c>
      <c r="C38" s="61"/>
      <c r="D38" s="62"/>
      <c r="E38" s="63">
        <f>Transportation304254[[#This Row],[Projected 
Cost]]-Transportation304254[[#This Row],[Actual 
Cost]]</f>
        <v>0</v>
      </c>
      <c r="F38" s="11"/>
      <c r="G38" s="60" t="s">
        <v>22</v>
      </c>
      <c r="H38" s="61"/>
      <c r="I38" s="62"/>
      <c r="J38" s="63">
        <f>Loans294153[[#This Row],[Projected 
Cost]]-Loans294153[[#This Row],[Actual 
Cost]]</f>
        <v>0</v>
      </c>
    </row>
    <row r="39" spans="1:10" ht="16" x14ac:dyDescent="0.2">
      <c r="B39" s="60" t="s">
        <v>25</v>
      </c>
      <c r="C39" s="61"/>
      <c r="D39" s="62"/>
      <c r="E39" s="63">
        <f>Transportation304254[[#This Row],[Projected 
Cost]]-Transportation304254[[#This Row],[Actual 
Cost]]</f>
        <v>0</v>
      </c>
      <c r="F39" s="11"/>
      <c r="G39" s="60" t="s">
        <v>22</v>
      </c>
      <c r="H39" s="61"/>
      <c r="I39" s="62"/>
      <c r="J39" s="63">
        <f>Loans294153[[#This Row],[Projected 
Cost]]-Loans294153[[#This Row],[Actual 
Cost]]</f>
        <v>0</v>
      </c>
    </row>
    <row r="40" spans="1:10" ht="16" x14ac:dyDescent="0.2">
      <c r="B40" s="60" t="s">
        <v>26</v>
      </c>
      <c r="C40" s="61"/>
      <c r="D40" s="62"/>
      <c r="E40" s="63">
        <f>Transportation304254[[#This Row],[Projected 
Cost]]-Transportation304254[[#This Row],[Actual 
Cost]]</f>
        <v>0</v>
      </c>
      <c r="F40" s="11"/>
      <c r="G40" s="60" t="s">
        <v>15</v>
      </c>
      <c r="H40" s="61"/>
      <c r="I40" s="62"/>
      <c r="J40" s="63">
        <f>Loans294153[[#This Row],[Projected 
Cost]]-Loans294153[[#This Row],[Actual 
Cost]]</f>
        <v>0</v>
      </c>
    </row>
    <row r="41" spans="1:10" ht="17" thickBot="1" x14ac:dyDescent="0.25">
      <c r="B41" s="60" t="s">
        <v>15</v>
      </c>
      <c r="C41" s="61"/>
      <c r="D41" s="62"/>
      <c r="E41" s="63">
        <f>Transportation304254[[#This Row],[Projected 
Cost]]-Transportation304254[[#This Row],[Actual 
Cost]]</f>
        <v>0</v>
      </c>
      <c r="F41" s="11"/>
      <c r="G41" s="51" t="s">
        <v>49</v>
      </c>
      <c r="H41" s="52">
        <f>SUBTOTAL(109,Loans294153[Projected 
Cost])</f>
        <v>0</v>
      </c>
      <c r="I41" s="53">
        <f>SUBTOTAL(109,Loans294153[Actual 
Cost])</f>
        <v>0</v>
      </c>
      <c r="J41" s="54">
        <f>SUBTOTAL(109,Loans294153[Difference])</f>
        <v>0</v>
      </c>
    </row>
    <row r="42" spans="1:10" ht="18" thickTop="1" thickBot="1" x14ac:dyDescent="0.25">
      <c r="B42" s="51" t="s">
        <v>49</v>
      </c>
      <c r="C42" s="52">
        <f>SUBTOTAL(109,Transportation304254[Projected 
Cost])</f>
        <v>0</v>
      </c>
      <c r="D42" s="53">
        <f>SUBTOTAL(109,Transportation304254[Actual 
Cost])</f>
        <v>0</v>
      </c>
      <c r="E42" s="54">
        <f>SUBTOTAL(109,Transportation304254[Difference])</f>
        <v>0</v>
      </c>
      <c r="F42" s="11"/>
      <c r="G42" s="26"/>
      <c r="H42" s="14"/>
      <c r="I42" s="14"/>
      <c r="J42" s="14"/>
    </row>
    <row r="43" spans="1:10" ht="38" customHeight="1" thickTop="1" x14ac:dyDescent="0.2">
      <c r="B43" s="27"/>
      <c r="C43" s="15"/>
      <c r="D43" s="15"/>
      <c r="E43" s="13"/>
      <c r="F43" s="11"/>
      <c r="G43" s="145"/>
      <c r="H43" s="145"/>
      <c r="I43" s="145"/>
      <c r="J43" s="145"/>
    </row>
    <row r="44" spans="1:10" s="2" customFormat="1" ht="16" x14ac:dyDescent="0.2">
      <c r="A44" s="8"/>
      <c r="B44" s="132" t="s">
        <v>23</v>
      </c>
      <c r="C44" s="132"/>
      <c r="D44" s="132"/>
      <c r="E44" s="132"/>
      <c r="F44" s="11"/>
      <c r="G44" s="133" t="s">
        <v>63</v>
      </c>
      <c r="H44" s="133"/>
      <c r="I44" s="133"/>
      <c r="J44" s="133"/>
    </row>
    <row r="45" spans="1:10" ht="34" x14ac:dyDescent="0.2">
      <c r="B45" s="72" t="s">
        <v>75</v>
      </c>
      <c r="C45" s="73" t="s">
        <v>59</v>
      </c>
      <c r="D45" s="74" t="s">
        <v>58</v>
      </c>
      <c r="E45" s="75" t="s">
        <v>3</v>
      </c>
      <c r="F45" s="11"/>
      <c r="G45" s="76" t="s">
        <v>75</v>
      </c>
      <c r="H45" s="77" t="s">
        <v>59</v>
      </c>
      <c r="I45" s="78" t="s">
        <v>58</v>
      </c>
      <c r="J45" s="79" t="s">
        <v>3</v>
      </c>
    </row>
    <row r="46" spans="1:10" ht="16" x14ac:dyDescent="0.2">
      <c r="B46" s="80" t="s">
        <v>27</v>
      </c>
      <c r="C46" s="81"/>
      <c r="D46" s="82"/>
      <c r="E46" s="83">
        <f>Insurance314355[[#This Row],[Projected 
Cost]]-Insurance314355[[#This Row],[Actual 
Cost]]</f>
        <v>0</v>
      </c>
      <c r="F46" s="11"/>
      <c r="G46" s="84" t="s">
        <v>30</v>
      </c>
      <c r="H46" s="85"/>
      <c r="I46" s="86"/>
      <c r="J46" s="87">
        <f>Savings324456[[#This Row],[Projected 
Cost]]-Savings324456[[#This Row],[Actual 
Cost]]</f>
        <v>0</v>
      </c>
    </row>
    <row r="47" spans="1:10" ht="16" x14ac:dyDescent="0.2">
      <c r="B47" s="80" t="s">
        <v>28</v>
      </c>
      <c r="C47" s="81"/>
      <c r="D47" s="82"/>
      <c r="E47" s="83">
        <f>Insurance314355[[#This Row],[Projected 
Cost]]-Insurance314355[[#This Row],[Actual 
Cost]]</f>
        <v>0</v>
      </c>
      <c r="F47" s="11"/>
      <c r="G47" s="88" t="s">
        <v>31</v>
      </c>
      <c r="H47" s="89"/>
      <c r="I47" s="90"/>
      <c r="J47" s="91">
        <f>Savings324456[[#This Row],[Projected 
Cost]]-Savings324456[[#This Row],[Actual 
Cost]]</f>
        <v>0</v>
      </c>
    </row>
    <row r="48" spans="1:10" ht="16" x14ac:dyDescent="0.2">
      <c r="B48" s="80" t="s">
        <v>29</v>
      </c>
      <c r="C48" s="81"/>
      <c r="D48" s="82"/>
      <c r="E48" s="83">
        <f>Insurance314355[[#This Row],[Projected 
Cost]]-Insurance314355[[#This Row],[Actual 
Cost]]</f>
        <v>0</v>
      </c>
      <c r="F48" s="11"/>
      <c r="G48" s="88" t="s">
        <v>15</v>
      </c>
      <c r="H48" s="89"/>
      <c r="I48" s="90"/>
      <c r="J48" s="91">
        <f>Savings324456[[#This Row],[Projected 
Cost]]-Savings324456[[#This Row],[Actual 
Cost]]</f>
        <v>0</v>
      </c>
    </row>
    <row r="49" spans="1:10" ht="17" thickBot="1" x14ac:dyDescent="0.25">
      <c r="B49" s="80" t="s">
        <v>15</v>
      </c>
      <c r="C49" s="81"/>
      <c r="D49" s="82"/>
      <c r="E49" s="83">
        <f>Insurance314355[[#This Row],[Projected 
Cost]]-Insurance314355[[#This Row],[Actual 
Cost]]</f>
        <v>0</v>
      </c>
      <c r="F49" s="11"/>
      <c r="G49" s="92" t="s">
        <v>49</v>
      </c>
      <c r="H49" s="93">
        <f>SUBTOTAL(109,Savings324456[Projected 
Cost])</f>
        <v>0</v>
      </c>
      <c r="I49" s="94">
        <f>SUBTOTAL(109,Savings324456[Actual 
Cost])</f>
        <v>0</v>
      </c>
      <c r="J49" s="95">
        <f>SUBTOTAL(109,Savings324456[Difference])</f>
        <v>0</v>
      </c>
    </row>
    <row r="50" spans="1:10" ht="18" thickTop="1" thickBot="1" x14ac:dyDescent="0.25">
      <c r="B50" s="55" t="s">
        <v>49</v>
      </c>
      <c r="C50" s="56">
        <f>SUBTOTAL(109,Insurance314355[Projected 
Cost])</f>
        <v>0</v>
      </c>
      <c r="D50" s="57">
        <f>SUBTOTAL(109,Insurance314355[Actual 
Cost])</f>
        <v>0</v>
      </c>
      <c r="E50" s="58">
        <f>SUBTOTAL(109,Insurance314355[Difference])</f>
        <v>0</v>
      </c>
      <c r="F50" s="11"/>
      <c r="G50" s="11"/>
      <c r="H50" s="11"/>
      <c r="I50" s="11"/>
      <c r="J50" s="11"/>
    </row>
    <row r="51" spans="1:10" ht="38" customHeight="1" thickTop="1" x14ac:dyDescent="0.2">
      <c r="B51" s="16"/>
      <c r="C51" s="17"/>
      <c r="D51" s="17"/>
      <c r="E51" s="18"/>
      <c r="F51" s="11"/>
      <c r="G51" s="20"/>
      <c r="H51" s="21"/>
      <c r="I51" s="21"/>
      <c r="J51" s="21"/>
    </row>
    <row r="52" spans="1:10" s="2" customFormat="1" ht="16" x14ac:dyDescent="0.2">
      <c r="A52" s="8"/>
      <c r="B52" s="144" t="s">
        <v>36</v>
      </c>
      <c r="C52" s="144"/>
      <c r="D52" s="144"/>
      <c r="E52" s="144"/>
      <c r="F52" s="11"/>
      <c r="G52" s="144" t="s">
        <v>64</v>
      </c>
      <c r="H52" s="144"/>
      <c r="I52" s="144"/>
      <c r="J52" s="144"/>
    </row>
    <row r="53" spans="1:10" ht="30" x14ac:dyDescent="0.2">
      <c r="B53" s="59" t="s">
        <v>75</v>
      </c>
      <c r="C53" s="36" t="s">
        <v>59</v>
      </c>
      <c r="D53" s="37" t="s">
        <v>58</v>
      </c>
      <c r="E53" s="38" t="s">
        <v>3</v>
      </c>
      <c r="F53" s="11"/>
      <c r="G53" s="59" t="s">
        <v>75</v>
      </c>
      <c r="H53" s="36" t="s">
        <v>59</v>
      </c>
      <c r="I53" s="37" t="s">
        <v>58</v>
      </c>
      <c r="J53" s="38" t="s">
        <v>3</v>
      </c>
    </row>
    <row r="54" spans="1:10" ht="16" x14ac:dyDescent="0.2">
      <c r="B54" s="60" t="s">
        <v>32</v>
      </c>
      <c r="C54" s="61"/>
      <c r="D54" s="62"/>
      <c r="E54" s="63">
        <f>Food334557[[#This Row],[Projected 
Cost]]-Food334557[[#This Row],[Actual 
Cost]]</f>
        <v>0</v>
      </c>
      <c r="F54" s="11"/>
      <c r="G54" s="96" t="s">
        <v>34</v>
      </c>
      <c r="H54" s="97"/>
      <c r="I54" s="98"/>
      <c r="J54" s="99">
        <f>Gifts344658[[#This Row],[Projected 
Cost]]-Gifts344658[[#This Row],[Actual 
Cost]]</f>
        <v>0</v>
      </c>
    </row>
    <row r="55" spans="1:10" ht="16" x14ac:dyDescent="0.2">
      <c r="B55" s="60" t="s">
        <v>33</v>
      </c>
      <c r="C55" s="61"/>
      <c r="D55" s="62"/>
      <c r="E55" s="63">
        <f>Food334557[[#This Row],[Projected 
Cost]]-Food334557[[#This Row],[Actual 
Cost]]</f>
        <v>0</v>
      </c>
      <c r="F55" s="11"/>
      <c r="G55" s="60" t="s">
        <v>35</v>
      </c>
      <c r="H55" s="61"/>
      <c r="I55" s="62"/>
      <c r="J55" s="63">
        <f>Gifts344658[[#This Row],[Projected 
Cost]]-Gifts344658[[#This Row],[Actual 
Cost]]</f>
        <v>0</v>
      </c>
    </row>
    <row r="56" spans="1:10" ht="16" x14ac:dyDescent="0.2">
      <c r="B56" s="60" t="s">
        <v>15</v>
      </c>
      <c r="C56" s="61"/>
      <c r="D56" s="62"/>
      <c r="E56" s="63">
        <f>Food334557[[#This Row],[Projected 
Cost]]-Food334557[[#This Row],[Actual 
Cost]]</f>
        <v>0</v>
      </c>
      <c r="F56" s="11"/>
      <c r="G56" s="60" t="s">
        <v>37</v>
      </c>
      <c r="H56" s="61"/>
      <c r="I56" s="62"/>
      <c r="J56" s="63">
        <f>Gifts344658[[#This Row],[Projected 
Cost]]-Gifts344658[[#This Row],[Actual 
Cost]]</f>
        <v>0</v>
      </c>
    </row>
    <row r="57" spans="1:10" ht="17" thickBot="1" x14ac:dyDescent="0.25">
      <c r="B57" s="51" t="s">
        <v>49</v>
      </c>
      <c r="C57" s="52">
        <f>SUBTOTAL(109,Food334557[Projected 
Cost])</f>
        <v>0</v>
      </c>
      <c r="D57" s="53">
        <f>SUBTOTAL(109,Food334557[Actual 
Cost])</f>
        <v>0</v>
      </c>
      <c r="E57" s="54">
        <f>SUBTOTAL(109,Food334557[Difference])</f>
        <v>0</v>
      </c>
      <c r="F57" s="11"/>
      <c r="G57" s="51" t="s">
        <v>49</v>
      </c>
      <c r="H57" s="52">
        <f>SUBTOTAL(109,Gifts344658[Projected 
Cost])</f>
        <v>0</v>
      </c>
      <c r="I57" s="53">
        <f>SUBTOTAL(109,Gifts344658[Actual 
Cost])</f>
        <v>0</v>
      </c>
      <c r="J57" s="54">
        <f>SUBTOTAL(109,Gifts344658[Difference])</f>
        <v>0</v>
      </c>
    </row>
    <row r="58" spans="1:10" ht="38" customHeight="1" thickTop="1" x14ac:dyDescent="0.2">
      <c r="B58" s="19"/>
      <c r="C58" s="14"/>
      <c r="D58" s="14"/>
      <c r="E58" s="14"/>
      <c r="F58" s="11"/>
      <c r="G58" s="26"/>
      <c r="H58" s="15"/>
      <c r="I58" s="15"/>
      <c r="J58" s="13"/>
    </row>
    <row r="59" spans="1:10" s="2" customFormat="1" ht="16" x14ac:dyDescent="0.2">
      <c r="A59" s="8"/>
      <c r="B59" s="144" t="s">
        <v>62</v>
      </c>
      <c r="C59" s="144"/>
      <c r="D59" s="144"/>
      <c r="E59" s="144"/>
      <c r="F59" s="11"/>
      <c r="G59" s="144" t="s">
        <v>65</v>
      </c>
      <c r="H59" s="144"/>
      <c r="I59" s="144"/>
      <c r="J59" s="144"/>
    </row>
    <row r="60" spans="1:10" ht="30" x14ac:dyDescent="0.2">
      <c r="B60" s="104" t="s">
        <v>75</v>
      </c>
      <c r="C60" s="66" t="s">
        <v>59</v>
      </c>
      <c r="D60" s="67" t="s">
        <v>58</v>
      </c>
      <c r="E60" s="68" t="s">
        <v>3</v>
      </c>
      <c r="F60" s="11"/>
      <c r="G60" s="59" t="s">
        <v>75</v>
      </c>
      <c r="H60" s="36" t="s">
        <v>59</v>
      </c>
      <c r="I60" s="37" t="s">
        <v>58</v>
      </c>
      <c r="J60" s="38" t="s">
        <v>3</v>
      </c>
    </row>
    <row r="61" spans="1:10" ht="16" x14ac:dyDescent="0.2">
      <c r="B61" s="96" t="s">
        <v>36</v>
      </c>
      <c r="C61" s="97"/>
      <c r="D61" s="98"/>
      <c r="E61" s="99">
        <f>Pets354759[[#This Row],[Projected 
Cost]]-Pets354759[[#This Row],[Actual 
Cost]]</f>
        <v>0</v>
      </c>
      <c r="F61" s="11"/>
      <c r="G61" s="96" t="s">
        <v>41</v>
      </c>
      <c r="H61" s="97"/>
      <c r="I61" s="98"/>
      <c r="J61" s="99">
        <f>Legal364860[[#This Row],[Projected 
Cost]]-Legal364860[[#This Row],[Actual 
Cost]]</f>
        <v>0</v>
      </c>
    </row>
    <row r="62" spans="1:10" ht="16" x14ac:dyDescent="0.2">
      <c r="B62" s="60" t="s">
        <v>38</v>
      </c>
      <c r="C62" s="61"/>
      <c r="D62" s="62"/>
      <c r="E62" s="63">
        <f>Pets354759[[#This Row],[Projected 
Cost]]-Pets354759[[#This Row],[Actual 
Cost]]</f>
        <v>0</v>
      </c>
      <c r="F62" s="11"/>
      <c r="G62" s="60" t="s">
        <v>42</v>
      </c>
      <c r="H62" s="61"/>
      <c r="I62" s="62"/>
      <c r="J62" s="63">
        <f>Legal364860[[#This Row],[Projected 
Cost]]-Legal364860[[#This Row],[Actual 
Cost]]</f>
        <v>0</v>
      </c>
    </row>
    <row r="63" spans="1:10" ht="16" x14ac:dyDescent="0.2">
      <c r="B63" s="60" t="s">
        <v>39</v>
      </c>
      <c r="C63" s="61"/>
      <c r="D63" s="62"/>
      <c r="E63" s="63">
        <f>Pets354759[[#This Row],[Projected 
Cost]]-Pets354759[[#This Row],[Actual 
Cost]]</f>
        <v>0</v>
      </c>
      <c r="F63" s="11"/>
      <c r="G63" s="60" t="s">
        <v>43</v>
      </c>
      <c r="H63" s="61"/>
      <c r="I63" s="62"/>
      <c r="J63" s="63">
        <f>Legal364860[[#This Row],[Projected 
Cost]]-Legal364860[[#This Row],[Actual 
Cost]]</f>
        <v>0</v>
      </c>
    </row>
    <row r="64" spans="1:10" ht="16" x14ac:dyDescent="0.2">
      <c r="B64" s="60" t="s">
        <v>40</v>
      </c>
      <c r="C64" s="61"/>
      <c r="D64" s="62"/>
      <c r="E64" s="63">
        <f>Pets354759[[#This Row],[Projected 
Cost]]-Pets354759[[#This Row],[Actual 
Cost]]</f>
        <v>0</v>
      </c>
      <c r="F64" s="11"/>
      <c r="G64" s="60" t="s">
        <v>15</v>
      </c>
      <c r="H64" s="61"/>
      <c r="I64" s="62"/>
      <c r="J64" s="63">
        <f>Legal364860[[#This Row],[Projected 
Cost]]-Legal364860[[#This Row],[Actual 
Cost]]</f>
        <v>0</v>
      </c>
    </row>
    <row r="65" spans="1:10" ht="17" thickBot="1" x14ac:dyDescent="0.25">
      <c r="B65" s="60" t="s">
        <v>15</v>
      </c>
      <c r="C65" s="61"/>
      <c r="D65" s="62"/>
      <c r="E65" s="63">
        <f>Pets354759[[#This Row],[Projected 
Cost]]-Pets354759[[#This Row],[Actual 
Cost]]</f>
        <v>0</v>
      </c>
      <c r="F65" s="11"/>
      <c r="G65" s="51" t="s">
        <v>49</v>
      </c>
      <c r="H65" s="52">
        <f>SUBTOTAL(109,Legal364860[Projected 
Cost])</f>
        <v>0</v>
      </c>
      <c r="I65" s="53">
        <f>SUBTOTAL(109,Legal364860[Actual 
Cost])</f>
        <v>0</v>
      </c>
      <c r="J65" s="54">
        <f>SUBTOTAL(109,Legal364860[Difference])</f>
        <v>0</v>
      </c>
    </row>
    <row r="66" spans="1:10" ht="18" thickTop="1" thickBot="1" x14ac:dyDescent="0.25">
      <c r="B66" s="51" t="s">
        <v>49</v>
      </c>
      <c r="C66" s="52">
        <f>SUBTOTAL(109,Pets354759[Projected 
Cost])</f>
        <v>0</v>
      </c>
      <c r="D66" s="53">
        <f>SUBTOTAL(109,Pets354759[Actual 
Cost])</f>
        <v>0</v>
      </c>
      <c r="E66" s="54">
        <f>SUBTOTAL(109,Pets354759[Difference])</f>
        <v>0</v>
      </c>
      <c r="F66" s="11"/>
      <c r="G66" s="12"/>
      <c r="H66" s="12"/>
      <c r="I66" s="12"/>
      <c r="J66" s="12"/>
    </row>
    <row r="67" spans="1:10" ht="38" customHeight="1" thickTop="1" x14ac:dyDescent="0.2">
      <c r="B67" s="27"/>
      <c r="C67" s="28"/>
      <c r="D67" s="28"/>
      <c r="E67" s="28"/>
      <c r="F67" s="11"/>
      <c r="G67" s="12"/>
      <c r="H67" s="12"/>
      <c r="I67" s="12"/>
      <c r="J67" s="12"/>
    </row>
    <row r="68" spans="1:10" s="2" customFormat="1" ht="16" x14ac:dyDescent="0.2">
      <c r="A68" s="8"/>
      <c r="B68" s="144" t="s">
        <v>66</v>
      </c>
      <c r="C68" s="144"/>
      <c r="D68" s="144"/>
      <c r="E68" s="144"/>
      <c r="F68" s="11"/>
      <c r="G68" s="12"/>
      <c r="H68" s="12"/>
      <c r="I68" s="12"/>
      <c r="J68" s="12"/>
    </row>
    <row r="69" spans="1:10" ht="30" x14ac:dyDescent="0.2">
      <c r="B69" s="59" t="s">
        <v>75</v>
      </c>
      <c r="C69" s="36" t="s">
        <v>59</v>
      </c>
      <c r="D69" s="37" t="s">
        <v>58</v>
      </c>
      <c r="E69" s="38" t="s">
        <v>3</v>
      </c>
      <c r="F69" s="11"/>
      <c r="G69" s="12"/>
      <c r="H69" s="12"/>
      <c r="I69" s="12"/>
      <c r="J69" s="12"/>
    </row>
    <row r="70" spans="1:10" ht="16" x14ac:dyDescent="0.2">
      <c r="B70" s="96" t="s">
        <v>38</v>
      </c>
      <c r="C70" s="97"/>
      <c r="D70" s="98"/>
      <c r="E70" s="99">
        <f>PersonalCare374961[[#This Row],[Projected 
Cost]]-PersonalCare374961[[#This Row],[Actual 
Cost]]</f>
        <v>0</v>
      </c>
      <c r="F70" s="11"/>
      <c r="G70" s="150" t="s">
        <v>52</v>
      </c>
      <c r="H70" s="150"/>
      <c r="I70" s="150"/>
      <c r="J70" s="151">
        <f>Housing273951[[#Totals],[Projected
Cost]]+Entertainment284052[[#Totals],[Projected 
Cost]]+Transportation304254[[#Totals],[Projected 
Cost]]+Loans294153[[#Totals],[Projected 
Cost]]+Insurance314355[[#Totals],[Projected 
Cost]]+Savings324456[[#Totals],[Projected 
Cost]]+Food334557[[#Totals],[Projected 
Cost]]+Gifts344658[[#Totals],[Projected 
Cost]]+Pets354759[[#Totals],[Projected 
Cost]]+Legal364860[[#Totals],[Projected 
Cost]]+PersonalCare374961[[#Totals],[Projected 
Cost]]</f>
        <v>0</v>
      </c>
    </row>
    <row r="71" spans="1:10" ht="16" x14ac:dyDescent="0.2">
      <c r="B71" s="60" t="s">
        <v>44</v>
      </c>
      <c r="C71" s="61"/>
      <c r="D71" s="62"/>
      <c r="E71" s="63">
        <f>PersonalCare374961[[#This Row],[Projected 
Cost]]-PersonalCare374961[[#This Row],[Actual 
Cost]]</f>
        <v>0</v>
      </c>
      <c r="F71" s="11"/>
      <c r="G71" s="150"/>
      <c r="H71" s="150"/>
      <c r="I71" s="150"/>
      <c r="J71" s="151"/>
    </row>
    <row r="72" spans="1:10" ht="16" x14ac:dyDescent="0.2">
      <c r="B72" s="60" t="s">
        <v>45</v>
      </c>
      <c r="C72" s="61"/>
      <c r="D72" s="62"/>
      <c r="E72" s="63">
        <f>PersonalCare374961[[#This Row],[Projected 
Cost]]-PersonalCare374961[[#This Row],[Actual 
Cost]]</f>
        <v>0</v>
      </c>
      <c r="F72" s="11"/>
      <c r="G72" s="146" t="s">
        <v>53</v>
      </c>
      <c r="H72" s="146"/>
      <c r="I72" s="146"/>
      <c r="J72" s="147">
        <f>Housing273951[[#Totals],[Actual 
Cost]]+Entertainment284052[[#Totals],[Actual 
Cost]]+Transportation304254[[#Totals],[Actual 
Cost]]+Loans294153[[#Totals],[Actual 
Cost]]+Insurance314355[[#Totals],[Actual 
Cost]]+Food334557[[#Totals],[Actual 
Cost]]+Gifts344658[[#Totals],[Actual 
Cost]]+Pets354759[[#Totals],[Actual 
Cost]]+Legal364860[[#Totals],[Actual 
Cost]]+PersonalCare374961[[#Totals],[Actual 
Cost]]</f>
        <v>0</v>
      </c>
    </row>
    <row r="73" spans="1:10" ht="16" x14ac:dyDescent="0.2">
      <c r="B73" s="60" t="s">
        <v>46</v>
      </c>
      <c r="C73" s="61"/>
      <c r="D73" s="62"/>
      <c r="E73" s="63">
        <f>PersonalCare374961[[#This Row],[Projected 
Cost]]-PersonalCare374961[[#This Row],[Actual 
Cost]]</f>
        <v>0</v>
      </c>
      <c r="F73" s="11"/>
      <c r="G73" s="146"/>
      <c r="H73" s="146"/>
      <c r="I73" s="146"/>
      <c r="J73" s="147"/>
    </row>
    <row r="74" spans="1:10" ht="16" x14ac:dyDescent="0.2">
      <c r="B74" s="60" t="s">
        <v>47</v>
      </c>
      <c r="C74" s="61"/>
      <c r="D74" s="62"/>
      <c r="E74" s="63">
        <f>PersonalCare374961[[#This Row],[Projected 
Cost]]-PersonalCare374961[[#This Row],[Actual 
Cost]]</f>
        <v>0</v>
      </c>
      <c r="F74" s="11"/>
      <c r="G74" s="148" t="s">
        <v>54</v>
      </c>
      <c r="H74" s="148"/>
      <c r="I74" s="148"/>
      <c r="J74" s="149">
        <f>J70-J72</f>
        <v>0</v>
      </c>
    </row>
    <row r="75" spans="1:10" ht="16" x14ac:dyDescent="0.2">
      <c r="B75" s="60" t="s">
        <v>48</v>
      </c>
      <c r="C75" s="61"/>
      <c r="D75" s="62"/>
      <c r="E75" s="63">
        <f>PersonalCare374961[[#This Row],[Projected 
Cost]]-PersonalCare374961[[#This Row],[Actual 
Cost]]</f>
        <v>0</v>
      </c>
      <c r="F75" s="11"/>
      <c r="G75" s="148"/>
      <c r="H75" s="148"/>
      <c r="I75" s="148"/>
      <c r="J75" s="149"/>
    </row>
    <row r="76" spans="1:10" ht="16" x14ac:dyDescent="0.2">
      <c r="B76" s="100" t="s">
        <v>15</v>
      </c>
      <c r="C76" s="101"/>
      <c r="D76" s="102"/>
      <c r="E76" s="103">
        <f>PersonalCare374961[[#This Row],[Projected 
Cost]]-PersonalCare374961[[#This Row],[Actual 
Cost]]</f>
        <v>0</v>
      </c>
      <c r="F76" s="11"/>
    </row>
    <row r="77" spans="1:10" ht="17" thickBot="1" x14ac:dyDescent="0.25">
      <c r="B77" s="51" t="s">
        <v>49</v>
      </c>
      <c r="C77" s="52">
        <f>SUBTOTAL(109,PersonalCare374961[Projected 
Cost])</f>
        <v>0</v>
      </c>
      <c r="D77" s="53">
        <f>SUBTOTAL(109,PersonalCare374961[Actual 
Cost])</f>
        <v>0</v>
      </c>
      <c r="E77" s="54">
        <f>SUBTOTAL(109,PersonalCare374961[Difference])</f>
        <v>0</v>
      </c>
      <c r="F77" s="11"/>
    </row>
    <row r="78" spans="1:10" ht="17" thickTop="1" x14ac:dyDescent="0.2">
      <c r="B78" s="12"/>
      <c r="C78" s="12"/>
      <c r="D78" s="12"/>
      <c r="E78" s="12"/>
      <c r="F78" s="11"/>
    </row>
    <row r="79" spans="1:10" ht="16" x14ac:dyDescent="0.2">
      <c r="B79" s="11"/>
      <c r="C79" s="11"/>
      <c r="D79" s="11"/>
      <c r="E79" s="11"/>
      <c r="F79" s="11"/>
    </row>
    <row r="80" spans="1:10" ht="16" x14ac:dyDescent="0.2">
      <c r="B80" s="11"/>
      <c r="C80" s="11"/>
      <c r="D80" s="11"/>
      <c r="E80" s="11"/>
      <c r="F80" s="11"/>
    </row>
    <row r="81" spans="2:6" ht="16" x14ac:dyDescent="0.2">
      <c r="B81" s="11"/>
      <c r="C81" s="11"/>
      <c r="D81" s="11"/>
      <c r="E81" s="11"/>
      <c r="F81" s="11"/>
    </row>
    <row r="82" spans="2:6" ht="16" x14ac:dyDescent="0.2">
      <c r="B82" s="11"/>
      <c r="C82" s="11"/>
      <c r="D82" s="11"/>
      <c r="E82" s="11"/>
      <c r="F82" s="11"/>
    </row>
    <row r="83" spans="2:6" ht="16" x14ac:dyDescent="0.2">
      <c r="B83" s="11"/>
      <c r="C83" s="11"/>
      <c r="D83" s="11"/>
      <c r="E83" s="11"/>
      <c r="F83" s="11"/>
    </row>
    <row r="84" spans="2:6" ht="25" customHeight="1" x14ac:dyDescent="0.2">
      <c r="F84" s="5"/>
    </row>
    <row r="85" spans="2:6" ht="25" customHeight="1" x14ac:dyDescent="0.2">
      <c r="F85" s="5"/>
    </row>
    <row r="86" spans="2:6" ht="25" customHeight="1" x14ac:dyDescent="0.2">
      <c r="F86" s="5"/>
    </row>
  </sheetData>
  <mergeCells count="25">
    <mergeCell ref="G72:I73"/>
    <mergeCell ref="J72:J73"/>
    <mergeCell ref="G74:I75"/>
    <mergeCell ref="J74:J75"/>
    <mergeCell ref="B52:E52"/>
    <mergeCell ref="G52:J52"/>
    <mergeCell ref="B59:E59"/>
    <mergeCell ref="G59:J59"/>
    <mergeCell ref="B68:E68"/>
    <mergeCell ref="G70:I71"/>
    <mergeCell ref="J70:J71"/>
    <mergeCell ref="B44:E44"/>
    <mergeCell ref="G44:J44"/>
    <mergeCell ref="B1:J2"/>
    <mergeCell ref="E4:G6"/>
    <mergeCell ref="H4:H6"/>
    <mergeCell ref="E7:G9"/>
    <mergeCell ref="H7:H9"/>
    <mergeCell ref="E10:G11"/>
    <mergeCell ref="H10:H11"/>
    <mergeCell ref="B19:E19"/>
    <mergeCell ref="G19:J19"/>
    <mergeCell ref="B33:E33"/>
    <mergeCell ref="G33:J33"/>
    <mergeCell ref="G43:J43"/>
  </mergeCells>
  <dataValidations count="11">
    <dataValidation allowBlank="1" showInputMessage="1" showErrorMessage="1" prompt="Total Projected Cost is auto calculated in cell J61, Total Actual Cost in J63, and Total Difference in J65." sqref="A81" xr:uid="{B8DCAF1C-AEB2-4695-8459-DF3D4AED3160}"/>
    <dataValidation allowBlank="1" showInputMessage="1" showErrorMessage="1" prompt="Enter details in Personal Care table starting in cell at right and in Legal table starting in cell G54. Next instruction is in cell A61." sqref="A78" xr:uid="{459FE119-004E-4298-8A4E-E2A2EE7DA242}"/>
    <dataValidation allowBlank="1" showInputMessage="1" showErrorMessage="1" prompt="Enter details in Pets table starting in cell at right and in Gifts table starting in cell G48. Next instruction is in cell A58." sqref="A64:A70" xr:uid="{96F76B54-4B6E-4051-875D-4E31B2820302}"/>
    <dataValidation allowBlank="1" showInputMessage="1" showErrorMessage="1" prompt="Enter details in Food table starting in cell at right and in Savings table starting in cell G42. Next instruction is in cell A50." sqref="A56" xr:uid="{9E430250-8689-48BF-9B89-A3F3CADFA1B0}"/>
    <dataValidation allowBlank="1" showInputMessage="1" showErrorMessage="1" prompt="Enter details in Insurance table starting in cell at right and in Taxes table starting in cell G35. Next instruction is in cell A44." sqref="A47" xr:uid="{7DC97256-4AE8-43B1-9169-E94C4A07C082}"/>
    <dataValidation allowBlank="1" showInputMessage="1" showErrorMessage="1" prompt="Enter details in Transportation table starting in cell at right and in Loans table starting in cell G26. Next instruction is in cell A37." sqref="A35" xr:uid="{F76A78DC-95E1-4A10-A67D-D75AE999256E}"/>
    <dataValidation allowBlank="1" showInputMessage="1" showErrorMessage="1" prompt="Enter details in Housing table starting in cell at right and in Entertainment table starting in cell G14. Next instruction is in cell A27." sqref="A20" xr:uid="{BB37A26A-B4F8-4A20-8DCC-F3D058688AF7}"/>
    <dataValidation allowBlank="1" showInputMessage="1" showErrorMessage="1" prompt="Actual Monthly Income label is in cell at right. Enter Income 1 in cell C10 and Extra Income in C11 to calculate Total monthly income in C12. Next instruction is in cell A14." sqref="A11" xr:uid="{2FC5CC13-755A-4544-B5C5-1DCB8A538E7F}"/>
    <dataValidation allowBlank="1" showInputMessage="1" showErrorMessage="1" prompt="Projected Balance is auto calculated in cell H4, Actual Balance in H6, and Difference in H8. Next instruction is in cell A9." sqref="A9" xr:uid="{6B15AD60-507F-433B-84B9-380AD732B5F0}"/>
    <dataValidation allowBlank="1" showInputMessage="1" showErrorMessage="1" prompt="Title of this worksheet is in cell C2. Next instruction is in cell A4." sqref="A2" xr:uid="{FC4E7521-F525-4C5F-AE88-8C2B50CA18AE}"/>
    <dataValidation allowBlank="1" showInputMessage="1" showErrorMessage="1" prompt="Create a Personal Monthly Budget in this worksheet. Helpful instructions on how to use this worksheet are in cells in this column. Arrow down to get started." sqref="A1" xr:uid="{581BB1AF-648F-4550-B343-32B71626A132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78E509-ED43-4A65-A6F5-A470BB43C0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46F2D2A0-7336-4B8B-AC44-03EBE7DA9A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B32255-829E-4256-99CD-7E2F649A5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Annual Budget</vt:lpstr>
      <vt:lpstr>January Budget</vt:lpstr>
      <vt:lpstr>February Budget </vt:lpstr>
      <vt:lpstr>March Budget</vt:lpstr>
      <vt:lpstr>April Budget</vt:lpstr>
      <vt:lpstr>May Budget</vt:lpstr>
      <vt:lpstr>June Budget</vt:lpstr>
      <vt:lpstr>July Budget</vt:lpstr>
      <vt:lpstr>August Budget</vt:lpstr>
      <vt:lpstr>September Budget</vt:lpstr>
      <vt:lpstr>October Budget</vt:lpstr>
      <vt:lpstr>November Budget</vt:lpstr>
      <vt:lpstr>December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2021-12-14T04:46:23Z</dcterms:created>
  <dcterms:modified xsi:type="dcterms:W3CDTF">2022-12-13T20:02:26Z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