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fileSharing readOnlyRecommended="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199b017bfe3ba9aa/0 JGG/0 TCRA/0_Key_TCRA_Files/"/>
    </mc:Choice>
  </mc:AlternateContent>
  <xr:revisionPtr revIDLastSave="7" documentId="8_{40C0C19E-78C7-40FB-9F34-F3DF497A590B}" xr6:coauthVersionLast="47" xr6:coauthVersionMax="47" xr10:uidLastSave="{2BF83951-B10F-40A3-B194-6741EAE5E7A5}"/>
  <bookViews>
    <workbookView xWindow="-103" yWindow="-103" windowWidth="16663" windowHeight="8743" firstSheet="1" activeTab="1" xr2:uid="{4905766C-9CCE-44F1-B2D6-7C72DD806127}"/>
  </bookViews>
  <sheets>
    <sheet name="Sheet1" sheetId="4" state="hidden" r:id="rId1"/>
    <sheet name="Core Spreadsheet" sheetId="5" r:id="rId2"/>
    <sheet name="TCRA Stages" sheetId="6" state="hidden" r:id="rId3"/>
    <sheet name="TCH Cap Table" sheetId="7" state="hidden" r:id="rId4"/>
    <sheet name="TCRA Patent Portfolio" sheetId="11" r:id="rId5"/>
    <sheet name="John's Colleagues" sheetId="10" state="hidden" r:id="rId6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1" i="5" l="1"/>
  <c r="B50" i="5"/>
  <c r="B49" i="5"/>
  <c r="B48" i="5"/>
  <c r="B47" i="5"/>
  <c r="B14" i="7"/>
  <c r="C6" i="5"/>
  <c r="B6" i="5"/>
  <c r="B52" i="5"/>
  <c r="E11" i="6"/>
  <c r="E15" i="6"/>
  <c r="E13" i="6"/>
  <c r="E12" i="6"/>
  <c r="E9" i="6"/>
  <c r="H10" i="6"/>
  <c r="H14" i="6"/>
  <c r="H3" i="6"/>
  <c r="G10" i="6"/>
  <c r="G11" i="6"/>
  <c r="H11" i="6"/>
  <c r="G12" i="6"/>
  <c r="H12" i="6"/>
  <c r="G13" i="6"/>
  <c r="H13" i="6"/>
  <c r="G14" i="6"/>
  <c r="F14" i="6"/>
  <c r="B15" i="6"/>
  <c r="D9" i="6"/>
  <c r="D15" i="6"/>
  <c r="B18" i="5"/>
  <c r="C18" i="5"/>
  <c r="D18" i="5"/>
  <c r="C1" i="5"/>
  <c r="D1" i="5" s="1"/>
  <c r="E1" i="5" s="1"/>
  <c r="F1" i="5" s="1"/>
  <c r="G1" i="5" s="1"/>
  <c r="H1" i="5" s="1"/>
  <c r="H8" i="5"/>
  <c r="F8" i="5"/>
  <c r="G8" i="5"/>
  <c r="E8" i="5"/>
  <c r="C8" i="5"/>
  <c r="B8" i="5"/>
  <c r="D8" i="5"/>
  <c r="E37" i="5"/>
  <c r="W8" i="5"/>
  <c r="V8" i="5"/>
  <c r="U8" i="5"/>
  <c r="T8" i="5"/>
  <c r="S8" i="5"/>
  <c r="R8" i="5"/>
  <c r="Q8" i="5"/>
  <c r="P8" i="5"/>
  <c r="O8" i="5"/>
  <c r="N8" i="5"/>
  <c r="M8" i="5"/>
  <c r="L8" i="5"/>
  <c r="K8" i="5"/>
  <c r="J8" i="5"/>
  <c r="I8" i="5"/>
  <c r="X4" i="5"/>
  <c r="B3" i="5"/>
  <c r="C3" i="5"/>
  <c r="B46" i="4"/>
  <c r="B47" i="4"/>
  <c r="B48" i="4"/>
  <c r="B49" i="4"/>
  <c r="B50" i="4"/>
  <c r="B51" i="4"/>
  <c r="B45" i="4"/>
  <c r="X4" i="4"/>
  <c r="S8" i="4"/>
  <c r="T8" i="4"/>
  <c r="U8" i="4"/>
  <c r="V8" i="4"/>
  <c r="W8" i="4"/>
  <c r="E8" i="4"/>
  <c r="F8" i="4"/>
  <c r="G8" i="4"/>
  <c r="H8" i="4"/>
  <c r="I8" i="4"/>
  <c r="J8" i="4"/>
  <c r="K8" i="4"/>
  <c r="L8" i="4"/>
  <c r="M8" i="4"/>
  <c r="N8" i="4"/>
  <c r="O8" i="4"/>
  <c r="P8" i="4"/>
  <c r="Q8" i="4"/>
  <c r="R8" i="4"/>
  <c r="E36" i="4"/>
  <c r="B3" i="4"/>
  <c r="B6" i="4"/>
  <c r="B10" i="4"/>
  <c r="G9" i="6"/>
  <c r="X16" i="5"/>
  <c r="Y16" i="5" s="1"/>
  <c r="Z16" i="5" s="1"/>
  <c r="C3" i="4"/>
  <c r="C6" i="4"/>
  <c r="C10" i="4"/>
  <c r="C12" i="4"/>
  <c r="C14" i="4"/>
  <c r="B53" i="4"/>
  <c r="B12" i="4"/>
  <c r="B22" i="4"/>
  <c r="H9" i="6"/>
  <c r="H15" i="6"/>
  <c r="C28" i="4"/>
  <c r="B24" i="4"/>
  <c r="C16" i="4"/>
  <c r="C35" i="4"/>
  <c r="C18" i="4"/>
  <c r="B30" i="4"/>
  <c r="B14" i="4"/>
  <c r="C22" i="4"/>
  <c r="C24" i="4"/>
  <c r="D3" i="4"/>
  <c r="E3" i="4"/>
  <c r="C26" i="4"/>
  <c r="B28" i="4"/>
  <c r="C20" i="4"/>
  <c r="C30" i="4"/>
  <c r="B18" i="4"/>
  <c r="B20" i="4"/>
  <c r="B16" i="4"/>
  <c r="B26" i="4"/>
  <c r="B35" i="4"/>
  <c r="D6" i="4"/>
  <c r="D10" i="4"/>
  <c r="D12" i="4"/>
  <c r="D14" i="4"/>
  <c r="E6" i="4"/>
  <c r="E10" i="4"/>
  <c r="E12" i="4"/>
  <c r="E14" i="4"/>
  <c r="F3" i="4"/>
  <c r="D28" i="4"/>
  <c r="D16" i="4"/>
  <c r="D35" i="4"/>
  <c r="D22" i="4"/>
  <c r="D18" i="4"/>
  <c r="D20" i="4"/>
  <c r="D24" i="4"/>
  <c r="D30" i="4"/>
  <c r="D26" i="4"/>
  <c r="E20" i="4"/>
  <c r="E18" i="4"/>
  <c r="E26" i="4"/>
  <c r="E22" i="4"/>
  <c r="E35" i="4" a="1"/>
  <c r="E35" i="4" s="1"/>
  <c r="E16" i="4"/>
  <c r="E24" i="4"/>
  <c r="E28" i="4"/>
  <c r="E30" i="4"/>
  <c r="G3" i="4"/>
  <c r="F6" i="4"/>
  <c r="F10" i="4"/>
  <c r="F12" i="4"/>
  <c r="F14" i="4"/>
  <c r="F20" i="4"/>
  <c r="F18" i="4"/>
  <c r="F26" i="4"/>
  <c r="F35" i="4"/>
  <c r="F28" i="4"/>
  <c r="F16" i="4"/>
  <c r="F30" i="4"/>
  <c r="F24" i="4"/>
  <c r="F22" i="4"/>
  <c r="H3" i="4"/>
  <c r="G6" i="4"/>
  <c r="G10" i="4"/>
  <c r="G12" i="4"/>
  <c r="G14" i="4"/>
  <c r="G18" i="4"/>
  <c r="G20" i="4"/>
  <c r="G26" i="4"/>
  <c r="G24" i="4"/>
  <c r="G22" i="4"/>
  <c r="G16" i="4"/>
  <c r="G30" i="4"/>
  <c r="G28" i="4"/>
  <c r="H6" i="4"/>
  <c r="H10" i="4"/>
  <c r="H12" i="4"/>
  <c r="H14" i="4"/>
  <c r="I3" i="4"/>
  <c r="H18" i="4"/>
  <c r="H28" i="4"/>
  <c r="H30" i="4"/>
  <c r="H26" i="4"/>
  <c r="H16" i="4"/>
  <c r="H20" i="4"/>
  <c r="H24" i="4"/>
  <c r="H22" i="4"/>
  <c r="J3" i="4"/>
  <c r="I6" i="4"/>
  <c r="I10" i="4"/>
  <c r="I12" i="4"/>
  <c r="I14" i="4"/>
  <c r="J6" i="4"/>
  <c r="J10" i="4"/>
  <c r="J12" i="4"/>
  <c r="J14" i="4"/>
  <c r="K3" i="4"/>
  <c r="I26" i="4"/>
  <c r="I30" i="4"/>
  <c r="I24" i="4"/>
  <c r="I16" i="4"/>
  <c r="I18" i="4"/>
  <c r="I20" i="4"/>
  <c r="I22" i="4"/>
  <c r="I28" i="4"/>
  <c r="K6" i="4"/>
  <c r="K10" i="4"/>
  <c r="K12" i="4"/>
  <c r="K14" i="4"/>
  <c r="L3" i="4"/>
  <c r="J30" i="4"/>
  <c r="J18" i="4"/>
  <c r="J26" i="4"/>
  <c r="J20" i="4"/>
  <c r="J16" i="4"/>
  <c r="J28" i="4"/>
  <c r="J22" i="4"/>
  <c r="J24" i="4"/>
  <c r="L6" i="4"/>
  <c r="M3" i="4"/>
  <c r="K18" i="4"/>
  <c r="K20" i="4"/>
  <c r="K22" i="4"/>
  <c r="K26" i="4"/>
  <c r="K24" i="4"/>
  <c r="K30" i="4"/>
  <c r="K16" i="4"/>
  <c r="K28" i="4"/>
  <c r="N3" i="4"/>
  <c r="M6" i="4"/>
  <c r="M10" i="4"/>
  <c r="M12" i="4"/>
  <c r="M14" i="4"/>
  <c r="L10" i="4"/>
  <c r="L12" i="4"/>
  <c r="L14" i="4"/>
  <c r="M18" i="4"/>
  <c r="M20" i="4"/>
  <c r="M26" i="4"/>
  <c r="M28" i="4"/>
  <c r="M22" i="4"/>
  <c r="M16" i="4"/>
  <c r="M30" i="4"/>
  <c r="M24" i="4"/>
  <c r="O3" i="4"/>
  <c r="N6" i="4"/>
  <c r="N10" i="4"/>
  <c r="N12" i="4"/>
  <c r="N14" i="4"/>
  <c r="P3" i="4"/>
  <c r="O6" i="4"/>
  <c r="O10" i="4"/>
  <c r="O12" i="4"/>
  <c r="O14" i="4"/>
  <c r="N28" i="4"/>
  <c r="N20" i="4"/>
  <c r="N18" i="4"/>
  <c r="N26" i="4"/>
  <c r="N24" i="4"/>
  <c r="N22" i="4"/>
  <c r="N16" i="4"/>
  <c r="N30" i="4"/>
  <c r="L28" i="4"/>
  <c r="L18" i="4"/>
  <c r="L20" i="4"/>
  <c r="L22" i="4"/>
  <c r="L26" i="4"/>
  <c r="L16" i="4"/>
  <c r="L30" i="4"/>
  <c r="L24" i="4"/>
  <c r="O26" i="4"/>
  <c r="O16" i="4"/>
  <c r="O30" i="4"/>
  <c r="O24" i="4"/>
  <c r="O20" i="4"/>
  <c r="O18" i="4"/>
  <c r="O28" i="4"/>
  <c r="O22" i="4"/>
  <c r="Q3" i="4"/>
  <c r="P6" i="4"/>
  <c r="P10" i="4"/>
  <c r="P12" i="4"/>
  <c r="P14" i="4"/>
  <c r="P30" i="4"/>
  <c r="P22" i="4"/>
  <c r="P18" i="4"/>
  <c r="P20" i="4"/>
  <c r="P16" i="4"/>
  <c r="P28" i="4"/>
  <c r="P24" i="4"/>
  <c r="P26" i="4"/>
  <c r="Q6" i="4"/>
  <c r="Q10" i="4"/>
  <c r="Q12" i="4"/>
  <c r="Q14" i="4"/>
  <c r="R3" i="4"/>
  <c r="Q20" i="4"/>
  <c r="Q18" i="4"/>
  <c r="Q26" i="4"/>
  <c r="Q24" i="4"/>
  <c r="Q16" i="4"/>
  <c r="Q28" i="4"/>
  <c r="Q30" i="4"/>
  <c r="Q22" i="4"/>
  <c r="S3" i="4"/>
  <c r="R6" i="4"/>
  <c r="R10" i="4"/>
  <c r="R12" i="4"/>
  <c r="R14" i="4"/>
  <c r="R26" i="4"/>
  <c r="R18" i="4"/>
  <c r="R20" i="4"/>
  <c r="R16" i="4"/>
  <c r="R22" i="4"/>
  <c r="R28" i="4"/>
  <c r="R30" i="4"/>
  <c r="R24" i="4"/>
  <c r="S6" i="4"/>
  <c r="S10" i="4"/>
  <c r="S12" i="4"/>
  <c r="S14" i="4"/>
  <c r="T3" i="4"/>
  <c r="T6" i="4"/>
  <c r="T10" i="4"/>
  <c r="T12" i="4"/>
  <c r="T14" i="4"/>
  <c r="U3" i="4"/>
  <c r="S18" i="4"/>
  <c r="S20" i="4"/>
  <c r="S22" i="4"/>
  <c r="S24" i="4"/>
  <c r="S26" i="4"/>
  <c r="S16" i="4"/>
  <c r="S28" i="4"/>
  <c r="S30" i="4"/>
  <c r="U6" i="4"/>
  <c r="U10" i="4"/>
  <c r="U12" i="4"/>
  <c r="U14" i="4"/>
  <c r="V3" i="4"/>
  <c r="T16" i="4"/>
  <c r="T20" i="4"/>
  <c r="T24" i="4"/>
  <c r="T26" i="4"/>
  <c r="T18" i="4"/>
  <c r="T28" i="4"/>
  <c r="T22" i="4"/>
  <c r="T30" i="4"/>
  <c r="V6" i="4"/>
  <c r="V10" i="4"/>
  <c r="V12" i="4"/>
  <c r="V14" i="4"/>
  <c r="W3" i="4"/>
  <c r="U16" i="4"/>
  <c r="U18" i="4"/>
  <c r="U20" i="4"/>
  <c r="U22" i="4"/>
  <c r="U24" i="4"/>
  <c r="U26" i="4"/>
  <c r="U28" i="4"/>
  <c r="U30" i="4"/>
  <c r="W6" i="4"/>
  <c r="X3" i="4"/>
  <c r="V16" i="4"/>
  <c r="V18" i="4"/>
  <c r="V24" i="4"/>
  <c r="V20" i="4"/>
  <c r="V26" i="4"/>
  <c r="V28" i="4"/>
  <c r="V30" i="4"/>
  <c r="V22" i="4"/>
  <c r="W10" i="4"/>
  <c r="X6" i="4"/>
  <c r="W12" i="4"/>
  <c r="W14" i="4"/>
  <c r="X14" i="4"/>
  <c r="X10" i="4"/>
  <c r="W16" i="4"/>
  <c r="X16" i="4"/>
  <c r="W20" i="4"/>
  <c r="X20" i="4"/>
  <c r="W28" i="4"/>
  <c r="X28" i="4"/>
  <c r="W30" i="4"/>
  <c r="W18" i="4"/>
  <c r="X18" i="4"/>
  <c r="W22" i="4"/>
  <c r="X22" i="4"/>
  <c r="W24" i="4"/>
  <c r="X24" i="4"/>
  <c r="W26" i="4"/>
  <c r="X26" i="4"/>
  <c r="X12" i="4"/>
  <c r="Y12" i="4"/>
  <c r="Z12" i="4"/>
  <c r="X30" i="4"/>
  <c r="G15" i="6"/>
  <c r="F10" i="6"/>
  <c r="C10" i="5" l="1"/>
  <c r="C12" i="5" s="1"/>
  <c r="C32" i="5" s="1"/>
  <c r="C33" i="5" s="1"/>
  <c r="I1" i="5"/>
  <c r="J1" i="5" s="1"/>
  <c r="K1" i="5" s="1"/>
  <c r="L1" i="5" s="1"/>
  <c r="M1" i="5" s="1"/>
  <c r="N1" i="5" s="1"/>
  <c r="O1" i="5" s="1"/>
  <c r="P1" i="5" s="1"/>
  <c r="Q1" i="5" s="1"/>
  <c r="D3" i="5"/>
  <c r="D6" i="5" s="1"/>
  <c r="B53" i="5"/>
  <c r="B10" i="5"/>
  <c r="C13" i="5" l="1"/>
  <c r="C17" i="5" s="1"/>
  <c r="C36" i="5"/>
  <c r="C29" i="5"/>
  <c r="C30" i="5" s="1"/>
  <c r="C27" i="5"/>
  <c r="C20" i="5"/>
  <c r="C22" i="5" s="1"/>
  <c r="C26" i="5"/>
  <c r="C25" i="5"/>
  <c r="C24" i="5"/>
  <c r="R1" i="5"/>
  <c r="S1" i="5" s="1"/>
  <c r="T1" i="5" s="1"/>
  <c r="U1" i="5" s="1"/>
  <c r="V1" i="5" s="1"/>
  <c r="W1" i="5" s="1"/>
  <c r="E3" i="5"/>
  <c r="E6" i="5" s="1"/>
  <c r="D10" i="5"/>
  <c r="D12" i="5" s="1"/>
  <c r="D32" i="5" s="1"/>
  <c r="D33" i="5" s="1"/>
  <c r="B12" i="5"/>
  <c r="C21" i="5" l="1"/>
  <c r="B32" i="5"/>
  <c r="B29" i="5"/>
  <c r="B30" i="5" s="1"/>
  <c r="D26" i="5"/>
  <c r="D29" i="5"/>
  <c r="D30" i="5" s="1"/>
  <c r="D20" i="5"/>
  <c r="D27" i="5"/>
  <c r="D25" i="5"/>
  <c r="D13" i="5"/>
  <c r="D17" i="5" s="1"/>
  <c r="D36" i="5"/>
  <c r="D24" i="5"/>
  <c r="F3" i="5"/>
  <c r="F6" i="5" s="1"/>
  <c r="E10" i="5"/>
  <c r="E12" i="5" s="1"/>
  <c r="E32" i="5" s="1"/>
  <c r="E33" i="5" s="1"/>
  <c r="B24" i="5"/>
  <c r="B26" i="5"/>
  <c r="B25" i="5"/>
  <c r="B27" i="5"/>
  <c r="B20" i="5"/>
  <c r="B36" i="5"/>
  <c r="B13" i="5"/>
  <c r="B33" i="5" l="1"/>
  <c r="F10" i="5"/>
  <c r="F12" i="5" s="1"/>
  <c r="F32" i="5" s="1"/>
  <c r="F33" i="5" s="1"/>
  <c r="G3" i="5"/>
  <c r="G6" i="5" s="1"/>
  <c r="E13" i="5"/>
  <c r="E17" i="5" s="1"/>
  <c r="E25" i="5"/>
  <c r="E24" i="5"/>
  <c r="E26" i="5"/>
  <c r="E14" i="5"/>
  <c r="E18" i="5" s="1"/>
  <c r="E27" i="5"/>
  <c r="E29" i="5"/>
  <c r="E30" i="5" s="1"/>
  <c r="E20" i="5"/>
  <c r="E36" i="5" a="1"/>
  <c r="E36" i="5" s="1"/>
  <c r="D21" i="5"/>
  <c r="D22" i="5"/>
  <c r="B22" i="5"/>
  <c r="B21" i="5"/>
  <c r="B17" i="5"/>
  <c r="E21" i="5" l="1"/>
  <c r="E22" i="5"/>
  <c r="H3" i="5"/>
  <c r="H6" i="5" s="1"/>
  <c r="G10" i="5"/>
  <c r="G12" i="5" s="1"/>
  <c r="G32" i="5" s="1"/>
  <c r="G33" i="5" s="1"/>
  <c r="F13" i="5"/>
  <c r="F20" i="5"/>
  <c r="F27" i="5"/>
  <c r="F36" i="5"/>
  <c r="F29" i="5"/>
  <c r="F26" i="5"/>
  <c r="F24" i="5"/>
  <c r="F25" i="5"/>
  <c r="F14" i="5"/>
  <c r="I3" i="5" l="1"/>
  <c r="I6" i="5" s="1"/>
  <c r="H10" i="5"/>
  <c r="H12" i="5" s="1"/>
  <c r="H32" i="5" s="1"/>
  <c r="H33" i="5" s="1"/>
  <c r="G20" i="5"/>
  <c r="G25" i="5"/>
  <c r="G26" i="5"/>
  <c r="G27" i="5"/>
  <c r="G29" i="5"/>
  <c r="G30" i="5" s="1"/>
  <c r="G14" i="5"/>
  <c r="G18" i="5" s="1"/>
  <c r="G13" i="5"/>
  <c r="G17" i="5" s="1"/>
  <c r="G24" i="5"/>
  <c r="F18" i="5"/>
  <c r="F22" i="5"/>
  <c r="F21" i="5"/>
  <c r="F17" i="5"/>
  <c r="F30" i="5"/>
  <c r="G22" i="5" l="1"/>
  <c r="G21" i="5"/>
  <c r="H29" i="5"/>
  <c r="H30" i="5" s="1"/>
  <c r="H20" i="5"/>
  <c r="H24" i="5"/>
  <c r="H13" i="5"/>
  <c r="H17" i="5" s="1"/>
  <c r="H26" i="5"/>
  <c r="H27" i="5"/>
  <c r="H14" i="5"/>
  <c r="H18" i="5" s="1"/>
  <c r="H25" i="5"/>
  <c r="J3" i="5"/>
  <c r="J6" i="5" s="1"/>
  <c r="I10" i="5"/>
  <c r="I12" i="5"/>
  <c r="I32" i="5" s="1"/>
  <c r="I33" i="5" s="1"/>
  <c r="H22" i="5" l="1"/>
  <c r="H21" i="5"/>
  <c r="K3" i="5"/>
  <c r="K6" i="5" s="1"/>
  <c r="J10" i="5"/>
  <c r="J12" i="5" s="1"/>
  <c r="J32" i="5" s="1"/>
  <c r="J33" i="5" s="1"/>
  <c r="I27" i="5"/>
  <c r="I13" i="5"/>
  <c r="I24" i="5"/>
  <c r="I29" i="5"/>
  <c r="I26" i="5"/>
  <c r="I14" i="5"/>
  <c r="I20" i="5"/>
  <c r="I25" i="5"/>
  <c r="J27" i="5" l="1"/>
  <c r="J25" i="5"/>
  <c r="J29" i="5"/>
  <c r="J30" i="5" s="1"/>
  <c r="J14" i="5"/>
  <c r="J18" i="5" s="1"/>
  <c r="J13" i="5"/>
  <c r="J17" i="5" s="1"/>
  <c r="J24" i="5"/>
  <c r="J26" i="5"/>
  <c r="J20" i="5"/>
  <c r="L3" i="5"/>
  <c r="L6" i="5" s="1"/>
  <c r="K10" i="5"/>
  <c r="K12" i="5" s="1"/>
  <c r="K32" i="5" s="1"/>
  <c r="K33" i="5" s="1"/>
  <c r="I18" i="5"/>
  <c r="I21" i="5"/>
  <c r="I22" i="5"/>
  <c r="I30" i="5"/>
  <c r="I17" i="5"/>
  <c r="K27" i="5" l="1"/>
  <c r="K29" i="5"/>
  <c r="K30" i="5" s="1"/>
  <c r="K26" i="5"/>
  <c r="K24" i="5"/>
  <c r="K20" i="5"/>
  <c r="K25" i="5"/>
  <c r="K14" i="5"/>
  <c r="K18" i="5" s="1"/>
  <c r="K13" i="5"/>
  <c r="K17" i="5" s="1"/>
  <c r="L10" i="5"/>
  <c r="L12" i="5" s="1"/>
  <c r="L32" i="5" s="1"/>
  <c r="L33" i="5" s="1"/>
  <c r="M3" i="5"/>
  <c r="M6" i="5" s="1"/>
  <c r="J21" i="5"/>
  <c r="J22" i="5"/>
  <c r="N3" i="5" l="1"/>
  <c r="N6" i="5" s="1"/>
  <c r="M10" i="5"/>
  <c r="M12" i="5" s="1"/>
  <c r="M32" i="5" s="1"/>
  <c r="M33" i="5" s="1"/>
  <c r="L14" i="5"/>
  <c r="L18" i="5" s="1"/>
  <c r="L27" i="5"/>
  <c r="L29" i="5"/>
  <c r="L30" i="5" s="1"/>
  <c r="L25" i="5"/>
  <c r="L26" i="5"/>
  <c r="L13" i="5"/>
  <c r="L17" i="5" s="1"/>
  <c r="L24" i="5"/>
  <c r="L20" i="5"/>
  <c r="K22" i="5"/>
  <c r="K21" i="5"/>
  <c r="N10" i="5" l="1"/>
  <c r="N12" i="5" s="1"/>
  <c r="N32" i="5" s="1"/>
  <c r="N33" i="5" s="1"/>
  <c r="O3" i="5"/>
  <c r="O6" i="5" s="1"/>
  <c r="L22" i="5"/>
  <c r="L21" i="5"/>
  <c r="M24" i="5"/>
  <c r="M14" i="5"/>
  <c r="M18" i="5" s="1"/>
  <c r="M25" i="5"/>
  <c r="M26" i="5"/>
  <c r="M20" i="5"/>
  <c r="M29" i="5"/>
  <c r="M30" i="5" s="1"/>
  <c r="M27" i="5"/>
  <c r="M13" i="5"/>
  <c r="M17" i="5" s="1"/>
  <c r="N14" i="5" l="1"/>
  <c r="N18" i="5" s="1"/>
  <c r="N29" i="5"/>
  <c r="N30" i="5" s="1"/>
  <c r="N13" i="5"/>
  <c r="N17" i="5" s="1"/>
  <c r="N24" i="5"/>
  <c r="N27" i="5"/>
  <c r="N20" i="5"/>
  <c r="N25" i="5"/>
  <c r="N26" i="5"/>
  <c r="M22" i="5"/>
  <c r="M21" i="5"/>
  <c r="P3" i="5"/>
  <c r="P6" i="5" s="1"/>
  <c r="O10" i="5"/>
  <c r="O12" i="5" s="1"/>
  <c r="O32" i="5" s="1"/>
  <c r="O33" i="5" s="1"/>
  <c r="N22" i="5" l="1"/>
  <c r="N21" i="5"/>
  <c r="O20" i="5"/>
  <c r="O29" i="5"/>
  <c r="O30" i="5" s="1"/>
  <c r="O13" i="5"/>
  <c r="O17" i="5" s="1"/>
  <c r="O25" i="5"/>
  <c r="O27" i="5"/>
  <c r="O24" i="5"/>
  <c r="O26" i="5"/>
  <c r="O14" i="5"/>
  <c r="O18" i="5" s="1"/>
  <c r="P10" i="5"/>
  <c r="P12" i="5" s="1"/>
  <c r="P32" i="5" s="1"/>
  <c r="P33" i="5" s="1"/>
  <c r="Q3" i="5"/>
  <c r="Q6" i="5" s="1"/>
  <c r="O22" i="5" l="1"/>
  <c r="O21" i="5"/>
  <c r="Q10" i="5"/>
  <c r="Q12" i="5" s="1"/>
  <c r="Q32" i="5" s="1"/>
  <c r="Q33" i="5" s="1"/>
  <c r="R3" i="5"/>
  <c r="R6" i="5" s="1"/>
  <c r="P13" i="5"/>
  <c r="P17" i="5" s="1"/>
  <c r="P26" i="5"/>
  <c r="P24" i="5"/>
  <c r="P25" i="5"/>
  <c r="P27" i="5"/>
  <c r="P29" i="5"/>
  <c r="P30" i="5" s="1"/>
  <c r="P14" i="5"/>
  <c r="P18" i="5" s="1"/>
  <c r="P20" i="5"/>
  <c r="R10" i="5" l="1"/>
  <c r="R12" i="5" s="1"/>
  <c r="R32" i="5" s="1"/>
  <c r="R33" i="5" s="1"/>
  <c r="S3" i="5"/>
  <c r="S6" i="5" s="1"/>
  <c r="P21" i="5"/>
  <c r="P22" i="5"/>
  <c r="Q29" i="5"/>
  <c r="Q30" i="5" s="1"/>
  <c r="Q25" i="5"/>
  <c r="Q14" i="5"/>
  <c r="Q18" i="5" s="1"/>
  <c r="Q27" i="5"/>
  <c r="Q13" i="5"/>
  <c r="Q17" i="5" s="1"/>
  <c r="Q24" i="5"/>
  <c r="Q26" i="5"/>
  <c r="Q20" i="5"/>
  <c r="Q21" i="5" l="1"/>
  <c r="Q22" i="5"/>
  <c r="T3" i="5"/>
  <c r="T6" i="5" s="1"/>
  <c r="S10" i="5"/>
  <c r="S12" i="5" s="1"/>
  <c r="S32" i="5" s="1"/>
  <c r="S33" i="5" s="1"/>
  <c r="R29" i="5"/>
  <c r="R30" i="5" s="1"/>
  <c r="R14" i="5"/>
  <c r="R18" i="5" s="1"/>
  <c r="R27" i="5"/>
  <c r="R20" i="5"/>
  <c r="R24" i="5"/>
  <c r="R26" i="5"/>
  <c r="R25" i="5"/>
  <c r="R13" i="5"/>
  <c r="R17" i="5" s="1"/>
  <c r="U3" i="5" l="1"/>
  <c r="U6" i="5" s="1"/>
  <c r="T10" i="5"/>
  <c r="T12" i="5" s="1"/>
  <c r="T32" i="5" s="1"/>
  <c r="T33" i="5" s="1"/>
  <c r="R22" i="5"/>
  <c r="R21" i="5"/>
  <c r="S13" i="5"/>
  <c r="S17" i="5" s="1"/>
  <c r="S25" i="5"/>
  <c r="S26" i="5"/>
  <c r="S27" i="5"/>
  <c r="S24" i="5"/>
  <c r="S29" i="5"/>
  <c r="S30" i="5" s="1"/>
  <c r="S20" i="5"/>
  <c r="S14" i="5"/>
  <c r="S18" i="5" s="1"/>
  <c r="T24" i="5" l="1"/>
  <c r="T27" i="5"/>
  <c r="T14" i="5"/>
  <c r="T18" i="5" s="1"/>
  <c r="T13" i="5"/>
  <c r="T17" i="5" s="1"/>
  <c r="T20" i="5"/>
  <c r="T25" i="5"/>
  <c r="T26" i="5"/>
  <c r="T29" i="5"/>
  <c r="T30" i="5" s="1"/>
  <c r="S21" i="5"/>
  <c r="S22" i="5"/>
  <c r="V3" i="5"/>
  <c r="V6" i="5" s="1"/>
  <c r="U10" i="5"/>
  <c r="U12" i="5" s="1"/>
  <c r="U32" i="5" s="1"/>
  <c r="U33" i="5" s="1"/>
  <c r="T22" i="5" l="1"/>
  <c r="T21" i="5"/>
  <c r="U14" i="5"/>
  <c r="U18" i="5" s="1"/>
  <c r="U29" i="5"/>
  <c r="U30" i="5" s="1"/>
  <c r="U24" i="5"/>
  <c r="U25" i="5"/>
  <c r="U20" i="5"/>
  <c r="U13" i="5"/>
  <c r="U17" i="5" s="1"/>
  <c r="U26" i="5"/>
  <c r="U27" i="5"/>
  <c r="V10" i="5"/>
  <c r="V12" i="5" s="1"/>
  <c r="V32" i="5" s="1"/>
  <c r="V33" i="5" s="1"/>
  <c r="W3" i="5"/>
  <c r="W6" i="5" s="1"/>
  <c r="U21" i="5" l="1"/>
  <c r="U22" i="5"/>
  <c r="X3" i="5"/>
  <c r="V24" i="5"/>
  <c r="V13" i="5"/>
  <c r="V17" i="5" s="1"/>
  <c r="V20" i="5"/>
  <c r="V27" i="5"/>
  <c r="V25" i="5"/>
  <c r="V14" i="5"/>
  <c r="V18" i="5" s="1"/>
  <c r="V26" i="5"/>
  <c r="V29" i="5"/>
  <c r="V30" i="5" s="1"/>
  <c r="W10" i="5" l="1"/>
  <c r="X6" i="5"/>
  <c r="V22" i="5"/>
  <c r="V21" i="5"/>
  <c r="W12" i="5" l="1"/>
  <c r="W32" i="5" s="1"/>
  <c r="X10" i="5"/>
  <c r="W33" i="5" l="1"/>
  <c r="X33" i="5" s="1"/>
  <c r="X32" i="5"/>
  <c r="W13" i="5"/>
  <c r="W25" i="5"/>
  <c r="X25" i="5" s="1"/>
  <c r="W14" i="5"/>
  <c r="W24" i="5"/>
  <c r="X24" i="5" s="1"/>
  <c r="X12" i="5"/>
  <c r="W20" i="5"/>
  <c r="W26" i="5"/>
  <c r="X26" i="5" s="1"/>
  <c r="W29" i="5"/>
  <c r="W27" i="5"/>
  <c r="X27" i="5" s="1"/>
  <c r="W30" i="5" l="1"/>
  <c r="X30" i="5" s="1"/>
  <c r="X29" i="5"/>
  <c r="X20" i="5"/>
  <c r="W21" i="5"/>
  <c r="X21" i="5" s="1"/>
  <c r="W22" i="5"/>
  <c r="X22" i="5" s="1"/>
  <c r="X14" i="5"/>
  <c r="W18" i="5"/>
  <c r="X18" i="5" s="1"/>
  <c r="W17" i="5"/>
  <c r="X17" i="5" s="1"/>
  <c r="X13" i="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tc={D14AD444-002D-4E17-854F-FB79C08D7687}</author>
  </authors>
  <commentList>
    <comment ref="B52" authorId="0" shapeId="0" xr:uid="{D14AD444-002D-4E17-854F-FB79C08D7687}">
      <text>
        <t>[Threaded comment]
Your version of Excel allows you to read this threaded comment; however, any edits to it will get removed if the file is opened in a newer version of Excel. Learn more: https://go.microsoft.com/fwlink/?linkid=870924
Comment:
    This is to be reviewed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<sst xmlns="http://schemas.openxmlformats.org/spreadsheetml/2006/main" count="532" uniqueCount="284">
  <si>
    <t>SUM</t>
  </si>
  <si>
    <t>P VALUE</t>
  </si>
  <si>
    <t>PV%</t>
  </si>
  <si>
    <t>Total Lab Revenues in billions (5% CAGR)</t>
  </si>
  <si>
    <t>6% CAGR</t>
  </si>
  <si>
    <t>Revenues from Automated Analyzers (85%)</t>
  </si>
  <si>
    <t>TCIP % Penetration of market</t>
  </si>
  <si>
    <t>Lab Revenues from TC analyzers (Billions)</t>
  </si>
  <si>
    <t>TCRA Royalties from TC Analyzers (Billions)</t>
  </si>
  <si>
    <t>NPV Row 12</t>
  </si>
  <si>
    <t>Royalties for Sysmex (Billions)</t>
  </si>
  <si>
    <t>Royalties for Abbott (Billions)</t>
  </si>
  <si>
    <t>Royalties for Beckman Coulter (Billions)</t>
  </si>
  <si>
    <t>Royalties for Roche (Billions)</t>
  </si>
  <si>
    <t>Royalties for Siemens (Billions)</t>
  </si>
  <si>
    <t xml:space="preserve">WIRhE Royalties  (Billions)  </t>
  </si>
  <si>
    <t xml:space="preserve">TCI Royalties  (Billions)  </t>
  </si>
  <si>
    <t xml:space="preserve">Billionaires 1% Royalties  (Billions)  </t>
  </si>
  <si>
    <t>KEY</t>
  </si>
  <si>
    <t>Present Value in billions</t>
  </si>
  <si>
    <t>number of payments</t>
  </si>
  <si>
    <t>Total Global Clinical Lab Market</t>
  </si>
  <si>
    <t>o</t>
  </si>
  <si>
    <t>CAGR of Global Clinical Lab Market</t>
  </si>
  <si>
    <t>Royalty %</t>
  </si>
  <si>
    <t>Market Penetration Factor</t>
  </si>
  <si>
    <t>TCRA Shares</t>
  </si>
  <si>
    <t>Sysmex % of Royalties</t>
  </si>
  <si>
    <t>Abbott % of Royalties</t>
  </si>
  <si>
    <t>Beckman Coulter % of Royalties</t>
  </si>
  <si>
    <t>Roche % of Royalties</t>
  </si>
  <si>
    <t>Siemens % of Royalties</t>
  </si>
  <si>
    <t>WIRhE Share % of Royalties</t>
  </si>
  <si>
    <t>TCI Shareholders % of Royalties</t>
  </si>
  <si>
    <t>Billionaires &amp; Others</t>
  </si>
  <si>
    <t>Total</t>
  </si>
  <si>
    <t>NPV discount rate</t>
  </si>
  <si>
    <t>Total World Lab Revenues (Billions) (5% CAGR)</t>
  </si>
  <si>
    <t>DLA % Penetration of market</t>
  </si>
  <si>
    <t>TCRA Royalties from DLA Analyzers (Billions)</t>
  </si>
  <si>
    <t>PV Royalties from DLA Analyzers (Billions) in 2025</t>
  </si>
  <si>
    <t>PV Royalties from DLA  Analyzers (Billions) in 2028</t>
  </si>
  <si>
    <t xml:space="preserve">Royalites for 1 TCRA Share (Thousands) </t>
  </si>
  <si>
    <t>PV Royalties for 1 TCRA Share (Thousands) in 2025</t>
  </si>
  <si>
    <t>PV Royalties from TC Analyzers (Thousands) in 2028</t>
  </si>
  <si>
    <t>Royalties for each Big 4 (Billions)</t>
  </si>
  <si>
    <t>PV Royalties for each Big 4  (Billions) in 2025</t>
  </si>
  <si>
    <t>PV Royalties for each Big 4 (Billions) in 2028</t>
  </si>
  <si>
    <t xml:space="preserve">DAF Royalties  (Billions) </t>
  </si>
  <si>
    <t xml:space="preserve">PV DAF Royalties  (Billions) </t>
  </si>
  <si>
    <t>Risk Adjusted PV discount rate</t>
  </si>
  <si>
    <t>DAF Charities</t>
  </si>
  <si>
    <t>Stage 1 - The current cap table of TCRA</t>
  </si>
  <si>
    <t>Stage 2 - TCI distributes 90% of shares to WIRhE, DAF, Big 4 Manufacturers, and PE firm</t>
  </si>
  <si>
    <t>Stage 3 - TCRA Pre deal cap structure</t>
  </si>
  <si>
    <t>Stage 4 - Raise $35B from PE limited partners for 10% of TCRA - what changes in this transaction</t>
  </si>
  <si>
    <t>Stage 4 - Final post deal cap structure</t>
  </si>
  <si>
    <t>Stage 1 Cap Table 1</t>
  </si>
  <si>
    <t>Stage 2 Transaction 1</t>
  </si>
  <si>
    <t>Stage 3 Cap Table 2</t>
  </si>
  <si>
    <t>Stage 4 Transaction 2</t>
  </si>
  <si>
    <t>Billions Cash from Raise</t>
  </si>
  <si>
    <t>Stage 5 Cap Table 3</t>
  </si>
  <si>
    <t>Billions Residual Royalties</t>
  </si>
  <si>
    <t>WIRhE</t>
  </si>
  <si>
    <t>+10%</t>
  </si>
  <si>
    <t>DAFs</t>
  </si>
  <si>
    <t>+40%</t>
  </si>
  <si>
    <t>Big 4</t>
  </si>
  <si>
    <t>+28%</t>
  </si>
  <si>
    <t>TCH</t>
  </si>
  <si>
    <t>+7%</t>
  </si>
  <si>
    <t xml:space="preserve">PE Firm </t>
  </si>
  <si>
    <t>Limited Partners</t>
  </si>
  <si>
    <t>+8%</t>
  </si>
  <si>
    <t>+10.0%</t>
  </si>
  <si>
    <t>TOTAL</t>
  </si>
  <si>
    <t>TCH %</t>
  </si>
  <si>
    <t>Gorman Family Trust</t>
  </si>
  <si>
    <t>Elizabeth Gorman</t>
  </si>
  <si>
    <t>John W. Gorman</t>
  </si>
  <si>
    <t>Alexandra Scranton</t>
  </si>
  <si>
    <t>Lorenzo Cavaletti</t>
  </si>
  <si>
    <t>Jordan Stuart</t>
  </si>
  <si>
    <t>Gerald Gorman</t>
  </si>
  <si>
    <t>James Gorman</t>
  </si>
  <si>
    <t>Jurgen Schmerler</t>
  </si>
  <si>
    <t>Jim Rowell</t>
  </si>
  <si>
    <t>Steven Spitelnick</t>
  </si>
  <si>
    <t>Thomas Huckabee</t>
  </si>
  <si>
    <t>Docket No.</t>
  </si>
  <si>
    <t>Title</t>
  </si>
  <si>
    <t>Matter Type</t>
  </si>
  <si>
    <t>Country Name</t>
  </si>
  <si>
    <t>Status</t>
  </si>
  <si>
    <t>Application No.</t>
  </si>
  <si>
    <t>Date Filed</t>
  </si>
  <si>
    <t>Publication Number</t>
  </si>
  <si>
    <t>Publication Date</t>
  </si>
  <si>
    <t>Grant Date</t>
  </si>
  <si>
    <t>Patent No.</t>
  </si>
  <si>
    <t>Priority Date</t>
  </si>
  <si>
    <t>Expiry Date</t>
  </si>
  <si>
    <t>Applicant</t>
  </si>
  <si>
    <t>127025-0005UT01</t>
  </si>
  <si>
    <t>TOTAL LAB AUTOMATION SYSTEM</t>
  </si>
  <si>
    <t>Utility - NPREG</t>
  </si>
  <si>
    <t>United States of America</t>
  </si>
  <si>
    <t>Pending</t>
  </si>
  <si>
    <t>18/596,266</t>
  </si>
  <si>
    <t/>
  </si>
  <si>
    <t>John G. GORMAN</t>
  </si>
  <si>
    <t>127025-0005WO01</t>
  </si>
  <si>
    <t>Utility - ORG</t>
  </si>
  <si>
    <t>PCT</t>
  </si>
  <si>
    <t>PCT/US2024/018538</t>
  </si>
  <si>
    <t>127025-0001CT01</t>
  </si>
  <si>
    <t>COORDINATED CONVEYERS IN AN AUTOMATED SYSTEM</t>
  </si>
  <si>
    <t>Utility - CON</t>
  </si>
  <si>
    <t>Published</t>
  </si>
  <si>
    <t>18/244,841</t>
  </si>
  <si>
    <t>US2023-0417782A1</t>
  </si>
  <si>
    <t>Team Conveyer Royalties A, LLC [127025]</t>
  </si>
  <si>
    <t>127025-0005PV01</t>
  </si>
  <si>
    <t>Prov - ORG</t>
  </si>
  <si>
    <t>Expired</t>
  </si>
  <si>
    <t>63/458,738</t>
  </si>
  <si>
    <t>127025-0004UT01</t>
  </si>
  <si>
    <t>MERRY-GO-ROUND STORAGE CONVEYER SYSTEM</t>
  </si>
  <si>
    <t>18/124,882</t>
  </si>
  <si>
    <t>US2023-0331487A1</t>
  </si>
  <si>
    <t>127025-0004WO01</t>
  </si>
  <si>
    <t>PCT/US2023/015902</t>
  </si>
  <si>
    <t>WO2023200559</t>
  </si>
  <si>
    <t>127025-0002CT01</t>
  </si>
  <si>
    <t>Issued</t>
  </si>
  <si>
    <t>17/963,985</t>
  </si>
  <si>
    <t>US2023-0035815A1</t>
  </si>
  <si>
    <t>US12056647B2</t>
  </si>
  <si>
    <t>127025-0004PV01</t>
  </si>
  <si>
    <t>63/330,458</t>
  </si>
  <si>
    <t>127025-0002UT01</t>
  </si>
  <si>
    <t>Utility - NPNEW</t>
  </si>
  <si>
    <t>16/828,863</t>
  </si>
  <si>
    <t>US2020-0324974A1</t>
  </si>
  <si>
    <t>US11498764B2</t>
  </si>
  <si>
    <t>127025-0002AU02</t>
  </si>
  <si>
    <t>Utility - DIV</t>
  </si>
  <si>
    <t>Australia</t>
  </si>
  <si>
    <t>2023258403</t>
  </si>
  <si>
    <t>127025-0002CN02</t>
  </si>
  <si>
    <t>China</t>
  </si>
  <si>
    <t>2023113588275</t>
  </si>
  <si>
    <t>CN117141997</t>
  </si>
  <si>
    <t>127025-0002CA02</t>
  </si>
  <si>
    <t>Canada</t>
  </si>
  <si>
    <t>3,216,352</t>
  </si>
  <si>
    <t>127025-0002KR02</t>
  </si>
  <si>
    <t>Republic of Korea</t>
  </si>
  <si>
    <t>10-2023-7029371</t>
  </si>
  <si>
    <t>127025-0002JP02</t>
  </si>
  <si>
    <t>Japan</t>
  </si>
  <si>
    <t>2023-065956</t>
  </si>
  <si>
    <t>127025-0002HK01</t>
  </si>
  <si>
    <t>Utility - CONF</t>
  </si>
  <si>
    <t>Hong Kong</t>
  </si>
  <si>
    <t>HK40068988</t>
  </si>
  <si>
    <t>127025-0002CN01</t>
  </si>
  <si>
    <t>Utility - NSPCT</t>
  </si>
  <si>
    <t>2020800407149</t>
  </si>
  <si>
    <t>CN114026033A</t>
  </si>
  <si>
    <t>CN114026033B</t>
  </si>
  <si>
    <t>127025-0002KR01</t>
  </si>
  <si>
    <t>10-2021-7036774</t>
  </si>
  <si>
    <t>KR20220017895A</t>
  </si>
  <si>
    <t>KR10-2573892B1</t>
  </si>
  <si>
    <t>127025-0002AU01</t>
  </si>
  <si>
    <t>2020271780</t>
  </si>
  <si>
    <t>AU2020271780</t>
  </si>
  <si>
    <t>127025-0002JP01</t>
  </si>
  <si>
    <t>2021-560647</t>
  </si>
  <si>
    <t>JP2022527866A</t>
  </si>
  <si>
    <t>JP7265036</t>
  </si>
  <si>
    <t>127025-0002CA01</t>
  </si>
  <si>
    <t>3,136,609</t>
  </si>
  <si>
    <t>CA3136609C</t>
  </si>
  <si>
    <t>127025-0002EP01</t>
  </si>
  <si>
    <t>European Patent Office</t>
  </si>
  <si>
    <t>EP3953277</t>
  </si>
  <si>
    <t>127025-0002WO01</t>
  </si>
  <si>
    <t>Completed</t>
  </si>
  <si>
    <t>PCT/US2020/023718</t>
  </si>
  <si>
    <t>WO2020/210001</t>
  </si>
  <si>
    <t>127025-0001UT01</t>
  </si>
  <si>
    <t>16/578,108</t>
  </si>
  <si>
    <t>US2020-0110103A1</t>
  </si>
  <si>
    <t>US11754576B2</t>
  </si>
  <si>
    <t>127025-0003PV01</t>
  </si>
  <si>
    <t>AMAZON FULFILLMENT CENTER UPGRADE</t>
  </si>
  <si>
    <t>62/898,414</t>
  </si>
  <si>
    <t>127025-0002PV01</t>
  </si>
  <si>
    <t>A ROBOTIC FULFILLMENT SYSTEM FOR ONLINE SHOPPING AND ITS SUPPLY CHAIN</t>
  </si>
  <si>
    <t>62/832,701</t>
  </si>
  <si>
    <t>John G. Gorman</t>
  </si>
  <si>
    <t>127025-0001PV01</t>
  </si>
  <si>
    <t>METHODS FOR USING COORDINATED CONVEYERS IN AN AUTOMATED SYSTEMS</t>
  </si>
  <si>
    <t>62/742,830</t>
  </si>
  <si>
    <t>26 results displayed.</t>
  </si>
  <si>
    <t>First Name</t>
  </si>
  <si>
    <t>Last Name</t>
  </si>
  <si>
    <t>RPRT (Right Place Right Time)</t>
  </si>
  <si>
    <t>Andrew</t>
  </si>
  <si>
    <t>Probyn</t>
  </si>
  <si>
    <t>$10 Million</t>
  </si>
  <si>
    <t>Anthony</t>
  </si>
  <si>
    <t>Millin</t>
  </si>
  <si>
    <t>Brie</t>
  </si>
  <si>
    <t>Stotler</t>
  </si>
  <si>
    <t>Carl</t>
  </si>
  <si>
    <t>Berke</t>
  </si>
  <si>
    <t>Chris</t>
  </si>
  <si>
    <t>Feistel</t>
  </si>
  <si>
    <t>Cole</t>
  </si>
  <si>
    <t>Owen</t>
  </si>
  <si>
    <t>David</t>
  </si>
  <si>
    <t>Vigil</t>
  </si>
  <si>
    <t>Hank</t>
  </si>
  <si>
    <t>Graham</t>
  </si>
  <si>
    <t xml:space="preserve">Hans </t>
  </si>
  <si>
    <t>Utsch</t>
  </si>
  <si>
    <t xml:space="preserve">Jeanne </t>
  </si>
  <si>
    <t>Gorman</t>
  </si>
  <si>
    <t xml:space="preserve">Jocelyn </t>
  </si>
  <si>
    <t>Morris</t>
  </si>
  <si>
    <t>Katherine</t>
  </si>
  <si>
    <t>Joel</t>
  </si>
  <si>
    <t>Slenk</t>
  </si>
  <si>
    <t>Jonathan</t>
  </si>
  <si>
    <t>Cheng</t>
  </si>
  <si>
    <t>Julian</t>
  </si>
  <si>
    <t>Guthrie</t>
  </si>
  <si>
    <t>Noel</t>
  </si>
  <si>
    <t>Gillespie</t>
  </si>
  <si>
    <t>Oscar</t>
  </si>
  <si>
    <t>Garfein</t>
  </si>
  <si>
    <t>Peter</t>
  </si>
  <si>
    <t>Lerner</t>
  </si>
  <si>
    <t>Rhonda</t>
  </si>
  <si>
    <t>Evans</t>
  </si>
  <si>
    <t>Richard</t>
  </si>
  <si>
    <t>Scordato</t>
  </si>
  <si>
    <t>Sanford</t>
  </si>
  <si>
    <t>Ehrlich</t>
  </si>
  <si>
    <t>Sean</t>
  </si>
  <si>
    <t>Tuttman</t>
  </si>
  <si>
    <t>Jack</t>
  </si>
  <si>
    <t>DeFranco</t>
  </si>
  <si>
    <t>Larry</t>
  </si>
  <si>
    <t>Auriana</t>
  </si>
  <si>
    <t>Denise</t>
  </si>
  <si>
    <t>Stich</t>
  </si>
  <si>
    <t>Hendrick</t>
  </si>
  <si>
    <t xml:space="preserve">Jeylan </t>
  </si>
  <si>
    <t>Stanford</t>
  </si>
  <si>
    <t xml:space="preserve">Marcy </t>
  </si>
  <si>
    <t>Jellison</t>
  </si>
  <si>
    <t>Barbara</t>
  </si>
  <si>
    <t>Fink</t>
  </si>
  <si>
    <t xml:space="preserve">Nancy </t>
  </si>
  <si>
    <t>Berenson</t>
  </si>
  <si>
    <t>Gerry</t>
  </si>
  <si>
    <t>James</t>
  </si>
  <si>
    <t>Jurgen</t>
  </si>
  <si>
    <t>Schmerler</t>
  </si>
  <si>
    <t>Alex</t>
  </si>
  <si>
    <t>Scranton</t>
  </si>
  <si>
    <t>John W.</t>
  </si>
  <si>
    <t>Elizabeth</t>
  </si>
  <si>
    <t>Lorenzo</t>
  </si>
  <si>
    <t>Cavalletti</t>
  </si>
  <si>
    <t>Test Revenues from Automated Analyzers with DLA (Billions)</t>
  </si>
  <si>
    <t xml:space="preserve">Royalties for TCI (Billions)  </t>
  </si>
  <si>
    <t>PV Royalties for TCI (Billions)</t>
  </si>
  <si>
    <t>Revenues  Automated Analyzers (Billions)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</si>
</sst>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8" formatCode="&quot;$&quot;#,##0.00_);[Red]\(&quot;$&quot;#,##0.00\)"/>
    <numFmt numFmtId="164" formatCode="0.00000000"/>
    <numFmt numFmtId="165" formatCode="0.0"/>
    <numFmt numFmtId="166" formatCode="0.0%"/>
    <numFmt numFmtId="167" formatCode="&quot;$&quot;#,##0.0"/>
    <numFmt numFmtId="168" formatCode="&quot;$&quot;#,##0"/>
    <numFmt numFmtId="169" formatCode="mm/dd/yyyy"/>
  </numFmts>
  <fonts count="22" x14ac:knownFonts="1">
    <font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u/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u/>
      <sz val="15"/>
      <color theme="1"/>
      <name val="Calibri"/>
      <family val="2"/>
      <scheme val="minor"/>
    </font>
    <font>
      <b/>
      <sz val="15"/>
      <color theme="1"/>
      <name val="Calibri"/>
      <family val="2"/>
      <scheme val="minor"/>
    </font>
    <font>
      <sz val="15"/>
      <color theme="1"/>
      <name val="Calibri"/>
      <family val="2"/>
      <scheme val="minor"/>
    </font>
    <font>
      <b/>
      <sz val="15"/>
      <color theme="4"/>
      <name val="Calibri"/>
      <family val="2"/>
      <scheme val="minor"/>
    </font>
    <font>
      <sz val="15"/>
      <color theme="4"/>
      <name val="Calibri"/>
      <family val="2"/>
      <scheme val="minor"/>
    </font>
    <font>
      <b/>
      <sz val="15"/>
      <color theme="9"/>
      <name val="Calibri"/>
      <family val="2"/>
      <scheme val="minor"/>
    </font>
    <font>
      <sz val="15"/>
      <color theme="9"/>
      <name val="Calibri"/>
      <family val="2"/>
      <scheme val="minor"/>
    </font>
    <font>
      <sz val="11"/>
      <color rgb="FF0070C0"/>
      <name val="Calibri"/>
      <family val="2"/>
      <scheme val="minor"/>
    </font>
    <font>
      <sz val="8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name val="Calibri"/>
      <family val="2"/>
    </font>
    <font>
      <b/>
      <u/>
      <sz val="11"/>
      <color theme="1"/>
      <name val="Calibri"/>
      <family val="2"/>
      <scheme val="minor"/>
    </font>
    <font>
      <b/>
      <u/>
      <sz val="15"/>
      <color rgb="FFFF0000"/>
      <name val="Calibri"/>
      <family val="2"/>
      <scheme val="minor"/>
    </font>
    <font>
      <sz val="15"/>
      <color rgb="FFFF0000"/>
      <name val="Calibri"/>
      <family val="2"/>
      <scheme val="minor"/>
    </font>
    <font>
      <b/>
      <sz val="15"/>
      <color rgb="FF000000"/>
      <name val="Calibri"/>
      <family val="2"/>
      <scheme val="minor"/>
    </font>
    <font>
      <sz val="15"/>
      <color rgb="FF00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4" tint="0.79998168889431442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rgb="FF000000"/>
      </top>
      <bottom style="thin">
        <color auto="1"/>
      </bottom>
      <diagonal/>
    </border>
    <border>
      <left/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/>
      <bottom/>
      <diagonal/>
    </border>
  </borders>
  <cellStyleXfs count="2">
    <xf numFmtId="0" fontId="0" fillId="0" borderId="0"/>
    <xf numFmtId="9" fontId="4" fillId="0" borderId="0" applyFont="0" applyFill="0" applyBorder="0" applyAlignment="0" applyProtection="0"/>
  </cellStyleXfs>
  <cellXfs count="117">
    <xf numFmtId="0" fontId="0" fillId="0" borderId="0" xfId="0"/>
    <xf numFmtId="1" fontId="0" fillId="0" borderId="0" xfId="0" applyNumberFormat="1"/>
    <xf numFmtId="164" fontId="0" fillId="0" borderId="0" xfId="0" applyNumberFormat="1"/>
    <xf numFmtId="0" fontId="2" fillId="0" borderId="0" xfId="0" applyFont="1"/>
    <xf numFmtId="0" fontId="2" fillId="0" borderId="0" xfId="0" applyFont="1" applyAlignment="1">
      <alignment horizontal="center"/>
    </xf>
    <xf numFmtId="1" fontId="3" fillId="0" borderId="0" xfId="0" applyNumberFormat="1" applyFont="1"/>
    <xf numFmtId="0" fontId="3" fillId="0" borderId="0" xfId="0" applyFont="1" applyAlignment="1">
      <alignment horizontal="right"/>
    </xf>
    <xf numFmtId="0" fontId="1" fillId="0" borderId="0" xfId="0" applyFont="1"/>
    <xf numFmtId="0" fontId="3" fillId="0" borderId="0" xfId="0" applyFont="1"/>
    <xf numFmtId="0" fontId="1" fillId="0" borderId="0" xfId="0" applyFont="1" applyAlignment="1">
      <alignment horizontal="center"/>
    </xf>
    <xf numFmtId="1" fontId="1" fillId="0" borderId="0" xfId="0" applyNumberFormat="1" applyFont="1"/>
    <xf numFmtId="3" fontId="1" fillId="0" borderId="0" xfId="0" applyNumberFormat="1" applyFont="1"/>
    <xf numFmtId="9" fontId="1" fillId="0" borderId="0" xfId="0" applyNumberFormat="1" applyFont="1"/>
    <xf numFmtId="2" fontId="1" fillId="0" borderId="0" xfId="0" applyNumberFormat="1" applyFont="1"/>
    <xf numFmtId="0" fontId="3" fillId="0" borderId="2" xfId="0" applyFont="1" applyBorder="1"/>
    <xf numFmtId="0" fontId="1" fillId="0" borderId="3" xfId="0" applyFont="1" applyBorder="1"/>
    <xf numFmtId="0" fontId="3" fillId="0" borderId="4" xfId="0" applyFont="1" applyBorder="1"/>
    <xf numFmtId="8" fontId="1" fillId="0" borderId="5" xfId="0" applyNumberFormat="1" applyFont="1" applyBorder="1"/>
    <xf numFmtId="8" fontId="1" fillId="0" borderId="0" xfId="0" applyNumberFormat="1" applyFont="1"/>
    <xf numFmtId="0" fontId="1" fillId="0" borderId="5" xfId="0" applyFont="1" applyBorder="1"/>
    <xf numFmtId="2" fontId="1" fillId="0" borderId="5" xfId="0" applyNumberFormat="1" applyFont="1" applyBorder="1"/>
    <xf numFmtId="9" fontId="1" fillId="0" borderId="5" xfId="0" applyNumberFormat="1" applyFont="1" applyBorder="1"/>
    <xf numFmtId="4" fontId="1" fillId="0" borderId="0" xfId="0" applyNumberFormat="1" applyFont="1"/>
    <xf numFmtId="10" fontId="1" fillId="0" borderId="0" xfId="0" applyNumberFormat="1" applyFont="1"/>
    <xf numFmtId="0" fontId="3" fillId="0" borderId="1" xfId="0" applyFont="1" applyBorder="1"/>
    <xf numFmtId="166" fontId="1" fillId="0" borderId="0" xfId="0" applyNumberFormat="1" applyFont="1"/>
    <xf numFmtId="0" fontId="3" fillId="0" borderId="6" xfId="0" applyFont="1" applyBorder="1"/>
    <xf numFmtId="0" fontId="3" fillId="0" borderId="8" xfId="0" applyFont="1" applyBorder="1"/>
    <xf numFmtId="165" fontId="1" fillId="0" borderId="5" xfId="0" applyNumberFormat="1" applyFont="1" applyBorder="1"/>
    <xf numFmtId="3" fontId="1" fillId="0" borderId="7" xfId="0" applyNumberFormat="1" applyFont="1" applyBorder="1"/>
    <xf numFmtId="3" fontId="1" fillId="2" borderId="0" xfId="0" applyNumberFormat="1" applyFont="1" applyFill="1"/>
    <xf numFmtId="0" fontId="1" fillId="3" borderId="5" xfId="0" applyFont="1" applyFill="1" applyBorder="1"/>
    <xf numFmtId="166" fontId="1" fillId="0" borderId="9" xfId="0" applyNumberFormat="1" applyFont="1" applyBorder="1"/>
    <xf numFmtId="9" fontId="0" fillId="0" borderId="0" xfId="1" applyFont="1"/>
    <xf numFmtId="0" fontId="5" fillId="0" borderId="0" xfId="0" applyFont="1"/>
    <xf numFmtId="0" fontId="5" fillId="0" borderId="0" xfId="0" applyFont="1" applyAlignment="1">
      <alignment horizontal="center"/>
    </xf>
    <xf numFmtId="1" fontId="6" fillId="0" borderId="0" xfId="0" applyNumberFormat="1" applyFont="1"/>
    <xf numFmtId="0" fontId="6" fillId="0" borderId="0" xfId="0" applyFont="1" applyAlignment="1">
      <alignment horizontal="right"/>
    </xf>
    <xf numFmtId="0" fontId="7" fillId="0" borderId="0" xfId="0" applyFont="1"/>
    <xf numFmtId="0" fontId="7" fillId="0" borderId="0" xfId="0" applyFont="1" applyAlignment="1">
      <alignment horizontal="center"/>
    </xf>
    <xf numFmtId="1" fontId="7" fillId="0" borderId="0" xfId="0" applyNumberFormat="1" applyFont="1"/>
    <xf numFmtId="0" fontId="6" fillId="0" borderId="0" xfId="0" applyFont="1"/>
    <xf numFmtId="3" fontId="7" fillId="0" borderId="0" xfId="0" applyNumberFormat="1" applyFont="1"/>
    <xf numFmtId="2" fontId="7" fillId="0" borderId="0" xfId="0" applyNumberFormat="1" applyFont="1"/>
    <xf numFmtId="0" fontId="6" fillId="0" borderId="2" xfId="0" applyFont="1" applyBorder="1"/>
    <xf numFmtId="0" fontId="7" fillId="0" borderId="3" xfId="0" applyFont="1" applyBorder="1"/>
    <xf numFmtId="0" fontId="6" fillId="0" borderId="4" xfId="0" applyFont="1" applyBorder="1"/>
    <xf numFmtId="8" fontId="7" fillId="0" borderId="5" xfId="0" applyNumberFormat="1" applyFont="1" applyBorder="1"/>
    <xf numFmtId="8" fontId="7" fillId="0" borderId="0" xfId="0" applyNumberFormat="1" applyFont="1"/>
    <xf numFmtId="0" fontId="7" fillId="0" borderId="5" xfId="0" applyFont="1" applyBorder="1"/>
    <xf numFmtId="0" fontId="7" fillId="3" borderId="5" xfId="0" applyFont="1" applyFill="1" applyBorder="1"/>
    <xf numFmtId="2" fontId="7" fillId="0" borderId="5" xfId="0" applyNumberFormat="1" applyFont="1" applyBorder="1"/>
    <xf numFmtId="9" fontId="7" fillId="0" borderId="5" xfId="0" applyNumberFormat="1" applyFont="1" applyBorder="1"/>
    <xf numFmtId="4" fontId="7" fillId="0" borderId="0" xfId="0" applyNumberFormat="1" applyFont="1"/>
    <xf numFmtId="10" fontId="7" fillId="0" borderId="0" xfId="0" applyNumberFormat="1" applyFont="1"/>
    <xf numFmtId="165" fontId="7" fillId="0" borderId="5" xfId="0" applyNumberFormat="1" applyFont="1" applyBorder="1"/>
    <xf numFmtId="0" fontId="6" fillId="0" borderId="8" xfId="0" applyFont="1" applyBorder="1"/>
    <xf numFmtId="166" fontId="7" fillId="0" borderId="9" xfId="0" applyNumberFormat="1" applyFont="1" applyBorder="1"/>
    <xf numFmtId="164" fontId="7" fillId="0" borderId="0" xfId="0" applyNumberFormat="1" applyFont="1"/>
    <xf numFmtId="9" fontId="7" fillId="0" borderId="0" xfId="1" applyFont="1"/>
    <xf numFmtId="0" fontId="8" fillId="0" borderId="0" xfId="0" applyFont="1"/>
    <xf numFmtId="1" fontId="9" fillId="0" borderId="0" xfId="0" applyNumberFormat="1" applyFont="1"/>
    <xf numFmtId="0" fontId="9" fillId="0" borderId="0" xfId="0" applyFont="1"/>
    <xf numFmtId="0" fontId="10" fillId="0" borderId="0" xfId="0" applyFont="1"/>
    <xf numFmtId="1" fontId="11" fillId="0" borderId="0" xfId="0" applyNumberFormat="1" applyFont="1"/>
    <xf numFmtId="0" fontId="11" fillId="0" borderId="0" xfId="0" applyFont="1"/>
    <xf numFmtId="0" fontId="6" fillId="0" borderId="0" xfId="0" applyFont="1" applyAlignment="1">
      <alignment wrapText="1"/>
    </xf>
    <xf numFmtId="0" fontId="6" fillId="0" borderId="10" xfId="0" applyFont="1" applyBorder="1"/>
    <xf numFmtId="166" fontId="7" fillId="0" borderId="11" xfId="0" applyNumberFormat="1" applyFont="1" applyBorder="1"/>
    <xf numFmtId="9" fontId="7" fillId="0" borderId="0" xfId="1" applyFont="1" applyBorder="1"/>
    <xf numFmtId="3" fontId="7" fillId="0" borderId="5" xfId="0" applyNumberFormat="1" applyFont="1" applyBorder="1"/>
    <xf numFmtId="9" fontId="0" fillId="0" borderId="0" xfId="0" applyNumberFormat="1"/>
    <xf numFmtId="0" fontId="0" fillId="0" borderId="0" xfId="0" applyAlignment="1">
      <alignment horizontal="right"/>
    </xf>
    <xf numFmtId="0" fontId="12" fillId="0" borderId="0" xfId="0" applyFont="1"/>
    <xf numFmtId="9" fontId="12" fillId="0" borderId="0" xfId="0" applyNumberFormat="1" applyFont="1"/>
    <xf numFmtId="167" fontId="12" fillId="0" borderId="0" xfId="0" applyNumberFormat="1" applyFont="1"/>
    <xf numFmtId="167" fontId="0" fillId="0" borderId="0" xfId="0" applyNumberFormat="1"/>
    <xf numFmtId="49" fontId="12" fillId="0" borderId="0" xfId="0" applyNumberFormat="1" applyFont="1" applyAlignment="1">
      <alignment horizontal="right"/>
    </xf>
    <xf numFmtId="10" fontId="0" fillId="0" borderId="0" xfId="0" applyNumberFormat="1"/>
    <xf numFmtId="2" fontId="0" fillId="0" borderId="0" xfId="0" applyNumberFormat="1"/>
    <xf numFmtId="167" fontId="14" fillId="0" borderId="0" xfId="0" applyNumberFormat="1" applyFont="1"/>
    <xf numFmtId="168" fontId="0" fillId="0" borderId="0" xfId="0" applyNumberFormat="1"/>
    <xf numFmtId="10" fontId="14" fillId="0" borderId="0" xfId="0" applyNumberFormat="1" applyFont="1"/>
    <xf numFmtId="10" fontId="12" fillId="0" borderId="0" xfId="0" applyNumberFormat="1" applyFont="1"/>
    <xf numFmtId="10" fontId="12" fillId="0" borderId="0" xfId="0" applyNumberFormat="1" applyFont="1" applyAlignment="1">
      <alignment horizontal="right"/>
    </xf>
    <xf numFmtId="9" fontId="12" fillId="0" borderId="0" xfId="0" applyNumberFormat="1" applyFont="1" applyAlignment="1">
      <alignment wrapText="1"/>
    </xf>
    <xf numFmtId="0" fontId="15" fillId="0" borderId="0" xfId="0" applyFont="1"/>
    <xf numFmtId="0" fontId="16" fillId="4" borderId="12" xfId="0" applyFont="1" applyFill="1" applyBorder="1" applyAlignment="1">
      <alignment vertical="center" wrapText="1"/>
    </xf>
    <xf numFmtId="165" fontId="16" fillId="4" borderId="12" xfId="0" applyNumberFormat="1" applyFont="1" applyFill="1" applyBorder="1" applyAlignment="1">
      <alignment vertical="center" wrapText="1"/>
    </xf>
    <xf numFmtId="0" fontId="0" fillId="0" borderId="12" xfId="0" applyBorder="1"/>
    <xf numFmtId="0" fontId="0" fillId="0" borderId="12" xfId="0" applyBorder="1" applyAlignment="1">
      <alignment vertical="top" wrapText="1"/>
    </xf>
    <xf numFmtId="165" fontId="0" fillId="0" borderId="12" xfId="0" applyNumberFormat="1" applyBorder="1" applyAlignment="1">
      <alignment vertical="top" wrapText="1"/>
    </xf>
    <xf numFmtId="169" fontId="0" fillId="0" borderId="12" xfId="0" applyNumberFormat="1" applyBorder="1" applyAlignment="1">
      <alignment vertical="top" wrapText="1"/>
    </xf>
    <xf numFmtId="165" fontId="0" fillId="0" borderId="12" xfId="0" applyNumberFormat="1" applyBorder="1"/>
    <xf numFmtId="165" fontId="0" fillId="0" borderId="0" xfId="0" applyNumberFormat="1"/>
    <xf numFmtId="0" fontId="17" fillId="0" borderId="0" xfId="0" applyFont="1"/>
    <xf numFmtId="166" fontId="7" fillId="0" borderId="0" xfId="0" applyNumberFormat="1" applyFont="1"/>
    <xf numFmtId="0" fontId="18" fillId="0" borderId="0" xfId="0" applyFont="1"/>
    <xf numFmtId="0" fontId="19" fillId="0" borderId="0" xfId="0" applyFont="1"/>
    <xf numFmtId="2" fontId="19" fillId="0" borderId="0" xfId="0" applyNumberFormat="1" applyFont="1"/>
    <xf numFmtId="1" fontId="19" fillId="0" borderId="0" xfId="0" applyNumberFormat="1" applyFont="1"/>
    <xf numFmtId="8" fontId="19" fillId="0" borderId="0" xfId="0" applyNumberFormat="1" applyFont="1"/>
    <xf numFmtId="3" fontId="19" fillId="0" borderId="0" xfId="0" applyNumberFormat="1" applyFont="1"/>
    <xf numFmtId="10" fontId="19" fillId="0" borderId="0" xfId="0" applyNumberFormat="1" applyFont="1"/>
    <xf numFmtId="0" fontId="7" fillId="3" borderId="0" xfId="0" applyFont="1" applyFill="1" applyAlignment="1">
      <alignment wrapText="1"/>
    </xf>
    <xf numFmtId="3" fontId="6" fillId="5" borderId="0" xfId="0" applyNumberFormat="1" applyFont="1" applyFill="1"/>
    <xf numFmtId="1" fontId="6" fillId="5" borderId="0" xfId="0" applyNumberFormat="1" applyFont="1" applyFill="1"/>
    <xf numFmtId="3" fontId="20" fillId="5" borderId="0" xfId="0" applyNumberFormat="1" applyFont="1" applyFill="1"/>
    <xf numFmtId="9" fontId="21" fillId="0" borderId="0" xfId="0" applyNumberFormat="1" applyFont="1"/>
    <xf numFmtId="0" fontId="21" fillId="0" borderId="0" xfId="0" applyFont="1"/>
    <xf numFmtId="3" fontId="21" fillId="0" borderId="0" xfId="0" applyNumberFormat="1" applyFont="1"/>
    <xf numFmtId="0" fontId="5" fillId="0" borderId="13" xfId="0" applyFont="1" applyBorder="1"/>
    <xf numFmtId="0" fontId="7" fillId="0" borderId="13" xfId="0" applyFont="1" applyBorder="1"/>
    <xf numFmtId="3" fontId="21" fillId="0" borderId="13" xfId="0" applyNumberFormat="1" applyFont="1" applyBorder="1"/>
    <xf numFmtId="9" fontId="21" fillId="0" borderId="13" xfId="0" applyNumberFormat="1" applyFont="1" applyBorder="1"/>
    <xf numFmtId="0" fontId="21" fillId="0" borderId="13" xfId="0" applyFont="1" applyBorder="1"/>
    <xf numFmtId="2" fontId="7" fillId="0" borderId="13" xfId="0" applyNumberFormat="1" applyFont="1" applyBorder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John Gorman" id="{8539E49A-2C1A-48F7-B331-EF42A3A080FA}" userId="199b017bfe3ba9aa" providerId="Windows Live"/>
</personList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52" dT="2025-09-02T16:37:35.52" personId="{8539E49A-2C1A-48F7-B331-EF42A3A080FA}" id="{D14AD444-002D-4E17-854F-FB79C08D7687}">
    <text>This is to be reviewed</text>
  </threadedComment>
</ThreadedComment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2F83F7-4D60-418D-97F2-13DFFEA846C0}">
  <dimension ref="A1:Z55"/>
  <sheetViews>
    <sheetView zoomScale="55" zoomScaleNormal="55" workbookViewId="0">
      <selection activeCell="G46" sqref="G46"/>
    </sheetView>
  </sheetViews>
  <sheetFormatPr defaultRowHeight="15" customHeight="1" x14ac:dyDescent="0.4"/>
  <cols>
    <col min="1" max="1" width="54.4609375" customWidth="1"/>
    <col min="2" max="2" width="14" bestFit="1" customWidth="1"/>
    <col min="3" max="3" width="11.23046875" bestFit="1" customWidth="1"/>
    <col min="4" max="4" width="8.4609375" customWidth="1"/>
    <col min="5" max="5" width="11.4609375" bestFit="1" customWidth="1"/>
    <col min="6" max="6" width="9.53515625" bestFit="1" customWidth="1"/>
    <col min="7" max="7" width="9.53515625" customWidth="1"/>
    <col min="8" max="8" width="11.23046875" customWidth="1"/>
    <col min="9" max="9" width="11" customWidth="1"/>
    <col min="10" max="10" width="11.53515625" customWidth="1"/>
    <col min="11" max="11" width="11.69140625" customWidth="1"/>
    <col min="12" max="14" width="8.4609375" hidden="1" customWidth="1"/>
    <col min="15" max="15" width="1.4609375" hidden="1" customWidth="1"/>
    <col min="16" max="16" width="12" customWidth="1"/>
    <col min="17" max="17" width="10.69140625" customWidth="1"/>
    <col min="18" max="18" width="11.23046875" bestFit="1" customWidth="1"/>
    <col min="19" max="23" width="11.23046875" customWidth="1"/>
    <col min="24" max="24" width="16.23046875" bestFit="1" customWidth="1"/>
    <col min="25" max="25" width="12.53515625" style="1" customWidth="1"/>
    <col min="26" max="26" width="10.4609375" customWidth="1"/>
    <col min="27" max="27" width="10.69140625" bestFit="1" customWidth="1"/>
  </cols>
  <sheetData>
    <row r="1" spans="1:26" s="7" customFormat="1" ht="20.6" x14ac:dyDescent="0.55000000000000004">
      <c r="A1" s="3"/>
      <c r="B1" s="3">
        <v>2023</v>
      </c>
      <c r="C1" s="3">
        <v>2024</v>
      </c>
      <c r="D1" s="3">
        <v>2025</v>
      </c>
      <c r="E1" s="3">
        <v>2026</v>
      </c>
      <c r="F1" s="3">
        <v>2027</v>
      </c>
      <c r="G1" s="3">
        <v>2028</v>
      </c>
      <c r="H1" s="3">
        <v>2029</v>
      </c>
      <c r="I1" s="3">
        <v>2030</v>
      </c>
      <c r="J1" s="3">
        <v>2031</v>
      </c>
      <c r="K1" s="3">
        <v>2032</v>
      </c>
      <c r="L1" s="3">
        <v>2033</v>
      </c>
      <c r="M1" s="3">
        <v>2034</v>
      </c>
      <c r="N1" s="3">
        <v>2035</v>
      </c>
      <c r="O1" s="3">
        <v>2036</v>
      </c>
      <c r="P1" s="3">
        <v>2037</v>
      </c>
      <c r="Q1" s="3">
        <v>2038</v>
      </c>
      <c r="R1" s="3">
        <v>2039</v>
      </c>
      <c r="S1" s="3">
        <v>2040</v>
      </c>
      <c r="T1" s="3">
        <v>2041</v>
      </c>
      <c r="U1" s="3">
        <v>2042</v>
      </c>
      <c r="V1" s="3">
        <v>2043</v>
      </c>
      <c r="W1" s="3">
        <v>2044</v>
      </c>
      <c r="X1" s="4" t="s">
        <v>0</v>
      </c>
      <c r="Y1" s="5" t="s">
        <v>1</v>
      </c>
      <c r="Z1" s="6" t="s">
        <v>2</v>
      </c>
    </row>
    <row r="2" spans="1:26" s="7" customFormat="1" ht="20.6" x14ac:dyDescent="0.55000000000000004">
      <c r="X2" s="9"/>
      <c r="Y2" s="10"/>
    </row>
    <row r="3" spans="1:26" s="7" customFormat="1" ht="20.6" x14ac:dyDescent="0.55000000000000004">
      <c r="A3" s="8" t="s">
        <v>3</v>
      </c>
      <c r="B3" s="11">
        <f>$B$39</f>
        <v>230</v>
      </c>
      <c r="C3" s="11">
        <f t="shared" ref="C3:R3" si="0">B3*$B$40</f>
        <v>241.5</v>
      </c>
      <c r="D3" s="11">
        <f t="shared" si="0"/>
        <v>253.57500000000002</v>
      </c>
      <c r="E3" s="11">
        <f t="shared" si="0"/>
        <v>266.25375000000003</v>
      </c>
      <c r="F3" s="11">
        <f t="shared" si="0"/>
        <v>279.56643750000006</v>
      </c>
      <c r="G3" s="11">
        <f t="shared" si="0"/>
        <v>293.54475937500007</v>
      </c>
      <c r="H3" s="11">
        <f t="shared" si="0"/>
        <v>308.2219973437501</v>
      </c>
      <c r="I3" s="11">
        <f t="shared" si="0"/>
        <v>323.63309721093765</v>
      </c>
      <c r="J3" s="11">
        <f t="shared" si="0"/>
        <v>339.81475207148452</v>
      </c>
      <c r="K3" s="11">
        <f t="shared" si="0"/>
        <v>356.80548967505877</v>
      </c>
      <c r="L3" s="11">
        <f t="shared" si="0"/>
        <v>374.64576415881174</v>
      </c>
      <c r="M3" s="11">
        <f t="shared" si="0"/>
        <v>393.37805236675234</v>
      </c>
      <c r="N3" s="11">
        <f t="shared" si="0"/>
        <v>413.04695498509</v>
      </c>
      <c r="O3" s="11">
        <f t="shared" si="0"/>
        <v>433.69930273434454</v>
      </c>
      <c r="P3" s="11">
        <f t="shared" si="0"/>
        <v>455.38426787106181</v>
      </c>
      <c r="Q3" s="11">
        <f t="shared" si="0"/>
        <v>478.15348126461492</v>
      </c>
      <c r="R3" s="11">
        <f t="shared" si="0"/>
        <v>502.06115532784571</v>
      </c>
      <c r="S3" s="11">
        <f t="shared" ref="S3" si="1">R3*$B$40</f>
        <v>527.16421309423799</v>
      </c>
      <c r="T3" s="11">
        <f t="shared" ref="T3" si="2">S3*$B$40</f>
        <v>553.5224237489499</v>
      </c>
      <c r="U3" s="11">
        <f t="shared" ref="U3" si="3">T3*$B$40</f>
        <v>581.19854493639741</v>
      </c>
      <c r="V3" s="11">
        <f t="shared" ref="V3" si="4">U3*$B$40</f>
        <v>610.25847218321735</v>
      </c>
      <c r="W3" s="11">
        <f t="shared" ref="W3" si="5">V3*$B$40</f>
        <v>640.77139579237826</v>
      </c>
      <c r="X3" s="30">
        <f>SUM(B3:W3)</f>
        <v>8856.1993116399353</v>
      </c>
      <c r="Y3" s="10"/>
    </row>
    <row r="4" spans="1:26" s="7" customFormat="1" ht="20.6" hidden="1" x14ac:dyDescent="0.55000000000000004">
      <c r="A4" s="8" t="s">
        <v>4</v>
      </c>
      <c r="B4" s="12">
        <v>0.06</v>
      </c>
      <c r="C4" s="12">
        <v>0.06</v>
      </c>
      <c r="D4" s="12">
        <v>0.06</v>
      </c>
      <c r="E4" s="12">
        <v>0.06</v>
      </c>
      <c r="F4" s="12">
        <v>0.06</v>
      </c>
      <c r="G4" s="12">
        <v>0.06</v>
      </c>
      <c r="H4" s="12">
        <v>0.06</v>
      </c>
      <c r="I4" s="12">
        <v>0.06</v>
      </c>
      <c r="J4" s="12">
        <v>0.06</v>
      </c>
      <c r="K4" s="12">
        <v>0.06</v>
      </c>
      <c r="L4" s="12">
        <v>0.06</v>
      </c>
      <c r="M4" s="12">
        <v>0.06</v>
      </c>
      <c r="N4" s="12">
        <v>0.06</v>
      </c>
      <c r="O4" s="12">
        <v>0.06</v>
      </c>
      <c r="P4" s="12">
        <v>0.06</v>
      </c>
      <c r="Q4" s="12">
        <v>0.06</v>
      </c>
      <c r="R4" s="12">
        <v>0.06</v>
      </c>
      <c r="S4" s="12"/>
      <c r="T4" s="12"/>
      <c r="U4" s="12"/>
      <c r="V4" s="12"/>
      <c r="W4" s="12"/>
      <c r="X4" s="30">
        <f t="shared" ref="X4:X28" si="6">SUM(B4:W4)</f>
        <v>1.0200000000000005</v>
      </c>
      <c r="Y4" s="10"/>
    </row>
    <row r="5" spans="1:26" s="7" customFormat="1" ht="20.6" x14ac:dyDescent="0.55000000000000004">
      <c r="A5" s="8"/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30"/>
      <c r="Y5" s="10"/>
    </row>
    <row r="6" spans="1:26" s="7" customFormat="1" ht="20.6" x14ac:dyDescent="0.55000000000000004">
      <c r="A6" s="8" t="s">
        <v>5</v>
      </c>
      <c r="B6" s="11">
        <f>B3*0.85</f>
        <v>195.5</v>
      </c>
      <c r="C6" s="11">
        <f t="shared" ref="C6:W6" si="7">C3*0.85</f>
        <v>205.27500000000001</v>
      </c>
      <c r="D6" s="11">
        <f t="shared" si="7"/>
        <v>215.53875000000002</v>
      </c>
      <c r="E6" s="11">
        <f t="shared" si="7"/>
        <v>226.31568750000002</v>
      </c>
      <c r="F6" s="11">
        <f t="shared" si="7"/>
        <v>237.63147187500005</v>
      </c>
      <c r="G6" s="11">
        <f t="shared" si="7"/>
        <v>249.51304546875005</v>
      </c>
      <c r="H6" s="11">
        <f t="shared" si="7"/>
        <v>261.98869774218758</v>
      </c>
      <c r="I6" s="11">
        <f t="shared" si="7"/>
        <v>275.08813262929698</v>
      </c>
      <c r="J6" s="11">
        <f t="shared" si="7"/>
        <v>288.84253926076184</v>
      </c>
      <c r="K6" s="11">
        <f t="shared" si="7"/>
        <v>303.28466622379995</v>
      </c>
      <c r="L6" s="11">
        <f>L3*0.85</f>
        <v>318.44889953498995</v>
      </c>
      <c r="M6" s="11">
        <f t="shared" si="7"/>
        <v>334.37134451173949</v>
      </c>
      <c r="N6" s="11">
        <f t="shared" si="7"/>
        <v>351.08991173732647</v>
      </c>
      <c r="O6" s="11">
        <f t="shared" si="7"/>
        <v>368.64440732419285</v>
      </c>
      <c r="P6" s="11">
        <f t="shared" si="7"/>
        <v>387.07662769040252</v>
      </c>
      <c r="Q6" s="11">
        <f t="shared" si="7"/>
        <v>406.43045907492268</v>
      </c>
      <c r="R6" s="11">
        <f t="shared" si="7"/>
        <v>426.75198202866886</v>
      </c>
      <c r="S6" s="11">
        <f t="shared" si="7"/>
        <v>448.08958113010226</v>
      </c>
      <c r="T6" s="11">
        <f t="shared" si="7"/>
        <v>470.49406018660738</v>
      </c>
      <c r="U6" s="11">
        <f t="shared" si="7"/>
        <v>494.01876319593777</v>
      </c>
      <c r="V6" s="11">
        <f t="shared" si="7"/>
        <v>518.71970135573474</v>
      </c>
      <c r="W6" s="11">
        <f t="shared" si="7"/>
        <v>544.6556864235215</v>
      </c>
      <c r="X6" s="30">
        <f t="shared" si="6"/>
        <v>7527.7694148939436</v>
      </c>
      <c r="Y6" s="10"/>
    </row>
    <row r="7" spans="1:26" s="7" customFormat="1" ht="20.6" x14ac:dyDescent="0.55000000000000004">
      <c r="A7" s="8"/>
      <c r="X7" s="30"/>
      <c r="Y7" s="10"/>
    </row>
    <row r="8" spans="1:26" s="7" customFormat="1" ht="20.6" x14ac:dyDescent="0.55000000000000004">
      <c r="A8" s="8" t="s">
        <v>6</v>
      </c>
      <c r="B8" s="10">
        <v>0</v>
      </c>
      <c r="C8" s="10">
        <v>0</v>
      </c>
      <c r="D8" s="7">
        <v>0</v>
      </c>
      <c r="E8" s="25">
        <f>2%*$B$42</f>
        <v>1.8000000000000002E-2</v>
      </c>
      <c r="F8" s="12">
        <f>20%*$B$42</f>
        <v>0.18000000000000002</v>
      </c>
      <c r="G8" s="12">
        <f>40%*$B$42</f>
        <v>0.36000000000000004</v>
      </c>
      <c r="H8" s="12">
        <f>60%*$B$42</f>
        <v>0.54</v>
      </c>
      <c r="I8" s="12">
        <f>90%*$B$42</f>
        <v>0.81</v>
      </c>
      <c r="J8" s="12">
        <f>91%*$B$42</f>
        <v>0.81900000000000006</v>
      </c>
      <c r="K8" s="12">
        <f>92%*$B$42</f>
        <v>0.82800000000000007</v>
      </c>
      <c r="L8" s="12">
        <f t="shared" ref="L8:W8" si="8">93%*$B$42</f>
        <v>0.83700000000000008</v>
      </c>
      <c r="M8" s="12">
        <f t="shared" si="8"/>
        <v>0.83700000000000008</v>
      </c>
      <c r="N8" s="12">
        <f t="shared" si="8"/>
        <v>0.83700000000000008</v>
      </c>
      <c r="O8" s="12">
        <f t="shared" si="8"/>
        <v>0.83700000000000008</v>
      </c>
      <c r="P8" s="12">
        <f t="shared" si="8"/>
        <v>0.83700000000000008</v>
      </c>
      <c r="Q8" s="12">
        <f t="shared" si="8"/>
        <v>0.83700000000000008</v>
      </c>
      <c r="R8" s="12">
        <f t="shared" si="8"/>
        <v>0.83700000000000008</v>
      </c>
      <c r="S8" s="12">
        <f t="shared" si="8"/>
        <v>0.83700000000000008</v>
      </c>
      <c r="T8" s="12">
        <f t="shared" si="8"/>
        <v>0.83700000000000008</v>
      </c>
      <c r="U8" s="12">
        <f t="shared" si="8"/>
        <v>0.83700000000000008</v>
      </c>
      <c r="V8" s="12">
        <f t="shared" si="8"/>
        <v>0.83700000000000008</v>
      </c>
      <c r="W8" s="12">
        <f t="shared" si="8"/>
        <v>0.83700000000000008</v>
      </c>
      <c r="X8" s="30"/>
      <c r="Y8" s="10"/>
    </row>
    <row r="9" spans="1:26" s="7" customFormat="1" ht="20.6" x14ac:dyDescent="0.55000000000000004">
      <c r="A9" s="8"/>
      <c r="X9" s="30"/>
      <c r="Y9" s="10"/>
    </row>
    <row r="10" spans="1:26" s="7" customFormat="1" ht="20.6" x14ac:dyDescent="0.55000000000000004">
      <c r="A10" s="8" t="s">
        <v>7</v>
      </c>
      <c r="B10" s="13">
        <f t="shared" ref="B10:D10" si="9">B6*B8</f>
        <v>0</v>
      </c>
      <c r="C10" s="13">
        <f t="shared" si="9"/>
        <v>0</v>
      </c>
      <c r="D10" s="13">
        <f t="shared" si="9"/>
        <v>0</v>
      </c>
      <c r="E10" s="13">
        <f>E6*E8</f>
        <v>4.0736823750000006</v>
      </c>
      <c r="F10" s="13">
        <f t="shared" ref="F10:W10" si="10">F6*F8</f>
        <v>42.773664937500016</v>
      </c>
      <c r="G10" s="13">
        <f t="shared" si="10"/>
        <v>89.824696368750025</v>
      </c>
      <c r="H10" s="13">
        <f t="shared" si="10"/>
        <v>141.4738967807813</v>
      </c>
      <c r="I10" s="13">
        <f t="shared" si="10"/>
        <v>222.82138742973058</v>
      </c>
      <c r="J10" s="13">
        <f t="shared" si="10"/>
        <v>236.56203965456396</v>
      </c>
      <c r="K10" s="13">
        <f t="shared" si="10"/>
        <v>251.11970363330639</v>
      </c>
      <c r="L10" s="13">
        <f t="shared" si="10"/>
        <v>266.54172891078662</v>
      </c>
      <c r="M10" s="13">
        <f t="shared" si="10"/>
        <v>279.86881535632597</v>
      </c>
      <c r="N10" s="13">
        <f t="shared" si="10"/>
        <v>293.86225612414228</v>
      </c>
      <c r="O10" s="13">
        <f t="shared" si="10"/>
        <v>308.55536893034946</v>
      </c>
      <c r="P10" s="13">
        <f t="shared" si="10"/>
        <v>323.98313737686692</v>
      </c>
      <c r="Q10" s="13">
        <f t="shared" si="10"/>
        <v>340.1822942457103</v>
      </c>
      <c r="R10" s="13">
        <f t="shared" si="10"/>
        <v>357.19140895799586</v>
      </c>
      <c r="S10" s="13">
        <f t="shared" si="10"/>
        <v>375.05097940589565</v>
      </c>
      <c r="T10" s="13">
        <f t="shared" si="10"/>
        <v>393.8035283761904</v>
      </c>
      <c r="U10" s="13">
        <f t="shared" si="10"/>
        <v>413.49370479499993</v>
      </c>
      <c r="V10" s="13">
        <f t="shared" si="10"/>
        <v>434.16839003475002</v>
      </c>
      <c r="W10" s="13">
        <f t="shared" si="10"/>
        <v>455.87680953648754</v>
      </c>
      <c r="X10" s="30">
        <f t="shared" si="6"/>
        <v>5231.2274932301334</v>
      </c>
      <c r="Y10" s="11"/>
    </row>
    <row r="11" spans="1:26" s="7" customFormat="1" ht="20.6" x14ac:dyDescent="0.55000000000000004">
      <c r="A11" s="8"/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30"/>
      <c r="Y11" s="10"/>
    </row>
    <row r="12" spans="1:26" s="7" customFormat="1" ht="20.6" x14ac:dyDescent="0.55000000000000004">
      <c r="A12" s="8" t="s">
        <v>8</v>
      </c>
      <c r="B12" s="13">
        <f t="shared" ref="B12:R12" si="11">B10*$B$41</f>
        <v>0</v>
      </c>
      <c r="C12" s="13">
        <f t="shared" si="11"/>
        <v>0</v>
      </c>
      <c r="D12" s="13">
        <f t="shared" si="11"/>
        <v>0</v>
      </c>
      <c r="E12" s="13">
        <f t="shared" si="11"/>
        <v>0.40736823750000006</v>
      </c>
      <c r="F12" s="13">
        <f t="shared" si="11"/>
        <v>4.2773664937500016</v>
      </c>
      <c r="G12" s="13">
        <f t="shared" si="11"/>
        <v>8.9824696368750025</v>
      </c>
      <c r="H12" s="13">
        <f t="shared" si="11"/>
        <v>14.147389678078131</v>
      </c>
      <c r="I12" s="13">
        <f t="shared" si="11"/>
        <v>22.282138742973061</v>
      </c>
      <c r="J12" s="13">
        <f t="shared" si="11"/>
        <v>23.656203965456399</v>
      </c>
      <c r="K12" s="13">
        <f t="shared" si="11"/>
        <v>25.111970363330641</v>
      </c>
      <c r="L12" s="13">
        <f t="shared" si="11"/>
        <v>26.654172891078662</v>
      </c>
      <c r="M12" s="13">
        <f t="shared" si="11"/>
        <v>27.986881535632598</v>
      </c>
      <c r="N12" s="13">
        <f t="shared" si="11"/>
        <v>29.386225612414229</v>
      </c>
      <c r="O12" s="13">
        <f t="shared" si="11"/>
        <v>30.855536893034948</v>
      </c>
      <c r="P12" s="13">
        <f t="shared" si="11"/>
        <v>32.398313737686692</v>
      </c>
      <c r="Q12" s="13">
        <f t="shared" si="11"/>
        <v>34.018229424571032</v>
      </c>
      <c r="R12" s="13">
        <f t="shared" si="11"/>
        <v>35.71914089579959</v>
      </c>
      <c r="S12" s="13">
        <f t="shared" ref="S12:W12" si="12">S10*$B$41</f>
        <v>37.505097940589565</v>
      </c>
      <c r="T12" s="13">
        <f t="shared" si="12"/>
        <v>39.380352837619043</v>
      </c>
      <c r="U12" s="13">
        <f t="shared" si="12"/>
        <v>41.349370479499996</v>
      </c>
      <c r="V12" s="13">
        <f t="shared" si="12"/>
        <v>43.416839003475005</v>
      </c>
      <c r="W12" s="13">
        <f t="shared" si="12"/>
        <v>45.587680953648757</v>
      </c>
      <c r="X12" s="30">
        <f t="shared" si="6"/>
        <v>523.12274932301329</v>
      </c>
      <c r="Y12" s="10">
        <f>X12*0.57</f>
        <v>298.17996711411757</v>
      </c>
      <c r="Z12" s="7">
        <f>Y12/X12</f>
        <v>0.56999999999999995</v>
      </c>
    </row>
    <row r="13" spans="1:26" s="7" customFormat="1" ht="20.6" x14ac:dyDescent="0.55000000000000004">
      <c r="A13" s="8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30"/>
      <c r="Y13" s="10"/>
    </row>
    <row r="14" spans="1:26" s="7" customFormat="1" ht="20.6" x14ac:dyDescent="0.55000000000000004">
      <c r="A14" s="8" t="s">
        <v>9</v>
      </c>
      <c r="B14" s="13">
        <f t="shared" ref="B14:W14" si="13">B12/((1+$B$55)^(B$1-$B$1))</f>
        <v>0</v>
      </c>
      <c r="C14" s="13">
        <f t="shared" si="13"/>
        <v>0</v>
      </c>
      <c r="D14" s="13">
        <f t="shared" si="13"/>
        <v>0</v>
      </c>
      <c r="E14" s="13">
        <f t="shared" si="13"/>
        <v>0.30606178625093911</v>
      </c>
      <c r="F14" s="13">
        <f t="shared" si="13"/>
        <v>2.9214988687589649</v>
      </c>
      <c r="G14" s="13">
        <f t="shared" si="13"/>
        <v>5.577406931267114</v>
      </c>
      <c r="H14" s="13">
        <f t="shared" si="13"/>
        <v>7.9858326515870042</v>
      </c>
      <c r="I14" s="13">
        <f t="shared" si="13"/>
        <v>11.434260387499574</v>
      </c>
      <c r="J14" s="13">
        <f t="shared" si="13"/>
        <v>11.035793737632165</v>
      </c>
      <c r="K14" s="13">
        <f t="shared" si="13"/>
        <v>10.649926823728944</v>
      </c>
      <c r="L14" s="13">
        <f t="shared" si="13"/>
        <v>10.276337493449912</v>
      </c>
      <c r="M14" s="13">
        <f t="shared" si="13"/>
        <v>9.809231243747643</v>
      </c>
      <c r="N14" s="13">
        <f t="shared" si="13"/>
        <v>9.3633570963045685</v>
      </c>
      <c r="O14" s="13">
        <f t="shared" si="13"/>
        <v>8.9377499555634543</v>
      </c>
      <c r="P14" s="13">
        <f t="shared" si="13"/>
        <v>8.531488593946932</v>
      </c>
      <c r="Q14" s="13">
        <f t="shared" si="13"/>
        <v>8.1436936578584351</v>
      </c>
      <c r="R14" s="13">
        <f t="shared" si="13"/>
        <v>7.7735257643194169</v>
      </c>
      <c r="S14" s="13">
        <f t="shared" si="13"/>
        <v>7.4201836841230788</v>
      </c>
      <c r="T14" s="13">
        <f t="shared" si="13"/>
        <v>7.0829026075720289</v>
      </c>
      <c r="U14" s="13">
        <f t="shared" si="13"/>
        <v>6.7609524890460264</v>
      </c>
      <c r="V14" s="13">
        <f t="shared" si="13"/>
        <v>6.453636466816663</v>
      </c>
      <c r="W14" s="13">
        <f t="shared" si="13"/>
        <v>6.1602893546886328</v>
      </c>
      <c r="X14" s="30">
        <f t="shared" ref="X14" si="14">SUM(B14:W14)</f>
        <v>146.6241295941615</v>
      </c>
      <c r="Y14" s="10"/>
    </row>
    <row r="15" spans="1:26" s="7" customFormat="1" ht="20.6" x14ac:dyDescent="0.55000000000000004">
      <c r="A15" s="8"/>
      <c r="B15" s="13"/>
      <c r="C15" s="13"/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30"/>
      <c r="Y15" s="10"/>
    </row>
    <row r="16" spans="1:26" s="10" customFormat="1" ht="20.6" x14ac:dyDescent="0.55000000000000004">
      <c r="A16" s="5" t="s">
        <v>10</v>
      </c>
      <c r="B16" s="13">
        <f t="shared" ref="B16:R16" si="15">B12*$B45</f>
        <v>0</v>
      </c>
      <c r="C16" s="13">
        <f t="shared" si="15"/>
        <v>0</v>
      </c>
      <c r="D16" s="13">
        <f t="shared" si="15"/>
        <v>0</v>
      </c>
      <c r="E16" s="13">
        <f t="shared" si="15"/>
        <v>5.7613507875000011E-2</v>
      </c>
      <c r="F16" s="13">
        <f t="shared" si="15"/>
        <v>0.60494183268750024</v>
      </c>
      <c r="G16" s="13">
        <f t="shared" si="15"/>
        <v>1.2703778486437505</v>
      </c>
      <c r="H16" s="13">
        <f t="shared" si="15"/>
        <v>2.000845111613907</v>
      </c>
      <c r="I16" s="13">
        <f t="shared" si="15"/>
        <v>3.1513310507919043</v>
      </c>
      <c r="J16" s="13">
        <f t="shared" si="15"/>
        <v>3.3456631322574051</v>
      </c>
      <c r="K16" s="13">
        <f t="shared" si="15"/>
        <v>3.5515500942424767</v>
      </c>
      <c r="L16" s="13">
        <f t="shared" si="15"/>
        <v>3.7696615945954108</v>
      </c>
      <c r="M16" s="13">
        <f t="shared" si="15"/>
        <v>3.9581446743251818</v>
      </c>
      <c r="N16" s="13">
        <f t="shared" si="15"/>
        <v>4.1560519080414409</v>
      </c>
      <c r="O16" s="13">
        <f t="shared" si="15"/>
        <v>4.3638545034435143</v>
      </c>
      <c r="P16" s="13">
        <f t="shared" si="15"/>
        <v>4.5820472286156892</v>
      </c>
      <c r="Q16" s="13">
        <f t="shared" si="15"/>
        <v>4.8111495900464742</v>
      </c>
      <c r="R16" s="13">
        <f t="shared" si="15"/>
        <v>5.0517070695487991</v>
      </c>
      <c r="S16" s="13">
        <f t="shared" ref="S16:W16" si="16">S12*$B45</f>
        <v>5.3042924230262383</v>
      </c>
      <c r="T16" s="13">
        <f t="shared" si="16"/>
        <v>5.5695070441775503</v>
      </c>
      <c r="U16" s="13">
        <f t="shared" si="16"/>
        <v>5.8479823963864277</v>
      </c>
      <c r="V16" s="13">
        <f t="shared" si="16"/>
        <v>6.1403815162057507</v>
      </c>
      <c r="W16" s="13">
        <f t="shared" si="16"/>
        <v>6.4474005920160389</v>
      </c>
      <c r="X16" s="30">
        <f t="shared" si="6"/>
        <v>73.984503118540459</v>
      </c>
    </row>
    <row r="17" spans="1:25" s="10" customFormat="1" ht="20.6" x14ac:dyDescent="0.55000000000000004">
      <c r="A17" s="5"/>
      <c r="X17" s="30"/>
    </row>
    <row r="18" spans="1:25" s="10" customFormat="1" ht="20.6" x14ac:dyDescent="0.55000000000000004">
      <c r="A18" s="5" t="s">
        <v>11</v>
      </c>
      <c r="B18" s="13">
        <f t="shared" ref="B18:R18" si="17">B$12*$B46</f>
        <v>0</v>
      </c>
      <c r="C18" s="13">
        <f t="shared" si="17"/>
        <v>0</v>
      </c>
      <c r="D18" s="13">
        <f t="shared" si="17"/>
        <v>0</v>
      </c>
      <c r="E18" s="13">
        <f t="shared" si="17"/>
        <v>5.7613507875000011E-2</v>
      </c>
      <c r="F18" s="13">
        <f t="shared" si="17"/>
        <v>0.60494183268750024</v>
      </c>
      <c r="G18" s="13">
        <f t="shared" si="17"/>
        <v>1.2703778486437505</v>
      </c>
      <c r="H18" s="13">
        <f t="shared" si="17"/>
        <v>2.000845111613907</v>
      </c>
      <c r="I18" s="13">
        <f t="shared" si="17"/>
        <v>3.1513310507919043</v>
      </c>
      <c r="J18" s="13">
        <f t="shared" si="17"/>
        <v>3.3456631322574051</v>
      </c>
      <c r="K18" s="13">
        <f t="shared" si="17"/>
        <v>3.5515500942424767</v>
      </c>
      <c r="L18" s="13">
        <f t="shared" si="17"/>
        <v>3.7696615945954108</v>
      </c>
      <c r="M18" s="13">
        <f t="shared" si="17"/>
        <v>3.9581446743251818</v>
      </c>
      <c r="N18" s="13">
        <f t="shared" si="17"/>
        <v>4.1560519080414409</v>
      </c>
      <c r="O18" s="13">
        <f t="shared" si="17"/>
        <v>4.3638545034435143</v>
      </c>
      <c r="P18" s="13">
        <f t="shared" si="17"/>
        <v>4.5820472286156892</v>
      </c>
      <c r="Q18" s="13">
        <f t="shared" si="17"/>
        <v>4.8111495900464742</v>
      </c>
      <c r="R18" s="13">
        <f t="shared" si="17"/>
        <v>5.0517070695487991</v>
      </c>
      <c r="S18" s="13">
        <f t="shared" ref="S18:W18" si="18">S$12*$B46</f>
        <v>5.3042924230262383</v>
      </c>
      <c r="T18" s="13">
        <f t="shared" si="18"/>
        <v>5.5695070441775503</v>
      </c>
      <c r="U18" s="13">
        <f t="shared" si="18"/>
        <v>5.8479823963864277</v>
      </c>
      <c r="V18" s="13">
        <f t="shared" si="18"/>
        <v>6.1403815162057507</v>
      </c>
      <c r="W18" s="13">
        <f t="shared" si="18"/>
        <v>6.4474005920160389</v>
      </c>
      <c r="X18" s="30">
        <f t="shared" si="6"/>
        <v>73.984503118540459</v>
      </c>
    </row>
    <row r="19" spans="1:25" s="10" customFormat="1" ht="20.6" x14ac:dyDescent="0.55000000000000004">
      <c r="A19" s="5"/>
      <c r="B19" s="13"/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X19" s="30"/>
    </row>
    <row r="20" spans="1:25" s="10" customFormat="1" ht="20.6" x14ac:dyDescent="0.55000000000000004">
      <c r="A20" s="5" t="s">
        <v>12</v>
      </c>
      <c r="B20" s="13">
        <f t="shared" ref="B20:R20" si="19">B$12*$B47</f>
        <v>0</v>
      </c>
      <c r="C20" s="13">
        <f t="shared" si="19"/>
        <v>0</v>
      </c>
      <c r="D20" s="13">
        <f t="shared" si="19"/>
        <v>0</v>
      </c>
      <c r="E20" s="13">
        <f t="shared" si="19"/>
        <v>5.7613507875000011E-2</v>
      </c>
      <c r="F20" s="13">
        <f t="shared" si="19"/>
        <v>0.60494183268750024</v>
      </c>
      <c r="G20" s="13">
        <f t="shared" si="19"/>
        <v>1.2703778486437505</v>
      </c>
      <c r="H20" s="13">
        <f t="shared" si="19"/>
        <v>2.000845111613907</v>
      </c>
      <c r="I20" s="13">
        <f t="shared" si="19"/>
        <v>3.1513310507919043</v>
      </c>
      <c r="J20" s="13">
        <f t="shared" si="19"/>
        <v>3.3456631322574051</v>
      </c>
      <c r="K20" s="13">
        <f t="shared" si="19"/>
        <v>3.5515500942424767</v>
      </c>
      <c r="L20" s="13">
        <f t="shared" si="19"/>
        <v>3.7696615945954108</v>
      </c>
      <c r="M20" s="13">
        <f t="shared" si="19"/>
        <v>3.9581446743251818</v>
      </c>
      <c r="N20" s="13">
        <f t="shared" si="19"/>
        <v>4.1560519080414409</v>
      </c>
      <c r="O20" s="13">
        <f t="shared" si="19"/>
        <v>4.3638545034435143</v>
      </c>
      <c r="P20" s="13">
        <f t="shared" si="19"/>
        <v>4.5820472286156892</v>
      </c>
      <c r="Q20" s="13">
        <f t="shared" si="19"/>
        <v>4.8111495900464742</v>
      </c>
      <c r="R20" s="13">
        <f t="shared" si="19"/>
        <v>5.0517070695487991</v>
      </c>
      <c r="S20" s="13">
        <f t="shared" ref="S20:W20" si="20">S$12*$B47</f>
        <v>5.3042924230262383</v>
      </c>
      <c r="T20" s="13">
        <f t="shared" si="20"/>
        <v>5.5695070441775503</v>
      </c>
      <c r="U20" s="13">
        <f t="shared" si="20"/>
        <v>5.8479823963864277</v>
      </c>
      <c r="V20" s="13">
        <f t="shared" si="20"/>
        <v>6.1403815162057507</v>
      </c>
      <c r="W20" s="13">
        <f t="shared" si="20"/>
        <v>6.4474005920160389</v>
      </c>
      <c r="X20" s="30">
        <f t="shared" si="6"/>
        <v>73.984503118540459</v>
      </c>
    </row>
    <row r="21" spans="1:25" s="10" customFormat="1" ht="20.6" x14ac:dyDescent="0.55000000000000004">
      <c r="A21" s="5"/>
      <c r="B21" s="13"/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30"/>
    </row>
    <row r="22" spans="1:25" s="10" customFormat="1" ht="20.6" x14ac:dyDescent="0.55000000000000004">
      <c r="A22" s="5" t="s">
        <v>13</v>
      </c>
      <c r="B22" s="13">
        <f t="shared" ref="B22:R22" si="21">B$12*$B48</f>
        <v>0</v>
      </c>
      <c r="C22" s="13">
        <f t="shared" si="21"/>
        <v>0</v>
      </c>
      <c r="D22" s="13">
        <f t="shared" si="21"/>
        <v>0</v>
      </c>
      <c r="E22" s="13">
        <f t="shared" si="21"/>
        <v>5.7613507875000011E-2</v>
      </c>
      <c r="F22" s="13">
        <f t="shared" si="21"/>
        <v>0.60494183268750024</v>
      </c>
      <c r="G22" s="13">
        <f t="shared" si="21"/>
        <v>1.2703778486437505</v>
      </c>
      <c r="H22" s="13">
        <f t="shared" si="21"/>
        <v>2.000845111613907</v>
      </c>
      <c r="I22" s="13">
        <f t="shared" si="21"/>
        <v>3.1513310507919043</v>
      </c>
      <c r="J22" s="13">
        <f t="shared" si="21"/>
        <v>3.3456631322574051</v>
      </c>
      <c r="K22" s="13">
        <f t="shared" si="21"/>
        <v>3.5515500942424767</v>
      </c>
      <c r="L22" s="13">
        <f t="shared" si="21"/>
        <v>3.7696615945954108</v>
      </c>
      <c r="M22" s="13">
        <f t="shared" si="21"/>
        <v>3.9581446743251818</v>
      </c>
      <c r="N22" s="13">
        <f t="shared" si="21"/>
        <v>4.1560519080414409</v>
      </c>
      <c r="O22" s="13">
        <f t="shared" si="21"/>
        <v>4.3638545034435143</v>
      </c>
      <c r="P22" s="13">
        <f t="shared" si="21"/>
        <v>4.5820472286156892</v>
      </c>
      <c r="Q22" s="13">
        <f t="shared" si="21"/>
        <v>4.8111495900464742</v>
      </c>
      <c r="R22" s="13">
        <f t="shared" si="21"/>
        <v>5.0517070695487991</v>
      </c>
      <c r="S22" s="13">
        <f t="shared" ref="S22:W22" si="22">S$12*$B48</f>
        <v>5.3042924230262383</v>
      </c>
      <c r="T22" s="13">
        <f t="shared" si="22"/>
        <v>5.5695070441775503</v>
      </c>
      <c r="U22" s="13">
        <f t="shared" si="22"/>
        <v>5.8479823963864277</v>
      </c>
      <c r="V22" s="13">
        <f t="shared" si="22"/>
        <v>6.1403815162057507</v>
      </c>
      <c r="W22" s="13">
        <f t="shared" si="22"/>
        <v>6.4474005920160389</v>
      </c>
      <c r="X22" s="30">
        <f t="shared" si="6"/>
        <v>73.984503118540459</v>
      </c>
    </row>
    <row r="23" spans="1:25" s="10" customFormat="1" ht="20.6" x14ac:dyDescent="0.55000000000000004">
      <c r="A23" s="5"/>
      <c r="B23" s="13"/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30"/>
    </row>
    <row r="24" spans="1:25" s="10" customFormat="1" ht="20.6" x14ac:dyDescent="0.55000000000000004">
      <c r="A24" s="5" t="s">
        <v>14</v>
      </c>
      <c r="B24" s="13">
        <f t="shared" ref="B24:R24" si="23">B$12*$B49</f>
        <v>0</v>
      </c>
      <c r="C24" s="13">
        <f t="shared" si="23"/>
        <v>0</v>
      </c>
      <c r="D24" s="13">
        <f t="shared" si="23"/>
        <v>0</v>
      </c>
      <c r="E24" s="13">
        <f t="shared" si="23"/>
        <v>5.7613507875000011E-2</v>
      </c>
      <c r="F24" s="13">
        <f t="shared" si="23"/>
        <v>0.60494183268750024</v>
      </c>
      <c r="G24" s="13">
        <f t="shared" si="23"/>
        <v>1.2703778486437505</v>
      </c>
      <c r="H24" s="13">
        <f t="shared" si="23"/>
        <v>2.000845111613907</v>
      </c>
      <c r="I24" s="13">
        <f t="shared" si="23"/>
        <v>3.1513310507919043</v>
      </c>
      <c r="J24" s="13">
        <f t="shared" si="23"/>
        <v>3.3456631322574051</v>
      </c>
      <c r="K24" s="13">
        <f t="shared" si="23"/>
        <v>3.5515500942424767</v>
      </c>
      <c r="L24" s="13">
        <f t="shared" si="23"/>
        <v>3.7696615945954108</v>
      </c>
      <c r="M24" s="13">
        <f t="shared" si="23"/>
        <v>3.9581446743251818</v>
      </c>
      <c r="N24" s="13">
        <f t="shared" si="23"/>
        <v>4.1560519080414409</v>
      </c>
      <c r="O24" s="13">
        <f t="shared" si="23"/>
        <v>4.3638545034435143</v>
      </c>
      <c r="P24" s="13">
        <f t="shared" si="23"/>
        <v>4.5820472286156892</v>
      </c>
      <c r="Q24" s="13">
        <f t="shared" si="23"/>
        <v>4.8111495900464742</v>
      </c>
      <c r="R24" s="13">
        <f t="shared" si="23"/>
        <v>5.0517070695487991</v>
      </c>
      <c r="S24" s="13">
        <f t="shared" ref="S24:W24" si="24">S$12*$B49</f>
        <v>5.3042924230262383</v>
      </c>
      <c r="T24" s="13">
        <f t="shared" si="24"/>
        <v>5.5695070441775503</v>
      </c>
      <c r="U24" s="13">
        <f t="shared" si="24"/>
        <v>5.8479823963864277</v>
      </c>
      <c r="V24" s="13">
        <f t="shared" si="24"/>
        <v>6.1403815162057507</v>
      </c>
      <c r="W24" s="13">
        <f t="shared" si="24"/>
        <v>6.4474005920160389</v>
      </c>
      <c r="X24" s="30">
        <f t="shared" si="6"/>
        <v>73.984503118540459</v>
      </c>
    </row>
    <row r="25" spans="1:25" s="10" customFormat="1" ht="20.6" x14ac:dyDescent="0.55000000000000004">
      <c r="X25" s="30"/>
    </row>
    <row r="26" spans="1:25" s="7" customFormat="1" ht="20.6" x14ac:dyDescent="0.55000000000000004">
      <c r="A26" s="8" t="s">
        <v>15</v>
      </c>
      <c r="B26" s="13">
        <f t="shared" ref="B26:R26" si="25">B12*$B50</f>
        <v>0</v>
      </c>
      <c r="C26" s="13">
        <f t="shared" si="25"/>
        <v>0</v>
      </c>
      <c r="D26" s="13">
        <f t="shared" si="25"/>
        <v>0</v>
      </c>
      <c r="E26" s="13">
        <f t="shared" si="25"/>
        <v>5.7613507875000011E-2</v>
      </c>
      <c r="F26" s="13">
        <f t="shared" si="25"/>
        <v>0.60494183268750024</v>
      </c>
      <c r="G26" s="13">
        <f t="shared" si="25"/>
        <v>1.2703778486437505</v>
      </c>
      <c r="H26" s="13">
        <f t="shared" si="25"/>
        <v>2.000845111613907</v>
      </c>
      <c r="I26" s="13">
        <f t="shared" si="25"/>
        <v>3.1513310507919043</v>
      </c>
      <c r="J26" s="13">
        <f t="shared" si="25"/>
        <v>3.3456631322574051</v>
      </c>
      <c r="K26" s="13">
        <f t="shared" si="25"/>
        <v>3.5515500942424767</v>
      </c>
      <c r="L26" s="13">
        <f t="shared" si="25"/>
        <v>3.7696615945954108</v>
      </c>
      <c r="M26" s="13">
        <f t="shared" si="25"/>
        <v>3.9581446743251818</v>
      </c>
      <c r="N26" s="13">
        <f t="shared" si="25"/>
        <v>4.1560519080414409</v>
      </c>
      <c r="O26" s="13">
        <f t="shared" si="25"/>
        <v>4.3638545034435143</v>
      </c>
      <c r="P26" s="13">
        <f t="shared" si="25"/>
        <v>4.5820472286156892</v>
      </c>
      <c r="Q26" s="13">
        <f t="shared" si="25"/>
        <v>4.8111495900464742</v>
      </c>
      <c r="R26" s="13">
        <f t="shared" si="25"/>
        <v>5.0517070695487991</v>
      </c>
      <c r="S26" s="13">
        <f t="shared" ref="S26:W26" si="26">S12*$B50</f>
        <v>5.3042924230262383</v>
      </c>
      <c r="T26" s="13">
        <f t="shared" si="26"/>
        <v>5.5695070441775503</v>
      </c>
      <c r="U26" s="13">
        <f t="shared" si="26"/>
        <v>5.8479823963864277</v>
      </c>
      <c r="V26" s="13">
        <f t="shared" si="26"/>
        <v>6.1403815162057507</v>
      </c>
      <c r="W26" s="13">
        <f t="shared" si="26"/>
        <v>6.4474005920160389</v>
      </c>
      <c r="X26" s="30">
        <f t="shared" si="6"/>
        <v>73.984503118540459</v>
      </c>
      <c r="Y26" s="10"/>
    </row>
    <row r="27" spans="1:25" s="10" customFormat="1" ht="20.6" x14ac:dyDescent="0.55000000000000004">
      <c r="A27" s="5"/>
      <c r="X27" s="30"/>
    </row>
    <row r="28" spans="1:25" s="10" customFormat="1" ht="20.6" x14ac:dyDescent="0.55000000000000004">
      <c r="A28" s="8" t="s">
        <v>16</v>
      </c>
      <c r="B28" s="13">
        <f t="shared" ref="B28:R28" si="27">B12*$B51</f>
        <v>0</v>
      </c>
      <c r="C28" s="13">
        <f t="shared" si="27"/>
        <v>0</v>
      </c>
      <c r="D28" s="13">
        <f t="shared" si="27"/>
        <v>0</v>
      </c>
      <c r="E28" s="13">
        <f t="shared" si="27"/>
        <v>5.7613507875000011E-2</v>
      </c>
      <c r="F28" s="13">
        <f t="shared" si="27"/>
        <v>0.60494183268750024</v>
      </c>
      <c r="G28" s="13">
        <f t="shared" si="27"/>
        <v>1.2703778486437505</v>
      </c>
      <c r="H28" s="13">
        <f t="shared" si="27"/>
        <v>2.000845111613907</v>
      </c>
      <c r="I28" s="13">
        <f t="shared" si="27"/>
        <v>3.1513310507919043</v>
      </c>
      <c r="J28" s="13">
        <f t="shared" si="27"/>
        <v>3.3456631322574051</v>
      </c>
      <c r="K28" s="13">
        <f t="shared" si="27"/>
        <v>3.5515500942424767</v>
      </c>
      <c r="L28" s="13">
        <f t="shared" si="27"/>
        <v>3.7696615945954108</v>
      </c>
      <c r="M28" s="13">
        <f t="shared" si="27"/>
        <v>3.9581446743251818</v>
      </c>
      <c r="N28" s="13">
        <f t="shared" si="27"/>
        <v>4.1560519080414409</v>
      </c>
      <c r="O28" s="13">
        <f t="shared" si="27"/>
        <v>4.3638545034435143</v>
      </c>
      <c r="P28" s="13">
        <f t="shared" si="27"/>
        <v>4.5820472286156892</v>
      </c>
      <c r="Q28" s="13">
        <f t="shared" si="27"/>
        <v>4.8111495900464742</v>
      </c>
      <c r="R28" s="13">
        <f t="shared" si="27"/>
        <v>5.0517070695487991</v>
      </c>
      <c r="S28" s="13">
        <f t="shared" ref="S28:W28" si="28">S12*$B51</f>
        <v>5.3042924230262383</v>
      </c>
      <c r="T28" s="13">
        <f t="shared" si="28"/>
        <v>5.5695070441775503</v>
      </c>
      <c r="U28" s="13">
        <f t="shared" si="28"/>
        <v>5.8479823963864277</v>
      </c>
      <c r="V28" s="13">
        <f t="shared" si="28"/>
        <v>6.1403815162057507</v>
      </c>
      <c r="W28" s="13">
        <f t="shared" si="28"/>
        <v>6.4474005920160389</v>
      </c>
      <c r="X28" s="30">
        <f t="shared" si="6"/>
        <v>73.984503118540459</v>
      </c>
    </row>
    <row r="29" spans="1:25" s="10" customFormat="1" ht="20.6" x14ac:dyDescent="0.55000000000000004">
      <c r="A29" s="8"/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30"/>
    </row>
    <row r="30" spans="1:25" s="10" customFormat="1" ht="20.6" x14ac:dyDescent="0.55000000000000004">
      <c r="A30" s="8" t="s">
        <v>17</v>
      </c>
      <c r="B30" s="13">
        <f t="shared" ref="B30:K30" si="29">B12*$B52</f>
        <v>0</v>
      </c>
      <c r="C30" s="13">
        <f t="shared" si="29"/>
        <v>0</v>
      </c>
      <c r="D30" s="13">
        <f t="shared" si="29"/>
        <v>0</v>
      </c>
      <c r="E30" s="13">
        <f t="shared" si="29"/>
        <v>8.147364750000002E-3</v>
      </c>
      <c r="F30" s="13">
        <f t="shared" si="29"/>
        <v>8.5547329875000036E-2</v>
      </c>
      <c r="G30" s="13">
        <f t="shared" si="29"/>
        <v>0.17964939273750005</v>
      </c>
      <c r="H30" s="13">
        <f t="shared" si="29"/>
        <v>0.28294779356156263</v>
      </c>
      <c r="I30" s="13">
        <f t="shared" si="29"/>
        <v>0.44564277485946124</v>
      </c>
      <c r="J30" s="13">
        <f t="shared" si="29"/>
        <v>0.47312407930912798</v>
      </c>
      <c r="K30" s="13">
        <f t="shared" si="29"/>
        <v>0.50223940726661287</v>
      </c>
      <c r="L30" s="13">
        <f>L16*$B53</f>
        <v>3.807358210541365</v>
      </c>
      <c r="M30" s="13">
        <f>M16*$B53</f>
        <v>3.9977261210684336</v>
      </c>
      <c r="N30" s="13">
        <f>N16*$B53</f>
        <v>4.1976124271218556</v>
      </c>
      <c r="O30" s="13">
        <f>O16*$B53</f>
        <v>4.4074930484779493</v>
      </c>
      <c r="P30" s="13">
        <f>P12*$B52</f>
        <v>0.64796627475373381</v>
      </c>
      <c r="Q30" s="13">
        <f>Q12*$B52</f>
        <v>0.68036458849142067</v>
      </c>
      <c r="R30" s="13">
        <f>R12*$B52</f>
        <v>0.71438281791599179</v>
      </c>
      <c r="S30" s="13">
        <f t="shared" ref="S30:W30" si="30">S12*$B52</f>
        <v>0.75010195881179131</v>
      </c>
      <c r="T30" s="13">
        <f t="shared" si="30"/>
        <v>0.78760705675238085</v>
      </c>
      <c r="U30" s="13">
        <f t="shared" si="30"/>
        <v>0.82698740958999994</v>
      </c>
      <c r="V30" s="13">
        <f t="shared" si="30"/>
        <v>0.8683367800695001</v>
      </c>
      <c r="W30" s="13">
        <f t="shared" si="30"/>
        <v>0.91175361907297514</v>
      </c>
      <c r="X30" s="30">
        <f>X12*B52</f>
        <v>10.462454986460266</v>
      </c>
    </row>
    <row r="31" spans="1:25" s="10" customFormat="1" ht="20.6" x14ac:dyDescent="0.55000000000000004">
      <c r="A31" s="5"/>
      <c r="X31" s="11"/>
    </row>
    <row r="32" spans="1:25" s="10" customFormat="1" ht="20.6" x14ac:dyDescent="0.55000000000000004">
      <c r="A32" s="5"/>
      <c r="X32" s="11"/>
    </row>
    <row r="33" spans="1:25" s="10" customFormat="1" ht="20.6" x14ac:dyDescent="0.55000000000000004">
      <c r="A33" s="5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</row>
    <row r="34" spans="1:25" s="7" customFormat="1" ht="20.6" x14ac:dyDescent="0.55000000000000004">
      <c r="A34" s="14" t="s">
        <v>18</v>
      </c>
      <c r="B34" s="15"/>
      <c r="E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Y34" s="10"/>
    </row>
    <row r="35" spans="1:25" s="7" customFormat="1" ht="20.6" hidden="1" x14ac:dyDescent="0.55000000000000004">
      <c r="A35" s="16" t="s">
        <v>19</v>
      </c>
      <c r="B35" s="17" t="e">
        <f>(-PV(0.0083,(12*#REF!),B12))/1000</f>
        <v>#REF!</v>
      </c>
      <c r="C35" s="18" t="e">
        <f>(-PV(0.0083,(12*#REF!),C12))/1000</f>
        <v>#REF!</v>
      </c>
      <c r="D35" s="18">
        <f>(-PV(0.0083,(12*A37),D12))/1000</f>
        <v>0</v>
      </c>
      <c r="E35" s="18" t="e" cm="1">
        <f t="array" ref="E35">(-PV(0.0083,(12*B37),E12+PV)/1000)</f>
        <v>#NAME?</v>
      </c>
      <c r="F35" s="18">
        <f>(PV(0.0083,(12*C37),-F12,0))/1000</f>
        <v>0.4099399097887978</v>
      </c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Y35" s="10"/>
    </row>
    <row r="36" spans="1:25" s="7" customFormat="1" ht="20.6" hidden="1" x14ac:dyDescent="0.55000000000000004">
      <c r="A36" s="16" t="s">
        <v>20</v>
      </c>
      <c r="B36" s="19"/>
      <c r="E36" s="7">
        <f>17*12</f>
        <v>204</v>
      </c>
      <c r="Y36" s="10"/>
    </row>
    <row r="37" spans="1:25" s="7" customFormat="1" ht="20.6" hidden="1" x14ac:dyDescent="0.55000000000000004">
      <c r="A37" s="16"/>
      <c r="B37" s="19">
        <v>17</v>
      </c>
      <c r="C37" s="7">
        <v>16</v>
      </c>
      <c r="D37" s="7">
        <v>15</v>
      </c>
      <c r="E37" s="7">
        <v>14</v>
      </c>
      <c r="F37" s="7">
        <v>13</v>
      </c>
      <c r="Y37" s="10"/>
    </row>
    <row r="38" spans="1:25" s="7" customFormat="1" ht="20.6" hidden="1" x14ac:dyDescent="0.55000000000000004">
      <c r="A38" s="16"/>
      <c r="B38" s="19"/>
      <c r="Y38" s="10"/>
    </row>
    <row r="39" spans="1:25" s="7" customFormat="1" ht="20.6" x14ac:dyDescent="0.55000000000000004">
      <c r="A39" s="16" t="s">
        <v>21</v>
      </c>
      <c r="B39" s="31">
        <v>230</v>
      </c>
      <c r="P39" s="7" t="s">
        <v>22</v>
      </c>
      <c r="Y39" s="10"/>
    </row>
    <row r="40" spans="1:25" s="7" customFormat="1" ht="20.6" x14ac:dyDescent="0.55000000000000004">
      <c r="A40" s="16" t="s">
        <v>23</v>
      </c>
      <c r="B40" s="20">
        <v>1.05</v>
      </c>
      <c r="Q40" s="11"/>
      <c r="Y40" s="10"/>
    </row>
    <row r="41" spans="1:25" s="7" customFormat="1" ht="20.6" x14ac:dyDescent="0.55000000000000004">
      <c r="A41" s="16" t="s">
        <v>24</v>
      </c>
      <c r="B41" s="21">
        <v>0.1</v>
      </c>
      <c r="E41" s="22"/>
      <c r="Q41" s="23"/>
      <c r="X41" s="11"/>
      <c r="Y41" s="10"/>
    </row>
    <row r="42" spans="1:25" ht="20.6" x14ac:dyDescent="0.55000000000000004">
      <c r="A42" s="16" t="s">
        <v>25</v>
      </c>
      <c r="B42" s="28">
        <v>0.9</v>
      </c>
    </row>
    <row r="43" spans="1:25" ht="20.6" x14ac:dyDescent="0.55000000000000004">
      <c r="A43" s="26" t="s">
        <v>26</v>
      </c>
      <c r="B43" s="29">
        <v>1000000</v>
      </c>
    </row>
    <row r="44" spans="1:25" ht="20.6" x14ac:dyDescent="0.55000000000000004">
      <c r="A44" s="26"/>
      <c r="B44" s="29"/>
    </row>
    <row r="45" spans="1:25" ht="20.6" x14ac:dyDescent="0.55000000000000004">
      <c r="A45" s="27" t="s">
        <v>27</v>
      </c>
      <c r="B45" s="32">
        <f>99/7/100</f>
        <v>0.14142857142857143</v>
      </c>
      <c r="C45" s="23"/>
    </row>
    <row r="46" spans="1:25" ht="20.6" x14ac:dyDescent="0.55000000000000004">
      <c r="A46" s="27" t="s">
        <v>28</v>
      </c>
      <c r="B46" s="32">
        <f t="shared" ref="B46:B51" si="31">99/7/100</f>
        <v>0.14142857142857143</v>
      </c>
      <c r="C46" s="23"/>
      <c r="E46" s="2"/>
    </row>
    <row r="47" spans="1:25" ht="20.6" x14ac:dyDescent="0.55000000000000004">
      <c r="A47" s="27" t="s">
        <v>29</v>
      </c>
      <c r="B47" s="32">
        <f t="shared" si="31"/>
        <v>0.14142857142857143</v>
      </c>
      <c r="C47" s="23"/>
      <c r="E47" s="2"/>
    </row>
    <row r="48" spans="1:25" ht="20.6" x14ac:dyDescent="0.55000000000000004">
      <c r="A48" s="27" t="s">
        <v>30</v>
      </c>
      <c r="B48" s="32">
        <f t="shared" si="31"/>
        <v>0.14142857142857143</v>
      </c>
      <c r="C48" s="23"/>
      <c r="E48" s="2"/>
    </row>
    <row r="49" spans="1:5" ht="20.6" x14ac:dyDescent="0.55000000000000004">
      <c r="A49" s="27" t="s">
        <v>31</v>
      </c>
      <c r="B49" s="32">
        <f t="shared" si="31"/>
        <v>0.14142857142857143</v>
      </c>
      <c r="C49" s="23"/>
      <c r="E49" s="2"/>
    </row>
    <row r="50" spans="1:5" ht="20.6" x14ac:dyDescent="0.55000000000000004">
      <c r="A50" s="27" t="s">
        <v>32</v>
      </c>
      <c r="B50" s="32">
        <f t="shared" si="31"/>
        <v>0.14142857142857143</v>
      </c>
      <c r="C50" s="23"/>
    </row>
    <row r="51" spans="1:5" ht="20.6" x14ac:dyDescent="0.55000000000000004">
      <c r="A51" s="16" t="s">
        <v>33</v>
      </c>
      <c r="B51" s="32">
        <f t="shared" si="31"/>
        <v>0.14142857142857143</v>
      </c>
      <c r="C51" s="23"/>
    </row>
    <row r="52" spans="1:5" ht="20.6" x14ac:dyDescent="0.55000000000000004">
      <c r="A52" s="8" t="s">
        <v>34</v>
      </c>
      <c r="B52" s="32">
        <v>0.02</v>
      </c>
      <c r="C52" s="23"/>
    </row>
    <row r="53" spans="1:5" ht="20.6" x14ac:dyDescent="0.55000000000000004">
      <c r="A53" s="24" t="s">
        <v>35</v>
      </c>
      <c r="B53" s="32">
        <f>SUM(B45:B52)</f>
        <v>1.01</v>
      </c>
      <c r="C53" s="23"/>
    </row>
    <row r="55" spans="1:5" ht="15" customHeight="1" x14ac:dyDescent="0.55000000000000004">
      <c r="A55" s="8" t="s">
        <v>36</v>
      </c>
      <c r="B55" s="33">
        <v>0.1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EA6479-820F-4975-9D21-87DDE8115D40}">
  <sheetPr>
    <pageSetUpPr fitToPage="1"/>
  </sheetPr>
  <dimension ref="A1:Z54"/>
  <sheetViews>
    <sheetView tabSelected="1" topLeftCell="A10" zoomScale="70" zoomScaleNormal="70" workbookViewId="0">
      <selection activeCell="W13" sqref="W13"/>
    </sheetView>
  </sheetViews>
  <sheetFormatPr defaultColWidth="8.69140625" defaultRowHeight="19.3" x14ac:dyDescent="0.5"/>
  <cols>
    <col min="1" max="1" width="68.53515625" style="38" bestFit="1" customWidth="1"/>
    <col min="2" max="2" width="14" style="38" bestFit="1" customWidth="1"/>
    <col min="3" max="3" width="11.23046875" style="38" bestFit="1" customWidth="1"/>
    <col min="4" max="4" width="9.23046875" style="38" customWidth="1"/>
    <col min="5" max="5" width="11.4609375" style="38" bestFit="1" customWidth="1"/>
    <col min="6" max="6" width="9.53515625" style="38" bestFit="1" customWidth="1"/>
    <col min="7" max="7" width="9.53515625" style="38" customWidth="1"/>
    <col min="8" max="8" width="11.23046875" style="38" customWidth="1"/>
    <col min="9" max="9" width="11" style="98" hidden="1" customWidth="1"/>
    <col min="10" max="10" width="11.53515625" style="98" hidden="1" customWidth="1"/>
    <col min="11" max="11" width="11.69140625" style="98" hidden="1" customWidth="1"/>
    <col min="12" max="14" width="8.4609375" style="98" hidden="1" customWidth="1"/>
    <col min="15" max="15" width="1.4609375" style="98" hidden="1" customWidth="1"/>
    <col min="16" max="16" width="12" style="98" hidden="1" customWidth="1"/>
    <col min="17" max="17" width="1.15234375" style="98" customWidth="1"/>
    <col min="18" max="18" width="9.84375" style="38" customWidth="1"/>
    <col min="19" max="23" width="11.23046875" style="38" customWidth="1"/>
    <col min="24" max="24" width="11.15234375" style="38" customWidth="1"/>
    <col min="25" max="25" width="12.53515625" style="40" customWidth="1"/>
    <col min="26" max="26" width="10.4609375" style="38" customWidth="1"/>
    <col min="27" max="27" width="10.69140625" style="38" bestFit="1" customWidth="1"/>
    <col min="28" max="16384" width="8.69140625" style="38"/>
  </cols>
  <sheetData>
    <row r="1" spans="1:26" x14ac:dyDescent="0.5">
      <c r="A1" s="34"/>
      <c r="B1" s="34">
        <v>2025</v>
      </c>
      <c r="C1" s="34">
        <f>B1+1</f>
        <v>2026</v>
      </c>
      <c r="D1" s="34">
        <f t="shared" ref="D1:W1" si="0">C1+1</f>
        <v>2027</v>
      </c>
      <c r="E1" s="34">
        <f t="shared" si="0"/>
        <v>2028</v>
      </c>
      <c r="F1" s="34">
        <f t="shared" si="0"/>
        <v>2029</v>
      </c>
      <c r="G1" s="34">
        <f t="shared" si="0"/>
        <v>2030</v>
      </c>
      <c r="H1" s="34">
        <f>G1+1</f>
        <v>2031</v>
      </c>
      <c r="I1" s="97">
        <f t="shared" si="0"/>
        <v>2032</v>
      </c>
      <c r="J1" s="97">
        <f t="shared" si="0"/>
        <v>2033</v>
      </c>
      <c r="K1" s="97">
        <f t="shared" si="0"/>
        <v>2034</v>
      </c>
      <c r="L1" s="97">
        <f t="shared" si="0"/>
        <v>2035</v>
      </c>
      <c r="M1" s="97">
        <f t="shared" si="0"/>
        <v>2036</v>
      </c>
      <c r="N1" s="97">
        <f t="shared" si="0"/>
        <v>2037</v>
      </c>
      <c r="O1" s="97">
        <f t="shared" si="0"/>
        <v>2038</v>
      </c>
      <c r="P1" s="97">
        <f t="shared" si="0"/>
        <v>2039</v>
      </c>
      <c r="Q1" s="97">
        <f t="shared" si="0"/>
        <v>2040</v>
      </c>
      <c r="R1" s="111">
        <f>Q1+1</f>
        <v>2041</v>
      </c>
      <c r="S1" s="34">
        <f t="shared" si="0"/>
        <v>2042</v>
      </c>
      <c r="T1" s="34">
        <f t="shared" si="0"/>
        <v>2043</v>
      </c>
      <c r="U1" s="34">
        <f t="shared" si="0"/>
        <v>2044</v>
      </c>
      <c r="V1" s="34">
        <f t="shared" si="0"/>
        <v>2045</v>
      </c>
      <c r="W1" s="34">
        <f t="shared" si="0"/>
        <v>2046</v>
      </c>
      <c r="X1" s="35" t="s">
        <v>0</v>
      </c>
      <c r="Y1" s="36" t="s">
        <v>1</v>
      </c>
      <c r="Z1" s="37" t="s">
        <v>2</v>
      </c>
    </row>
    <row r="2" spans="1:26" x14ac:dyDescent="0.5">
      <c r="R2" s="112"/>
      <c r="X2" s="39"/>
    </row>
    <row r="3" spans="1:26" s="62" customFormat="1" x14ac:dyDescent="0.5">
      <c r="A3" s="60" t="s">
        <v>37</v>
      </c>
      <c r="B3" s="110">
        <f>$B$40</f>
        <v>230</v>
      </c>
      <c r="C3" s="110">
        <f t="shared" ref="C3:W3" si="1">B3*$B$41</f>
        <v>241.5</v>
      </c>
      <c r="D3" s="110">
        <f t="shared" si="1"/>
        <v>253.57500000000002</v>
      </c>
      <c r="E3" s="110">
        <f t="shared" si="1"/>
        <v>266.25375000000003</v>
      </c>
      <c r="F3" s="110">
        <f t="shared" si="1"/>
        <v>279.56643750000006</v>
      </c>
      <c r="G3" s="110">
        <f t="shared" si="1"/>
        <v>293.54475937500007</v>
      </c>
      <c r="H3" s="110">
        <f t="shared" si="1"/>
        <v>308.2219973437501</v>
      </c>
      <c r="I3" s="110">
        <f t="shared" si="1"/>
        <v>323.63309721093765</v>
      </c>
      <c r="J3" s="110">
        <f t="shared" si="1"/>
        <v>339.81475207148452</v>
      </c>
      <c r="K3" s="110">
        <f t="shared" si="1"/>
        <v>356.80548967505877</v>
      </c>
      <c r="L3" s="110">
        <f t="shared" si="1"/>
        <v>374.64576415881174</v>
      </c>
      <c r="M3" s="110">
        <f t="shared" si="1"/>
        <v>393.37805236675234</v>
      </c>
      <c r="N3" s="110">
        <f t="shared" si="1"/>
        <v>413.04695498509</v>
      </c>
      <c r="O3" s="110">
        <f t="shared" si="1"/>
        <v>433.69930273434454</v>
      </c>
      <c r="P3" s="110">
        <f t="shared" si="1"/>
        <v>455.38426787106181</v>
      </c>
      <c r="Q3" s="110">
        <f t="shared" si="1"/>
        <v>478.15348126461492</v>
      </c>
      <c r="R3" s="113">
        <f t="shared" si="1"/>
        <v>502.06115532784571</v>
      </c>
      <c r="S3" s="110">
        <f t="shared" si="1"/>
        <v>527.16421309423799</v>
      </c>
      <c r="T3" s="110">
        <f t="shared" si="1"/>
        <v>553.5224237489499</v>
      </c>
      <c r="U3" s="110">
        <f t="shared" si="1"/>
        <v>581.19854493639741</v>
      </c>
      <c r="V3" s="110">
        <f t="shared" si="1"/>
        <v>610.25847218321735</v>
      </c>
      <c r="W3" s="110">
        <f t="shared" si="1"/>
        <v>640.77139579237826</v>
      </c>
      <c r="X3" s="107">
        <f>SUM(B3:W3)</f>
        <v>8856.1993116399353</v>
      </c>
      <c r="Y3" s="61"/>
    </row>
    <row r="4" spans="1:26" hidden="1" x14ac:dyDescent="0.5">
      <c r="A4" s="41" t="s">
        <v>4</v>
      </c>
      <c r="B4" s="108">
        <v>0.06</v>
      </c>
      <c r="C4" s="108">
        <v>0.06</v>
      </c>
      <c r="D4" s="108">
        <v>0.06</v>
      </c>
      <c r="E4" s="108">
        <v>0.06</v>
      </c>
      <c r="F4" s="108">
        <v>0.06</v>
      </c>
      <c r="G4" s="108">
        <v>0.06</v>
      </c>
      <c r="H4" s="108">
        <v>0.06</v>
      </c>
      <c r="I4" s="108">
        <v>0.06</v>
      </c>
      <c r="J4" s="108">
        <v>0.06</v>
      </c>
      <c r="K4" s="108">
        <v>0.06</v>
      </c>
      <c r="L4" s="108">
        <v>0.06</v>
      </c>
      <c r="M4" s="108">
        <v>0.06</v>
      </c>
      <c r="N4" s="108">
        <v>0.06</v>
      </c>
      <c r="O4" s="108">
        <v>0.06</v>
      </c>
      <c r="P4" s="108">
        <v>0.06</v>
      </c>
      <c r="Q4" s="108">
        <v>0.06</v>
      </c>
      <c r="R4" s="114">
        <v>0.06</v>
      </c>
      <c r="S4" s="108"/>
      <c r="T4" s="108"/>
      <c r="U4" s="108"/>
      <c r="V4" s="108"/>
      <c r="W4" s="108"/>
      <c r="X4" s="107">
        <f t="shared" ref="X4:X29" si="2">SUM(B4:W4)</f>
        <v>1.0200000000000005</v>
      </c>
    </row>
    <row r="5" spans="1:26" x14ac:dyDescent="0.5">
      <c r="A5" s="41"/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  <c r="P5" s="108"/>
      <c r="Q5" s="108"/>
      <c r="R5" s="114"/>
      <c r="S5" s="108"/>
      <c r="T5" s="108"/>
      <c r="U5" s="108"/>
      <c r="V5" s="108"/>
      <c r="W5" s="108"/>
      <c r="X5" s="107"/>
    </row>
    <row r="6" spans="1:26" s="62" customFormat="1" x14ac:dyDescent="0.5">
      <c r="A6" s="60" t="s">
        <v>283</v>
      </c>
      <c r="B6" s="110">
        <f t="shared" ref="B6:W6" si="3">B3*0.9</f>
        <v>207</v>
      </c>
      <c r="C6" s="110">
        <f t="shared" si="3"/>
        <v>217.35</v>
      </c>
      <c r="D6" s="110">
        <f t="shared" si="3"/>
        <v>228.21750000000003</v>
      </c>
      <c r="E6" s="110">
        <f t="shared" si="3"/>
        <v>239.62837500000003</v>
      </c>
      <c r="F6" s="110">
        <f t="shared" si="3"/>
        <v>251.60979375000005</v>
      </c>
      <c r="G6" s="110">
        <f t="shared" si="3"/>
        <v>264.19028343750006</v>
      </c>
      <c r="H6" s="110">
        <f t="shared" si="3"/>
        <v>277.39979760937513</v>
      </c>
      <c r="I6" s="110">
        <f t="shared" si="3"/>
        <v>291.26978748984391</v>
      </c>
      <c r="J6" s="110">
        <f t="shared" si="3"/>
        <v>305.83327686433609</v>
      </c>
      <c r="K6" s="110">
        <f t="shared" si="3"/>
        <v>321.12494070755292</v>
      </c>
      <c r="L6" s="110">
        <f t="shared" si="3"/>
        <v>337.1811877429306</v>
      </c>
      <c r="M6" s="110">
        <f t="shared" si="3"/>
        <v>354.04024713007709</v>
      </c>
      <c r="N6" s="110">
        <f t="shared" si="3"/>
        <v>371.74225948658102</v>
      </c>
      <c r="O6" s="110">
        <f t="shared" si="3"/>
        <v>390.32937246091012</v>
      </c>
      <c r="P6" s="110">
        <f t="shared" si="3"/>
        <v>409.84584108395563</v>
      </c>
      <c r="Q6" s="110">
        <f t="shared" si="3"/>
        <v>430.33813313815347</v>
      </c>
      <c r="R6" s="113">
        <f t="shared" si="3"/>
        <v>451.85503979506115</v>
      </c>
      <c r="S6" s="110">
        <f t="shared" si="3"/>
        <v>474.44779178481423</v>
      </c>
      <c r="T6" s="110">
        <f t="shared" si="3"/>
        <v>498.17018137405495</v>
      </c>
      <c r="U6" s="110">
        <f t="shared" si="3"/>
        <v>523.07869044275765</v>
      </c>
      <c r="V6" s="110">
        <f t="shared" si="3"/>
        <v>549.23262496489565</v>
      </c>
      <c r="W6" s="110">
        <f t="shared" si="3"/>
        <v>576.69425621314042</v>
      </c>
      <c r="X6" s="107">
        <f t="shared" si="2"/>
        <v>7970.5793804759414</v>
      </c>
      <c r="Y6" s="61"/>
    </row>
    <row r="7" spans="1:26" x14ac:dyDescent="0.5">
      <c r="A7" s="41"/>
      <c r="B7" s="109"/>
      <c r="C7" s="109"/>
      <c r="D7" s="109"/>
      <c r="E7" s="109"/>
      <c r="F7" s="109"/>
      <c r="G7" s="109"/>
      <c r="H7" s="109"/>
      <c r="I7" s="109"/>
      <c r="J7" s="109"/>
      <c r="K7" s="109"/>
      <c r="L7" s="109"/>
      <c r="M7" s="109"/>
      <c r="N7" s="109"/>
      <c r="O7" s="109"/>
      <c r="P7" s="109"/>
      <c r="Q7" s="109"/>
      <c r="R7" s="115"/>
      <c r="S7" s="109"/>
      <c r="T7" s="109"/>
      <c r="U7" s="109"/>
      <c r="V7" s="109"/>
      <c r="W7" s="109"/>
      <c r="X7" s="107"/>
    </row>
    <row r="8" spans="1:26" s="65" customFormat="1" x14ac:dyDescent="0.5">
      <c r="A8" s="63" t="s">
        <v>38</v>
      </c>
      <c r="B8" s="108">
        <f>0%*$B$43</f>
        <v>0</v>
      </c>
      <c r="C8" s="108">
        <f>0%*$B$43</f>
        <v>0</v>
      </c>
      <c r="D8" s="108">
        <f>0%*$B$43</f>
        <v>0</v>
      </c>
      <c r="E8" s="108">
        <f>15%*$B$43</f>
        <v>0.13500000000000001</v>
      </c>
      <c r="F8" s="108">
        <f>40%*$B$43</f>
        <v>0.36000000000000004</v>
      </c>
      <c r="G8" s="108">
        <f>66%*$B$43</f>
        <v>0.59400000000000008</v>
      </c>
      <c r="H8" s="108">
        <f>90%*$B$43</f>
        <v>0.81</v>
      </c>
      <c r="I8" s="108">
        <f>90%*$B$43</f>
        <v>0.81</v>
      </c>
      <c r="J8" s="108">
        <f>91%*$B$43</f>
        <v>0.81900000000000006</v>
      </c>
      <c r="K8" s="108">
        <f>92%*$B$43</f>
        <v>0.82800000000000007</v>
      </c>
      <c r="L8" s="108">
        <f t="shared" ref="L8:W8" si="4">93%*$B$43</f>
        <v>0.83700000000000008</v>
      </c>
      <c r="M8" s="108">
        <f t="shared" si="4"/>
        <v>0.83700000000000008</v>
      </c>
      <c r="N8" s="108">
        <f t="shared" si="4"/>
        <v>0.83700000000000008</v>
      </c>
      <c r="O8" s="108">
        <f t="shared" si="4"/>
        <v>0.83700000000000008</v>
      </c>
      <c r="P8" s="108">
        <f t="shared" si="4"/>
        <v>0.83700000000000008</v>
      </c>
      <c r="Q8" s="108">
        <f t="shared" si="4"/>
        <v>0.83700000000000008</v>
      </c>
      <c r="R8" s="114">
        <f t="shared" si="4"/>
        <v>0.83700000000000008</v>
      </c>
      <c r="S8" s="108">
        <f t="shared" si="4"/>
        <v>0.83700000000000008</v>
      </c>
      <c r="T8" s="108">
        <f t="shared" si="4"/>
        <v>0.83700000000000008</v>
      </c>
      <c r="U8" s="108">
        <f t="shared" si="4"/>
        <v>0.83700000000000008</v>
      </c>
      <c r="V8" s="108">
        <f t="shared" si="4"/>
        <v>0.83700000000000008</v>
      </c>
      <c r="W8" s="108">
        <f t="shared" si="4"/>
        <v>0.83700000000000008</v>
      </c>
      <c r="X8" s="107"/>
      <c r="Y8" s="64"/>
    </row>
    <row r="9" spans="1:26" x14ac:dyDescent="0.5">
      <c r="A9" s="41"/>
      <c r="R9" s="112"/>
      <c r="X9" s="105"/>
    </row>
    <row r="10" spans="1:26" x14ac:dyDescent="0.5">
      <c r="A10" s="41" t="s">
        <v>280</v>
      </c>
      <c r="B10" s="43">
        <f t="shared" ref="B10:D10" si="5">B6*B8</f>
        <v>0</v>
      </c>
      <c r="C10" s="43">
        <f t="shared" si="5"/>
        <v>0</v>
      </c>
      <c r="D10" s="43">
        <f t="shared" si="5"/>
        <v>0</v>
      </c>
      <c r="E10" s="43">
        <f>E6*E8</f>
        <v>32.34983062500001</v>
      </c>
      <c r="F10" s="43">
        <f t="shared" ref="F10:W10" si="6">F6*F8</f>
        <v>90.57952575000003</v>
      </c>
      <c r="G10" s="43">
        <f t="shared" si="6"/>
        <v>156.92902836187505</v>
      </c>
      <c r="H10" s="43">
        <f t="shared" si="6"/>
        <v>224.69383606359386</v>
      </c>
      <c r="I10" s="99">
        <f t="shared" si="6"/>
        <v>235.92852786677358</v>
      </c>
      <c r="J10" s="99">
        <f t="shared" si="6"/>
        <v>250.47745375189126</v>
      </c>
      <c r="K10" s="99">
        <f t="shared" si="6"/>
        <v>265.89145090585384</v>
      </c>
      <c r="L10" s="99">
        <f t="shared" si="6"/>
        <v>282.22065414083295</v>
      </c>
      <c r="M10" s="99">
        <f t="shared" si="6"/>
        <v>296.33168684787455</v>
      </c>
      <c r="N10" s="99">
        <f t="shared" si="6"/>
        <v>311.14827119026836</v>
      </c>
      <c r="O10" s="99">
        <f t="shared" si="6"/>
        <v>326.70568474978182</v>
      </c>
      <c r="P10" s="99">
        <f t="shared" si="6"/>
        <v>343.0409689872709</v>
      </c>
      <c r="Q10" s="99">
        <f t="shared" si="6"/>
        <v>360.19301743663448</v>
      </c>
      <c r="R10" s="116">
        <f t="shared" si="6"/>
        <v>378.20266830846623</v>
      </c>
      <c r="S10" s="43">
        <f t="shared" si="6"/>
        <v>397.11280172388956</v>
      </c>
      <c r="T10" s="43">
        <f t="shared" si="6"/>
        <v>416.96844181008402</v>
      </c>
      <c r="U10" s="43">
        <f t="shared" si="6"/>
        <v>437.8168639005882</v>
      </c>
      <c r="V10" s="43">
        <f t="shared" si="6"/>
        <v>459.70770709561771</v>
      </c>
      <c r="W10" s="43">
        <f t="shared" si="6"/>
        <v>482.69309245039858</v>
      </c>
      <c r="X10" s="105">
        <f t="shared" si="2"/>
        <v>5748.9915119666948</v>
      </c>
      <c r="Y10" s="42"/>
    </row>
    <row r="11" spans="1:26" x14ac:dyDescent="0.5">
      <c r="A11" s="41"/>
      <c r="B11" s="43"/>
      <c r="C11" s="43"/>
      <c r="D11" s="43"/>
      <c r="E11" s="43"/>
      <c r="F11" s="43"/>
      <c r="G11" s="43"/>
      <c r="H11" s="43"/>
      <c r="I11" s="99"/>
      <c r="J11" s="99"/>
      <c r="K11" s="99"/>
      <c r="L11" s="99"/>
      <c r="M11" s="99"/>
      <c r="N11" s="99"/>
      <c r="O11" s="99"/>
      <c r="P11" s="99"/>
      <c r="Q11" s="99"/>
      <c r="R11" s="116"/>
      <c r="S11" s="43"/>
      <c r="T11" s="43"/>
      <c r="U11" s="43"/>
      <c r="V11" s="43"/>
      <c r="W11" s="43"/>
      <c r="X11" s="105"/>
    </row>
    <row r="12" spans="1:26" x14ac:dyDescent="0.5">
      <c r="A12" s="41" t="s">
        <v>39</v>
      </c>
      <c r="B12" s="43">
        <f t="shared" ref="B12:W12" si="7">B10*$B$42</f>
        <v>0</v>
      </c>
      <c r="C12" s="43">
        <f t="shared" si="7"/>
        <v>0</v>
      </c>
      <c r="D12" s="43">
        <f t="shared" si="7"/>
        <v>0</v>
      </c>
      <c r="E12" s="43">
        <f t="shared" si="7"/>
        <v>4.8524745937500011</v>
      </c>
      <c r="F12" s="43">
        <f t="shared" si="7"/>
        <v>13.586928862500004</v>
      </c>
      <c r="G12" s="43">
        <f t="shared" si="7"/>
        <v>23.539354254281257</v>
      </c>
      <c r="H12" s="43">
        <f t="shared" si="7"/>
        <v>33.70407540953908</v>
      </c>
      <c r="I12" s="99">
        <f t="shared" si="7"/>
        <v>35.389279180016032</v>
      </c>
      <c r="J12" s="99">
        <f t="shared" si="7"/>
        <v>37.571618062783685</v>
      </c>
      <c r="K12" s="99">
        <f t="shared" si="7"/>
        <v>39.883717635878078</v>
      </c>
      <c r="L12" s="99">
        <f t="shared" si="7"/>
        <v>42.333098121124941</v>
      </c>
      <c r="M12" s="99">
        <f t="shared" si="7"/>
        <v>44.449753027181181</v>
      </c>
      <c r="N12" s="99">
        <f t="shared" si="7"/>
        <v>46.672240678540255</v>
      </c>
      <c r="O12" s="99">
        <f t="shared" si="7"/>
        <v>49.005852712467274</v>
      </c>
      <c r="P12" s="99">
        <f t="shared" si="7"/>
        <v>51.456145348090637</v>
      </c>
      <c r="Q12" s="99">
        <f t="shared" si="7"/>
        <v>54.028952615495172</v>
      </c>
      <c r="R12" s="116">
        <f t="shared" si="7"/>
        <v>56.73040024626993</v>
      </c>
      <c r="S12" s="43">
        <f t="shared" si="7"/>
        <v>59.56692025858343</v>
      </c>
      <c r="T12" s="43">
        <f t="shared" si="7"/>
        <v>62.545266271512602</v>
      </c>
      <c r="U12" s="43">
        <f t="shared" si="7"/>
        <v>65.672529585088228</v>
      </c>
      <c r="V12" s="43">
        <f t="shared" si="7"/>
        <v>68.95615606434265</v>
      </c>
      <c r="W12" s="43">
        <f t="shared" si="7"/>
        <v>72.403963867559781</v>
      </c>
      <c r="X12" s="105">
        <f t="shared" si="2"/>
        <v>862.34872679500415</v>
      </c>
    </row>
    <row r="13" spans="1:26" x14ac:dyDescent="0.5">
      <c r="A13" s="41" t="s">
        <v>40</v>
      </c>
      <c r="B13" s="43">
        <f t="shared" ref="B13:W13" si="8">B12/((1+$B$45)^(B$1-$B$1))</f>
        <v>0</v>
      </c>
      <c r="C13" s="43">
        <f t="shared" si="8"/>
        <v>0</v>
      </c>
      <c r="D13" s="43">
        <f t="shared" si="8"/>
        <v>0</v>
      </c>
      <c r="E13" s="43">
        <f t="shared" si="8"/>
        <v>3.9610647085449253</v>
      </c>
      <c r="F13" s="43">
        <f t="shared" si="8"/>
        <v>10.365402975631582</v>
      </c>
      <c r="G13" s="43">
        <f t="shared" si="8"/>
        <v>16.783234257272628</v>
      </c>
      <c r="H13" s="43">
        <f t="shared" si="8"/>
        <v>22.458448560071705</v>
      </c>
      <c r="I13" s="99">
        <f t="shared" si="8"/>
        <v>22.038664474836718</v>
      </c>
      <c r="J13" s="99">
        <f t="shared" si="8"/>
        <v>21.867023785780358</v>
      </c>
      <c r="K13" s="99">
        <f t="shared" si="8"/>
        <v>21.694099801852552</v>
      </c>
      <c r="L13" s="99">
        <f t="shared" si="8"/>
        <v>21.520000463743415</v>
      </c>
      <c r="M13" s="99">
        <f t="shared" si="8"/>
        <v>21.117757464421103</v>
      </c>
      <c r="N13" s="99">
        <f t="shared" si="8"/>
        <v>20.723033025833804</v>
      </c>
      <c r="O13" s="99">
        <f t="shared" si="8"/>
        <v>20.335686614135977</v>
      </c>
      <c r="P13" s="99">
        <f t="shared" si="8"/>
        <v>19.95558032228297</v>
      </c>
      <c r="Q13" s="99">
        <f t="shared" si="8"/>
        <v>19.582578820931882</v>
      </c>
      <c r="R13" s="116">
        <f t="shared" si="8"/>
        <v>19.216549310260262</v>
      </c>
      <c r="S13" s="43">
        <f t="shared" si="8"/>
        <v>18.857361472685305</v>
      </c>
      <c r="T13" s="43">
        <f t="shared" si="8"/>
        <v>18.504887426466887</v>
      </c>
      <c r="U13" s="43">
        <f t="shared" si="8"/>
        <v>18.159001680177784</v>
      </c>
      <c r="V13" s="43">
        <f t="shared" si="8"/>
        <v>17.819581088024933</v>
      </c>
      <c r="W13" s="43">
        <f t="shared" si="8"/>
        <v>17.486504806005772</v>
      </c>
      <c r="X13" s="105">
        <f t="shared" ref="X13" si="9">SUM(B13:W13)</f>
        <v>352.44646105896049</v>
      </c>
    </row>
    <row r="14" spans="1:26" x14ac:dyDescent="0.5">
      <c r="A14" s="41" t="s">
        <v>41</v>
      </c>
      <c r="B14" s="43"/>
      <c r="C14" s="43"/>
      <c r="D14" s="43"/>
      <c r="E14" s="43">
        <f t="shared" ref="E14:W14" si="10">E12/((1+$B$45)^(E$1-$E$1))</f>
        <v>4.8524745937500011</v>
      </c>
      <c r="F14" s="43">
        <f t="shared" si="10"/>
        <v>12.698064357476639</v>
      </c>
      <c r="G14" s="43">
        <f t="shared" si="10"/>
        <v>20.560183644232033</v>
      </c>
      <c r="H14" s="43">
        <f t="shared" si="10"/>
        <v>27.512565199375921</v>
      </c>
      <c r="I14" s="99">
        <f t="shared" si="10"/>
        <v>26.998311644247401</v>
      </c>
      <c r="J14" s="99">
        <f t="shared" si="10"/>
        <v>26.788044419603725</v>
      </c>
      <c r="K14" s="99">
        <f t="shared" si="10"/>
        <v>26.576205103560859</v>
      </c>
      <c r="L14" s="99">
        <f t="shared" si="10"/>
        <v>26.362925928105625</v>
      </c>
      <c r="M14" s="99">
        <f t="shared" si="10"/>
        <v>25.870160957486824</v>
      </c>
      <c r="N14" s="99">
        <f t="shared" si="10"/>
        <v>25.386606547066517</v>
      </c>
      <c r="O14" s="99">
        <f t="shared" si="10"/>
        <v>24.912090536840978</v>
      </c>
      <c r="P14" s="99">
        <f t="shared" si="10"/>
        <v>24.446443984750488</v>
      </c>
      <c r="Q14" s="99">
        <f t="shared" si="10"/>
        <v>23.989501106530859</v>
      </c>
      <c r="R14" s="116">
        <f t="shared" si="10"/>
        <v>23.541099216689158</v>
      </c>
      <c r="S14" s="43">
        <f t="shared" si="10"/>
        <v>23.101078670582822</v>
      </c>
      <c r="T14" s="43">
        <f t="shared" si="10"/>
        <v>22.669282807581272</v>
      </c>
      <c r="U14" s="43">
        <f t="shared" si="10"/>
        <v>22.245557895290034</v>
      </c>
      <c r="V14" s="43">
        <f t="shared" si="10"/>
        <v>21.829753074817329</v>
      </c>
      <c r="W14" s="43">
        <f t="shared" si="10"/>
        <v>21.421720307063733</v>
      </c>
      <c r="X14" s="105">
        <f t="shared" ref="X14" si="11">SUM(B14:W14)</f>
        <v>431.76206999505212</v>
      </c>
    </row>
    <row r="15" spans="1:26" x14ac:dyDescent="0.5">
      <c r="A15" s="41"/>
      <c r="B15" s="43"/>
      <c r="C15" s="43"/>
      <c r="D15" s="43"/>
      <c r="E15" s="43"/>
      <c r="F15" s="43"/>
      <c r="G15" s="43"/>
      <c r="H15" s="43"/>
      <c r="I15" s="99"/>
      <c r="J15" s="99"/>
      <c r="K15" s="99"/>
      <c r="L15" s="99"/>
      <c r="M15" s="99"/>
      <c r="N15" s="99"/>
      <c r="O15" s="99"/>
      <c r="P15" s="99"/>
      <c r="Q15" s="99"/>
      <c r="R15" s="116"/>
      <c r="S15" s="43"/>
      <c r="T15" s="43"/>
      <c r="U15" s="43"/>
      <c r="V15" s="43"/>
      <c r="W15" s="43"/>
      <c r="X15" s="105"/>
    </row>
    <row r="16" spans="1:26" hidden="1" x14ac:dyDescent="0.5">
      <c r="A16" s="41" t="s">
        <v>42</v>
      </c>
      <c r="B16" s="43">
        <v>0</v>
      </c>
      <c r="C16" s="43">
        <v>0</v>
      </c>
      <c r="D16" s="43">
        <v>0</v>
      </c>
      <c r="E16" s="43">
        <v>3.0552617812500009</v>
      </c>
      <c r="F16" s="43">
        <v>8.5547329875000031</v>
      </c>
      <c r="G16" s="43">
        <v>14.821074900843755</v>
      </c>
      <c r="H16" s="43">
        <v>21.221084517117198</v>
      </c>
      <c r="I16" s="99">
        <v>22.282138742973061</v>
      </c>
      <c r="J16" s="99">
        <v>23.656203965456399</v>
      </c>
      <c r="K16" s="99">
        <v>25.111970363330641</v>
      </c>
      <c r="L16" s="99">
        <v>26.654172891078662</v>
      </c>
      <c r="M16" s="99">
        <v>27.986881535632598</v>
      </c>
      <c r="N16" s="99">
        <v>29.386225612414229</v>
      </c>
      <c r="O16" s="99">
        <v>30.855536893034948</v>
      </c>
      <c r="P16" s="99">
        <v>32.398313737686692</v>
      </c>
      <c r="Q16" s="99">
        <v>34.018229424571032</v>
      </c>
      <c r="R16" s="116">
        <v>35.71914089579959</v>
      </c>
      <c r="S16" s="43">
        <v>37.505097940589565</v>
      </c>
      <c r="T16" s="43">
        <v>39.380352837619043</v>
      </c>
      <c r="U16" s="43">
        <v>41.349370479499996</v>
      </c>
      <c r="V16" s="43">
        <v>43.416839003475005</v>
      </c>
      <c r="W16" s="43">
        <v>45.587680953648757</v>
      </c>
      <c r="X16" s="105">
        <f t="shared" ref="X16:X18" si="12">SUM(B16:W16)</f>
        <v>542.96030946352118</v>
      </c>
      <c r="Y16" s="40">
        <f>X16*0.57</f>
        <v>309.48737639420705</v>
      </c>
      <c r="Z16" s="38">
        <f>Y16/X16</f>
        <v>0.56999999999999995</v>
      </c>
    </row>
    <row r="17" spans="1:24" ht="22.5" hidden="1" customHeight="1" x14ac:dyDescent="0.5">
      <c r="A17" s="66" t="s">
        <v>43</v>
      </c>
      <c r="B17" s="43">
        <f t="shared" ref="B17:W17" si="13">B13/$B$44*1000000</f>
        <v>0</v>
      </c>
      <c r="C17" s="43">
        <f t="shared" si="13"/>
        <v>0</v>
      </c>
      <c r="D17" s="43">
        <f t="shared" si="13"/>
        <v>0</v>
      </c>
      <c r="E17" s="43">
        <f t="shared" si="13"/>
        <v>3.9610647085449253</v>
      </c>
      <c r="F17" s="43">
        <f t="shared" si="13"/>
        <v>10.365402975631582</v>
      </c>
      <c r="G17" s="43">
        <f t="shared" si="13"/>
        <v>16.783234257272628</v>
      </c>
      <c r="H17" s="43">
        <f t="shared" si="13"/>
        <v>22.458448560071705</v>
      </c>
      <c r="I17" s="99">
        <f t="shared" si="13"/>
        <v>22.038664474836718</v>
      </c>
      <c r="J17" s="99">
        <f t="shared" si="13"/>
        <v>21.867023785780358</v>
      </c>
      <c r="K17" s="99">
        <f t="shared" si="13"/>
        <v>21.694099801852552</v>
      </c>
      <c r="L17" s="99">
        <f t="shared" si="13"/>
        <v>21.520000463743415</v>
      </c>
      <c r="M17" s="99">
        <f t="shared" si="13"/>
        <v>21.117757464421103</v>
      </c>
      <c r="N17" s="99">
        <f t="shared" si="13"/>
        <v>20.723033025833804</v>
      </c>
      <c r="O17" s="99">
        <f t="shared" si="13"/>
        <v>20.335686614135977</v>
      </c>
      <c r="P17" s="99">
        <f t="shared" si="13"/>
        <v>19.95558032228297</v>
      </c>
      <c r="Q17" s="99">
        <f t="shared" si="13"/>
        <v>19.582578820931882</v>
      </c>
      <c r="R17" s="116">
        <f t="shared" si="13"/>
        <v>19.216549310260262</v>
      </c>
      <c r="S17" s="43">
        <f t="shared" si="13"/>
        <v>18.857361472685305</v>
      </c>
      <c r="T17" s="43">
        <f t="shared" si="13"/>
        <v>18.504887426466887</v>
      </c>
      <c r="U17" s="43">
        <f t="shared" si="13"/>
        <v>18.159001680177784</v>
      </c>
      <c r="V17" s="43">
        <f t="shared" si="13"/>
        <v>17.819581088024933</v>
      </c>
      <c r="W17" s="43">
        <f t="shared" si="13"/>
        <v>17.486504806005772</v>
      </c>
      <c r="X17" s="105">
        <f t="shared" si="12"/>
        <v>352.44646105896049</v>
      </c>
    </row>
    <row r="18" spans="1:24" ht="19.5" hidden="1" customHeight="1" x14ac:dyDescent="0.5">
      <c r="A18" s="66" t="s">
        <v>44</v>
      </c>
      <c r="B18" s="43">
        <f t="shared" ref="B18:W18" si="14">B14/$B$44*1000000</f>
        <v>0</v>
      </c>
      <c r="C18" s="43">
        <f t="shared" si="14"/>
        <v>0</v>
      </c>
      <c r="D18" s="43">
        <f t="shared" si="14"/>
        <v>0</v>
      </c>
      <c r="E18" s="43">
        <f t="shared" si="14"/>
        <v>4.8524745937500011</v>
      </c>
      <c r="F18" s="43">
        <f t="shared" si="14"/>
        <v>12.698064357476639</v>
      </c>
      <c r="G18" s="43">
        <f t="shared" si="14"/>
        <v>20.560183644232033</v>
      </c>
      <c r="H18" s="43">
        <f t="shared" si="14"/>
        <v>27.512565199375921</v>
      </c>
      <c r="I18" s="99">
        <f t="shared" si="14"/>
        <v>26.998311644247401</v>
      </c>
      <c r="J18" s="99">
        <f t="shared" si="14"/>
        <v>26.788044419603725</v>
      </c>
      <c r="K18" s="99">
        <f t="shared" si="14"/>
        <v>26.576205103560859</v>
      </c>
      <c r="L18" s="99">
        <f t="shared" si="14"/>
        <v>26.362925928105625</v>
      </c>
      <c r="M18" s="99">
        <f t="shared" si="14"/>
        <v>25.870160957486824</v>
      </c>
      <c r="N18" s="99">
        <f t="shared" si="14"/>
        <v>25.386606547066517</v>
      </c>
      <c r="O18" s="99">
        <f t="shared" si="14"/>
        <v>24.912090536840978</v>
      </c>
      <c r="P18" s="99">
        <f t="shared" si="14"/>
        <v>24.446443984750488</v>
      </c>
      <c r="Q18" s="99">
        <f t="shared" si="14"/>
        <v>23.989501106530859</v>
      </c>
      <c r="R18" s="116">
        <f t="shared" si="14"/>
        <v>23.541099216689158</v>
      </c>
      <c r="S18" s="43">
        <f t="shared" si="14"/>
        <v>23.101078670582822</v>
      </c>
      <c r="T18" s="43">
        <f t="shared" si="14"/>
        <v>22.669282807581272</v>
      </c>
      <c r="U18" s="43">
        <f t="shared" si="14"/>
        <v>22.245557895290034</v>
      </c>
      <c r="V18" s="43">
        <f t="shared" si="14"/>
        <v>21.829753074817329</v>
      </c>
      <c r="W18" s="43">
        <f t="shared" si="14"/>
        <v>21.421720307063733</v>
      </c>
      <c r="X18" s="105">
        <f t="shared" si="12"/>
        <v>431.76206999505212</v>
      </c>
    </row>
    <row r="19" spans="1:24" hidden="1" x14ac:dyDescent="0.5">
      <c r="A19" s="41"/>
      <c r="B19" s="43"/>
      <c r="C19" s="43"/>
      <c r="D19" s="43"/>
      <c r="E19" s="43"/>
      <c r="F19" s="43"/>
      <c r="G19" s="43"/>
      <c r="H19" s="43"/>
      <c r="I19" s="99"/>
      <c r="J19" s="99"/>
      <c r="K19" s="99"/>
      <c r="L19" s="99"/>
      <c r="M19" s="99"/>
      <c r="N19" s="99"/>
      <c r="O19" s="99"/>
      <c r="P19" s="99"/>
      <c r="Q19" s="99"/>
      <c r="R19" s="116"/>
      <c r="S19" s="43"/>
      <c r="T19" s="43"/>
      <c r="U19" s="43"/>
      <c r="V19" s="43"/>
      <c r="W19" s="43"/>
      <c r="X19" s="105"/>
    </row>
    <row r="20" spans="1:24" s="40" customFormat="1" x14ac:dyDescent="0.5">
      <c r="A20" s="36" t="s">
        <v>45</v>
      </c>
      <c r="B20" s="43">
        <f t="shared" ref="B20:W20" si="15">B12*$B47</f>
        <v>0</v>
      </c>
      <c r="C20" s="43">
        <f t="shared" si="15"/>
        <v>0</v>
      </c>
      <c r="D20" s="43">
        <f t="shared" si="15"/>
        <v>0</v>
      </c>
      <c r="E20" s="43">
        <f t="shared" si="15"/>
        <v>0.48524745937500013</v>
      </c>
      <c r="F20" s="43">
        <f t="shared" si="15"/>
        <v>1.3586928862500005</v>
      </c>
      <c r="G20" s="43">
        <f t="shared" si="15"/>
        <v>2.3539354254281259</v>
      </c>
      <c r="H20" s="43">
        <f t="shared" si="15"/>
        <v>3.370407540953908</v>
      </c>
      <c r="I20" s="99">
        <f t="shared" si="15"/>
        <v>3.5389279180016033</v>
      </c>
      <c r="J20" s="99">
        <f t="shared" si="15"/>
        <v>3.7571618062783685</v>
      </c>
      <c r="K20" s="99">
        <f t="shared" si="15"/>
        <v>3.988371763587808</v>
      </c>
      <c r="L20" s="99">
        <f t="shared" si="15"/>
        <v>4.2333098121124939</v>
      </c>
      <c r="M20" s="99">
        <f t="shared" si="15"/>
        <v>4.4449753027181185</v>
      </c>
      <c r="N20" s="99">
        <f t="shared" si="15"/>
        <v>4.6672240678540255</v>
      </c>
      <c r="O20" s="99">
        <f t="shared" si="15"/>
        <v>4.9005852712467277</v>
      </c>
      <c r="P20" s="99">
        <f t="shared" si="15"/>
        <v>5.1456145348090638</v>
      </c>
      <c r="Q20" s="99">
        <f t="shared" si="15"/>
        <v>5.4028952615495172</v>
      </c>
      <c r="R20" s="116">
        <f t="shared" si="15"/>
        <v>5.6730400246269932</v>
      </c>
      <c r="S20" s="43">
        <f t="shared" si="15"/>
        <v>5.9566920258583433</v>
      </c>
      <c r="T20" s="43">
        <f t="shared" si="15"/>
        <v>6.254526627151261</v>
      </c>
      <c r="U20" s="43">
        <f t="shared" si="15"/>
        <v>6.5672529585088233</v>
      </c>
      <c r="V20" s="43">
        <f t="shared" si="15"/>
        <v>6.8956156064342657</v>
      </c>
      <c r="W20" s="43">
        <f t="shared" si="15"/>
        <v>7.2403963867559789</v>
      </c>
      <c r="X20" s="105">
        <f t="shared" si="2"/>
        <v>86.234872679500413</v>
      </c>
    </row>
    <row r="21" spans="1:24" x14ac:dyDescent="0.5">
      <c r="A21" s="41" t="s">
        <v>46</v>
      </c>
      <c r="B21" s="43">
        <f t="shared" ref="B21:W21" si="16">B20/((1+$B$45)^(B$1-$B$1))</f>
        <v>0</v>
      </c>
      <c r="C21" s="43">
        <f t="shared" si="16"/>
        <v>0</v>
      </c>
      <c r="D21" s="43">
        <f t="shared" si="16"/>
        <v>0</v>
      </c>
      <c r="E21" s="43">
        <f t="shared" si="16"/>
        <v>0.39610647085449252</v>
      </c>
      <c r="F21" s="43">
        <f t="shared" si="16"/>
        <v>1.0365402975631581</v>
      </c>
      <c r="G21" s="43">
        <f t="shared" si="16"/>
        <v>1.678323425727263</v>
      </c>
      <c r="H21" s="43">
        <f t="shared" si="16"/>
        <v>2.2458448560071704</v>
      </c>
      <c r="I21" s="99">
        <f t="shared" si="16"/>
        <v>2.203866447483672</v>
      </c>
      <c r="J21" s="99">
        <f t="shared" si="16"/>
        <v>2.1867023785780355</v>
      </c>
      <c r="K21" s="99">
        <f t="shared" si="16"/>
        <v>2.1694099801852551</v>
      </c>
      <c r="L21" s="99">
        <f t="shared" si="16"/>
        <v>2.1520000463743414</v>
      </c>
      <c r="M21" s="99">
        <f t="shared" si="16"/>
        <v>2.1117757464421105</v>
      </c>
      <c r="N21" s="99">
        <f t="shared" si="16"/>
        <v>2.0723033025833804</v>
      </c>
      <c r="O21" s="99">
        <f t="shared" si="16"/>
        <v>2.0335686614135979</v>
      </c>
      <c r="P21" s="99">
        <f t="shared" si="16"/>
        <v>1.9955580322282969</v>
      </c>
      <c r="Q21" s="99">
        <f t="shared" si="16"/>
        <v>1.9582578820931882</v>
      </c>
      <c r="R21" s="116">
        <f t="shared" si="16"/>
        <v>1.9216549310260262</v>
      </c>
      <c r="S21" s="43">
        <f t="shared" si="16"/>
        <v>1.8857361472685306</v>
      </c>
      <c r="T21" s="43">
        <f t="shared" si="16"/>
        <v>1.8504887426466889</v>
      </c>
      <c r="U21" s="43">
        <f t="shared" si="16"/>
        <v>1.8159001680177786</v>
      </c>
      <c r="V21" s="43">
        <f t="shared" si="16"/>
        <v>1.7819581088024934</v>
      </c>
      <c r="W21" s="43">
        <f t="shared" si="16"/>
        <v>1.7486504806005776</v>
      </c>
      <c r="X21" s="105">
        <f t="shared" ref="X21" si="17">SUM(B21:W21)</f>
        <v>35.244646105896052</v>
      </c>
    </row>
    <row r="22" spans="1:24" x14ac:dyDescent="0.5">
      <c r="A22" s="41" t="s">
        <v>47</v>
      </c>
      <c r="B22" s="43">
        <f>B20/((1+$B$45)^($K$1-$E$1))</f>
        <v>0</v>
      </c>
      <c r="C22" s="43">
        <f>C20/((1+$B$45)^($K$1-$E$1))</f>
        <v>0</v>
      </c>
      <c r="D22" s="43">
        <f>D20/((1+$B$45)^($K$1-$E$1))</f>
        <v>0</v>
      </c>
      <c r="E22" s="43">
        <f t="shared" ref="E22:W22" si="18">E20/((1+$B$45)^(E$1-$E$1))</f>
        <v>0.48524745937500013</v>
      </c>
      <c r="F22" s="43">
        <f t="shared" si="18"/>
        <v>1.2698064357476639</v>
      </c>
      <c r="G22" s="43">
        <f t="shared" si="18"/>
        <v>2.0560183644232035</v>
      </c>
      <c r="H22" s="43">
        <f t="shared" si="18"/>
        <v>2.7512565199375922</v>
      </c>
      <c r="I22" s="99">
        <f t="shared" si="18"/>
        <v>2.6998311644247401</v>
      </c>
      <c r="J22" s="99">
        <f t="shared" si="18"/>
        <v>2.6788044419603723</v>
      </c>
      <c r="K22" s="99">
        <f t="shared" si="18"/>
        <v>2.6576205103560859</v>
      </c>
      <c r="L22" s="99">
        <f t="shared" si="18"/>
        <v>2.6362925928105625</v>
      </c>
      <c r="M22" s="99">
        <f t="shared" si="18"/>
        <v>2.587016095748683</v>
      </c>
      <c r="N22" s="99">
        <f t="shared" si="18"/>
        <v>2.5386606547066517</v>
      </c>
      <c r="O22" s="99">
        <f t="shared" si="18"/>
        <v>2.4912090536840981</v>
      </c>
      <c r="P22" s="99">
        <f t="shared" si="18"/>
        <v>2.4446443984750492</v>
      </c>
      <c r="Q22" s="99">
        <f t="shared" si="18"/>
        <v>2.3989501106530859</v>
      </c>
      <c r="R22" s="116">
        <f t="shared" si="18"/>
        <v>2.3541099216689161</v>
      </c>
      <c r="S22" s="43">
        <f t="shared" si="18"/>
        <v>2.3101078670582824</v>
      </c>
      <c r="T22" s="43">
        <f t="shared" si="18"/>
        <v>2.2669282807581275</v>
      </c>
      <c r="U22" s="43">
        <f t="shared" si="18"/>
        <v>2.2245557895290036</v>
      </c>
      <c r="V22" s="43">
        <f t="shared" si="18"/>
        <v>2.1829753074817329</v>
      </c>
      <c r="W22" s="43">
        <f t="shared" si="18"/>
        <v>2.1421720307063734</v>
      </c>
      <c r="X22" s="105">
        <f t="shared" ref="X22" si="19">SUM(B22:W22)</f>
        <v>43.176206999505233</v>
      </c>
    </row>
    <row r="23" spans="1:24" hidden="1" x14ac:dyDescent="0.5">
      <c r="A23" s="41"/>
      <c r="B23" s="43"/>
      <c r="C23" s="43"/>
      <c r="D23" s="43"/>
      <c r="E23" s="43"/>
      <c r="F23" s="43"/>
      <c r="G23" s="43"/>
      <c r="H23" s="43"/>
      <c r="I23" s="99"/>
      <c r="J23" s="99"/>
      <c r="K23" s="99"/>
      <c r="L23" s="99"/>
      <c r="M23" s="99"/>
      <c r="N23" s="99"/>
      <c r="O23" s="99"/>
      <c r="P23" s="99"/>
      <c r="Q23" s="99"/>
      <c r="R23" s="116"/>
      <c r="S23" s="43"/>
      <c r="T23" s="43"/>
      <c r="U23" s="43"/>
      <c r="V23" s="43"/>
      <c r="W23" s="43"/>
      <c r="X23" s="105"/>
    </row>
    <row r="24" spans="1:24" s="40" customFormat="1" hidden="1" x14ac:dyDescent="0.5">
      <c r="A24" s="36" t="s">
        <v>11</v>
      </c>
      <c r="B24" s="43">
        <f t="shared" ref="B24:W24" si="20">B$12*$B47</f>
        <v>0</v>
      </c>
      <c r="C24" s="43">
        <f t="shared" si="20"/>
        <v>0</v>
      </c>
      <c r="D24" s="43">
        <f t="shared" si="20"/>
        <v>0</v>
      </c>
      <c r="E24" s="43">
        <f t="shared" si="20"/>
        <v>0.48524745937500013</v>
      </c>
      <c r="F24" s="43">
        <f t="shared" si="20"/>
        <v>1.3586928862500005</v>
      </c>
      <c r="G24" s="43">
        <f t="shared" si="20"/>
        <v>2.3539354254281259</v>
      </c>
      <c r="H24" s="43">
        <f t="shared" si="20"/>
        <v>3.370407540953908</v>
      </c>
      <c r="I24" s="99">
        <f t="shared" si="20"/>
        <v>3.5389279180016033</v>
      </c>
      <c r="J24" s="99">
        <f t="shared" si="20"/>
        <v>3.7571618062783685</v>
      </c>
      <c r="K24" s="99">
        <f t="shared" si="20"/>
        <v>3.988371763587808</v>
      </c>
      <c r="L24" s="99">
        <f t="shared" si="20"/>
        <v>4.2333098121124939</v>
      </c>
      <c r="M24" s="99">
        <f t="shared" si="20"/>
        <v>4.4449753027181185</v>
      </c>
      <c r="N24" s="99">
        <f t="shared" si="20"/>
        <v>4.6672240678540255</v>
      </c>
      <c r="O24" s="99">
        <f t="shared" si="20"/>
        <v>4.9005852712467277</v>
      </c>
      <c r="P24" s="99">
        <f t="shared" si="20"/>
        <v>5.1456145348090638</v>
      </c>
      <c r="Q24" s="99">
        <f t="shared" si="20"/>
        <v>5.4028952615495172</v>
      </c>
      <c r="R24" s="116">
        <f t="shared" si="20"/>
        <v>5.6730400246269932</v>
      </c>
      <c r="S24" s="43">
        <f t="shared" si="20"/>
        <v>5.9566920258583433</v>
      </c>
      <c r="T24" s="43">
        <f t="shared" si="20"/>
        <v>6.254526627151261</v>
      </c>
      <c r="U24" s="43">
        <f t="shared" si="20"/>
        <v>6.5672529585088233</v>
      </c>
      <c r="V24" s="43">
        <f t="shared" si="20"/>
        <v>6.8956156064342657</v>
      </c>
      <c r="W24" s="43">
        <f t="shared" si="20"/>
        <v>7.2403963867559789</v>
      </c>
      <c r="X24" s="105">
        <f t="shared" si="2"/>
        <v>86.234872679500413</v>
      </c>
    </row>
    <row r="25" spans="1:24" s="40" customFormat="1" hidden="1" x14ac:dyDescent="0.5">
      <c r="A25" s="36" t="s">
        <v>12</v>
      </c>
      <c r="B25" s="43">
        <f t="shared" ref="B25:W25" si="21">B$12*$B48</f>
        <v>0</v>
      </c>
      <c r="C25" s="43">
        <f t="shared" si="21"/>
        <v>0</v>
      </c>
      <c r="D25" s="43">
        <f t="shared" si="21"/>
        <v>0</v>
      </c>
      <c r="E25" s="43">
        <f t="shared" si="21"/>
        <v>0.48524745937500013</v>
      </c>
      <c r="F25" s="43">
        <f t="shared" si="21"/>
        <v>1.3586928862500005</v>
      </c>
      <c r="G25" s="43">
        <f t="shared" si="21"/>
        <v>2.3539354254281259</v>
      </c>
      <c r="H25" s="43">
        <f t="shared" si="21"/>
        <v>3.370407540953908</v>
      </c>
      <c r="I25" s="99">
        <f t="shared" si="21"/>
        <v>3.5389279180016033</v>
      </c>
      <c r="J25" s="99">
        <f t="shared" si="21"/>
        <v>3.7571618062783685</v>
      </c>
      <c r="K25" s="99">
        <f t="shared" si="21"/>
        <v>3.988371763587808</v>
      </c>
      <c r="L25" s="99">
        <f t="shared" si="21"/>
        <v>4.2333098121124939</v>
      </c>
      <c r="M25" s="99">
        <f t="shared" si="21"/>
        <v>4.4449753027181185</v>
      </c>
      <c r="N25" s="99">
        <f t="shared" si="21"/>
        <v>4.6672240678540255</v>
      </c>
      <c r="O25" s="99">
        <f t="shared" si="21"/>
        <v>4.9005852712467277</v>
      </c>
      <c r="P25" s="99">
        <f t="shared" si="21"/>
        <v>5.1456145348090638</v>
      </c>
      <c r="Q25" s="99">
        <f t="shared" si="21"/>
        <v>5.4028952615495172</v>
      </c>
      <c r="R25" s="116">
        <f t="shared" si="21"/>
        <v>5.6730400246269932</v>
      </c>
      <c r="S25" s="43">
        <f t="shared" si="21"/>
        <v>5.9566920258583433</v>
      </c>
      <c r="T25" s="43">
        <f t="shared" si="21"/>
        <v>6.254526627151261</v>
      </c>
      <c r="U25" s="43">
        <f t="shared" si="21"/>
        <v>6.5672529585088233</v>
      </c>
      <c r="V25" s="43">
        <f t="shared" si="21"/>
        <v>6.8956156064342657</v>
      </c>
      <c r="W25" s="43">
        <f t="shared" si="21"/>
        <v>7.2403963867559789</v>
      </c>
      <c r="X25" s="105">
        <f t="shared" si="2"/>
        <v>86.234872679500413</v>
      </c>
    </row>
    <row r="26" spans="1:24" s="40" customFormat="1" hidden="1" x14ac:dyDescent="0.5">
      <c r="A26" s="36" t="s">
        <v>13</v>
      </c>
      <c r="B26" s="43">
        <f t="shared" ref="B26:W26" si="22">B$12*$B49</f>
        <v>0</v>
      </c>
      <c r="C26" s="43">
        <f t="shared" si="22"/>
        <v>0</v>
      </c>
      <c r="D26" s="43">
        <f t="shared" si="22"/>
        <v>0</v>
      </c>
      <c r="E26" s="43">
        <f t="shared" si="22"/>
        <v>0.48524745937500013</v>
      </c>
      <c r="F26" s="43">
        <f t="shared" si="22"/>
        <v>1.3586928862500005</v>
      </c>
      <c r="G26" s="43">
        <f t="shared" si="22"/>
        <v>2.3539354254281259</v>
      </c>
      <c r="H26" s="43">
        <f t="shared" si="22"/>
        <v>3.370407540953908</v>
      </c>
      <c r="I26" s="99">
        <f t="shared" si="22"/>
        <v>3.5389279180016033</v>
      </c>
      <c r="J26" s="99">
        <f t="shared" si="22"/>
        <v>3.7571618062783685</v>
      </c>
      <c r="K26" s="99">
        <f t="shared" si="22"/>
        <v>3.988371763587808</v>
      </c>
      <c r="L26" s="99">
        <f t="shared" si="22"/>
        <v>4.2333098121124939</v>
      </c>
      <c r="M26" s="99">
        <f t="shared" si="22"/>
        <v>4.4449753027181185</v>
      </c>
      <c r="N26" s="99">
        <f t="shared" si="22"/>
        <v>4.6672240678540255</v>
      </c>
      <c r="O26" s="99">
        <f t="shared" si="22"/>
        <v>4.9005852712467277</v>
      </c>
      <c r="P26" s="99">
        <f t="shared" si="22"/>
        <v>5.1456145348090638</v>
      </c>
      <c r="Q26" s="99">
        <f t="shared" si="22"/>
        <v>5.4028952615495172</v>
      </c>
      <c r="R26" s="116">
        <f t="shared" si="22"/>
        <v>5.6730400246269932</v>
      </c>
      <c r="S26" s="43">
        <f t="shared" si="22"/>
        <v>5.9566920258583433</v>
      </c>
      <c r="T26" s="43">
        <f t="shared" si="22"/>
        <v>6.254526627151261</v>
      </c>
      <c r="U26" s="43">
        <f t="shared" si="22"/>
        <v>6.5672529585088233</v>
      </c>
      <c r="V26" s="43">
        <f t="shared" si="22"/>
        <v>6.8956156064342657</v>
      </c>
      <c r="W26" s="43">
        <f t="shared" si="22"/>
        <v>7.2403963867559789</v>
      </c>
      <c r="X26" s="105">
        <f t="shared" si="2"/>
        <v>86.234872679500413</v>
      </c>
    </row>
    <row r="27" spans="1:24" s="40" customFormat="1" hidden="1" x14ac:dyDescent="0.5">
      <c r="A27" s="36" t="s">
        <v>14</v>
      </c>
      <c r="B27" s="43" t="e">
        <f>B$12*#REF!</f>
        <v>#REF!</v>
      </c>
      <c r="C27" s="43" t="e">
        <f>C$12*#REF!</f>
        <v>#REF!</v>
      </c>
      <c r="D27" s="43" t="e">
        <f>D$12*#REF!</f>
        <v>#REF!</v>
      </c>
      <c r="E27" s="43" t="e">
        <f>E$12*#REF!</f>
        <v>#REF!</v>
      </c>
      <c r="F27" s="43" t="e">
        <f>F$12*#REF!</f>
        <v>#REF!</v>
      </c>
      <c r="G27" s="43" t="e">
        <f>G$12*#REF!</f>
        <v>#REF!</v>
      </c>
      <c r="H27" s="43" t="e">
        <f>H$12*#REF!</f>
        <v>#REF!</v>
      </c>
      <c r="I27" s="99" t="e">
        <f>I$12*#REF!</f>
        <v>#REF!</v>
      </c>
      <c r="J27" s="99" t="e">
        <f>J$12*#REF!</f>
        <v>#REF!</v>
      </c>
      <c r="K27" s="99" t="e">
        <f>K$12*#REF!</f>
        <v>#REF!</v>
      </c>
      <c r="L27" s="99" t="e">
        <f>L$12*#REF!</f>
        <v>#REF!</v>
      </c>
      <c r="M27" s="99" t="e">
        <f>M$12*#REF!</f>
        <v>#REF!</v>
      </c>
      <c r="N27" s="99" t="e">
        <f>N$12*#REF!</f>
        <v>#REF!</v>
      </c>
      <c r="O27" s="99" t="e">
        <f>O$12*#REF!</f>
        <v>#REF!</v>
      </c>
      <c r="P27" s="99" t="e">
        <f>P$12*#REF!</f>
        <v>#REF!</v>
      </c>
      <c r="Q27" s="99" t="e">
        <f>Q$12*#REF!</f>
        <v>#REF!</v>
      </c>
      <c r="R27" s="116" t="e">
        <f>R$12*#REF!</f>
        <v>#REF!</v>
      </c>
      <c r="S27" s="43" t="e">
        <f>S$12*#REF!</f>
        <v>#REF!</v>
      </c>
      <c r="T27" s="43" t="e">
        <f>T$12*#REF!</f>
        <v>#REF!</v>
      </c>
      <c r="U27" s="43" t="e">
        <f>U$12*#REF!</f>
        <v>#REF!</v>
      </c>
      <c r="V27" s="43" t="e">
        <f>V$12*#REF!</f>
        <v>#REF!</v>
      </c>
      <c r="W27" s="43" t="e">
        <f>W$12*#REF!</f>
        <v>#REF!</v>
      </c>
      <c r="X27" s="105" t="e">
        <f t="shared" si="2"/>
        <v>#REF!</v>
      </c>
    </row>
    <row r="28" spans="1:24" x14ac:dyDescent="0.5">
      <c r="A28" s="41"/>
      <c r="B28" s="43"/>
      <c r="C28" s="43"/>
      <c r="D28" s="43"/>
      <c r="E28" s="43"/>
      <c r="F28" s="43"/>
      <c r="G28" s="43"/>
      <c r="H28" s="43"/>
      <c r="I28" s="99"/>
      <c r="J28" s="99"/>
      <c r="K28" s="99"/>
      <c r="L28" s="99"/>
      <c r="M28" s="99"/>
      <c r="N28" s="99"/>
      <c r="O28" s="99"/>
      <c r="P28" s="99"/>
      <c r="Q28" s="99"/>
      <c r="R28" s="116"/>
      <c r="S28" s="43"/>
      <c r="T28" s="43"/>
      <c r="U28" s="43"/>
      <c r="V28" s="43"/>
      <c r="W28" s="43"/>
      <c r="X28" s="105"/>
    </row>
    <row r="29" spans="1:24" s="40" customFormat="1" x14ac:dyDescent="0.5">
      <c r="A29" s="41" t="s">
        <v>281</v>
      </c>
      <c r="B29" s="43">
        <f t="shared" ref="B29:W29" si="23">B12*$B51</f>
        <v>0</v>
      </c>
      <c r="C29" s="43">
        <f t="shared" si="23"/>
        <v>0</v>
      </c>
      <c r="D29" s="43">
        <f t="shared" si="23"/>
        <v>0</v>
      </c>
      <c r="E29" s="43">
        <f t="shared" si="23"/>
        <v>0.48524745937500013</v>
      </c>
      <c r="F29" s="43">
        <f t="shared" si="23"/>
        <v>1.3586928862500005</v>
      </c>
      <c r="G29" s="43">
        <f t="shared" si="23"/>
        <v>2.3539354254281259</v>
      </c>
      <c r="H29" s="43">
        <f t="shared" si="23"/>
        <v>3.370407540953908</v>
      </c>
      <c r="I29" s="99">
        <f t="shared" si="23"/>
        <v>3.5389279180016033</v>
      </c>
      <c r="J29" s="99">
        <f t="shared" si="23"/>
        <v>3.7571618062783685</v>
      </c>
      <c r="K29" s="99">
        <f t="shared" si="23"/>
        <v>3.988371763587808</v>
      </c>
      <c r="L29" s="99">
        <f t="shared" si="23"/>
        <v>4.2333098121124939</v>
      </c>
      <c r="M29" s="99">
        <f t="shared" si="23"/>
        <v>4.4449753027181185</v>
      </c>
      <c r="N29" s="99">
        <f t="shared" si="23"/>
        <v>4.6672240678540255</v>
      </c>
      <c r="O29" s="99">
        <f t="shared" si="23"/>
        <v>4.9005852712467277</v>
      </c>
      <c r="P29" s="99">
        <f t="shared" si="23"/>
        <v>5.1456145348090638</v>
      </c>
      <c r="Q29" s="99">
        <f t="shared" si="23"/>
        <v>5.4028952615495172</v>
      </c>
      <c r="R29" s="116">
        <f t="shared" si="23"/>
        <v>5.6730400246269932</v>
      </c>
      <c r="S29" s="43">
        <f t="shared" si="23"/>
        <v>5.9566920258583433</v>
      </c>
      <c r="T29" s="43">
        <f t="shared" si="23"/>
        <v>6.254526627151261</v>
      </c>
      <c r="U29" s="43">
        <f t="shared" si="23"/>
        <v>6.5672529585088233</v>
      </c>
      <c r="V29" s="43">
        <f t="shared" si="23"/>
        <v>6.8956156064342657</v>
      </c>
      <c r="W29" s="43">
        <f t="shared" si="23"/>
        <v>7.2403963867559789</v>
      </c>
      <c r="X29" s="105">
        <f t="shared" si="2"/>
        <v>86.234872679500413</v>
      </c>
    </row>
    <row r="30" spans="1:24" x14ac:dyDescent="0.5">
      <c r="A30" s="41" t="s">
        <v>282</v>
      </c>
      <c r="B30" s="43">
        <f t="shared" ref="B30:W30" si="24">B29/((1+$B$45)^(B$1-$B$1))</f>
        <v>0</v>
      </c>
      <c r="C30" s="43">
        <f t="shared" si="24"/>
        <v>0</v>
      </c>
      <c r="D30" s="43">
        <f t="shared" si="24"/>
        <v>0</v>
      </c>
      <c r="E30" s="43">
        <f t="shared" si="24"/>
        <v>0.39610647085449252</v>
      </c>
      <c r="F30" s="43">
        <f t="shared" si="24"/>
        <v>1.0365402975631581</v>
      </c>
      <c r="G30" s="43">
        <f t="shared" si="24"/>
        <v>1.678323425727263</v>
      </c>
      <c r="H30" s="43">
        <f t="shared" si="24"/>
        <v>2.2458448560071704</v>
      </c>
      <c r="I30" s="99">
        <f t="shared" si="24"/>
        <v>2.203866447483672</v>
      </c>
      <c r="J30" s="99">
        <f t="shared" si="24"/>
        <v>2.1867023785780355</v>
      </c>
      <c r="K30" s="99">
        <f t="shared" si="24"/>
        <v>2.1694099801852551</v>
      </c>
      <c r="L30" s="99">
        <f t="shared" si="24"/>
        <v>2.1520000463743414</v>
      </c>
      <c r="M30" s="99">
        <f t="shared" si="24"/>
        <v>2.1117757464421105</v>
      </c>
      <c r="N30" s="99">
        <f t="shared" si="24"/>
        <v>2.0723033025833804</v>
      </c>
      <c r="O30" s="99">
        <f t="shared" si="24"/>
        <v>2.0335686614135979</v>
      </c>
      <c r="P30" s="99">
        <f t="shared" si="24"/>
        <v>1.9955580322282969</v>
      </c>
      <c r="Q30" s="99">
        <f t="shared" si="24"/>
        <v>1.9582578820931882</v>
      </c>
      <c r="R30" s="116">
        <f t="shared" si="24"/>
        <v>1.9216549310260262</v>
      </c>
      <c r="S30" s="43">
        <f t="shared" si="24"/>
        <v>1.8857361472685306</v>
      </c>
      <c r="T30" s="43">
        <f t="shared" si="24"/>
        <v>1.8504887426466889</v>
      </c>
      <c r="U30" s="43">
        <f t="shared" si="24"/>
        <v>1.8159001680177786</v>
      </c>
      <c r="V30" s="43">
        <f t="shared" si="24"/>
        <v>1.7819581088024934</v>
      </c>
      <c r="W30" s="43">
        <f t="shared" si="24"/>
        <v>1.7486504806005776</v>
      </c>
      <c r="X30" s="105">
        <f t="shared" ref="X30" si="25">SUM(B30:W30)</f>
        <v>35.244646105896052</v>
      </c>
    </row>
    <row r="31" spans="1:24" x14ac:dyDescent="0.5">
      <c r="A31" s="41"/>
      <c r="B31" s="43"/>
      <c r="C31" s="43"/>
      <c r="D31" s="43"/>
      <c r="E31" s="43"/>
      <c r="F31" s="43"/>
      <c r="G31" s="43"/>
      <c r="H31" s="43"/>
      <c r="I31" s="99"/>
      <c r="J31" s="99"/>
      <c r="K31" s="99"/>
      <c r="L31" s="99"/>
      <c r="M31" s="99"/>
      <c r="N31" s="99"/>
      <c r="O31" s="99"/>
      <c r="P31" s="99"/>
      <c r="Q31" s="99"/>
      <c r="R31" s="116"/>
      <c r="S31" s="43"/>
      <c r="T31" s="43"/>
      <c r="U31" s="43"/>
      <c r="V31" s="43"/>
      <c r="W31" s="43"/>
      <c r="X31" s="105"/>
    </row>
    <row r="32" spans="1:24" x14ac:dyDescent="0.5">
      <c r="A32" s="41" t="s">
        <v>48</v>
      </c>
      <c r="B32" s="43">
        <f t="shared" ref="B32:W32" si="26">B12*$B52</f>
        <v>0</v>
      </c>
      <c r="C32" s="43">
        <f t="shared" si="26"/>
        <v>0</v>
      </c>
      <c r="D32" s="43">
        <f t="shared" si="26"/>
        <v>0</v>
      </c>
      <c r="E32" s="43">
        <f t="shared" si="26"/>
        <v>2.4262372968750006</v>
      </c>
      <c r="F32" s="43">
        <f t="shared" si="26"/>
        <v>6.7934644312500021</v>
      </c>
      <c r="G32" s="43">
        <f t="shared" si="26"/>
        <v>11.769677127140628</v>
      </c>
      <c r="H32" s="43">
        <f t="shared" si="26"/>
        <v>16.85203770476954</v>
      </c>
      <c r="I32" s="99">
        <f t="shared" si="26"/>
        <v>17.694639590008016</v>
      </c>
      <c r="J32" s="99">
        <f t="shared" si="26"/>
        <v>18.785809031391842</v>
      </c>
      <c r="K32" s="99">
        <f t="shared" si="26"/>
        <v>19.941858817939039</v>
      </c>
      <c r="L32" s="99">
        <f t="shared" si="26"/>
        <v>21.16654906056247</v>
      </c>
      <c r="M32" s="99">
        <f t="shared" si="26"/>
        <v>22.224876513590591</v>
      </c>
      <c r="N32" s="99">
        <f t="shared" si="26"/>
        <v>23.336120339270128</v>
      </c>
      <c r="O32" s="99">
        <f t="shared" si="26"/>
        <v>24.502926356233637</v>
      </c>
      <c r="P32" s="99">
        <f t="shared" si="26"/>
        <v>25.728072674045318</v>
      </c>
      <c r="Q32" s="99">
        <f t="shared" si="26"/>
        <v>27.014476307747586</v>
      </c>
      <c r="R32" s="116">
        <f t="shared" si="26"/>
        <v>28.365200123134965</v>
      </c>
      <c r="S32" s="43">
        <f t="shared" si="26"/>
        <v>29.783460129291715</v>
      </c>
      <c r="T32" s="43">
        <f t="shared" si="26"/>
        <v>31.272633135756301</v>
      </c>
      <c r="U32" s="43">
        <f t="shared" si="26"/>
        <v>32.836264792544114</v>
      </c>
      <c r="V32" s="43">
        <f t="shared" si="26"/>
        <v>34.478078032171325</v>
      </c>
      <c r="W32" s="43">
        <f t="shared" si="26"/>
        <v>36.201981933779891</v>
      </c>
      <c r="X32" s="105">
        <f>SUM(B32:W32)</f>
        <v>431.17436339750208</v>
      </c>
    </row>
    <row r="33" spans="1:24" x14ac:dyDescent="0.5">
      <c r="A33" s="41" t="s">
        <v>49</v>
      </c>
      <c r="B33" s="43">
        <f t="shared" ref="B33:W33" si="27">B32/((1+$B$45)^(B$1-$B$1))</f>
        <v>0</v>
      </c>
      <c r="C33" s="43">
        <f t="shared" si="27"/>
        <v>0</v>
      </c>
      <c r="D33" s="43">
        <f t="shared" si="27"/>
        <v>0</v>
      </c>
      <c r="E33" s="43">
        <f t="shared" si="27"/>
        <v>1.9805323542724627</v>
      </c>
      <c r="F33" s="43">
        <f t="shared" si="27"/>
        <v>5.1827014878157911</v>
      </c>
      <c r="G33" s="43">
        <f t="shared" si="27"/>
        <v>8.3916171286363141</v>
      </c>
      <c r="H33" s="43">
        <f t="shared" si="27"/>
        <v>11.229224280035853</v>
      </c>
      <c r="I33" s="99">
        <f t="shared" si="27"/>
        <v>11.019332237418359</v>
      </c>
      <c r="J33" s="99">
        <f t="shared" si="27"/>
        <v>10.933511892890179</v>
      </c>
      <c r="K33" s="99">
        <f t="shared" si="27"/>
        <v>10.847049900926276</v>
      </c>
      <c r="L33" s="99">
        <f t="shared" si="27"/>
        <v>10.760000231871707</v>
      </c>
      <c r="M33" s="99">
        <f t="shared" si="27"/>
        <v>10.558878732210552</v>
      </c>
      <c r="N33" s="99">
        <f t="shared" si="27"/>
        <v>10.361516512916902</v>
      </c>
      <c r="O33" s="99">
        <f t="shared" si="27"/>
        <v>10.167843307067988</v>
      </c>
      <c r="P33" s="99">
        <f t="shared" si="27"/>
        <v>9.9777901611414848</v>
      </c>
      <c r="Q33" s="99">
        <f t="shared" si="27"/>
        <v>9.7912894104659411</v>
      </c>
      <c r="R33" s="116">
        <f t="shared" si="27"/>
        <v>9.6082746551301312</v>
      </c>
      <c r="S33" s="43">
        <f t="shared" si="27"/>
        <v>9.4286807363426526</v>
      </c>
      <c r="T33" s="43">
        <f t="shared" si="27"/>
        <v>9.2524437132334434</v>
      </c>
      <c r="U33" s="43">
        <f t="shared" si="27"/>
        <v>9.0795008400888921</v>
      </c>
      <c r="V33" s="43">
        <f t="shared" si="27"/>
        <v>8.9097905440124663</v>
      </c>
      <c r="W33" s="43">
        <f t="shared" si="27"/>
        <v>8.7432524030028862</v>
      </c>
      <c r="X33" s="106">
        <f>SUM(B33:W33)</f>
        <v>176.22323052948025</v>
      </c>
    </row>
    <row r="34" spans="1:24" s="40" customFormat="1" x14ac:dyDescent="0.5">
      <c r="A34" s="36"/>
      <c r="I34" s="100"/>
      <c r="J34" s="100"/>
      <c r="K34" s="100"/>
      <c r="L34" s="100"/>
      <c r="M34" s="100"/>
      <c r="N34" s="100"/>
      <c r="O34" s="100"/>
      <c r="P34" s="100"/>
      <c r="Q34" s="100"/>
      <c r="X34" s="42"/>
    </row>
    <row r="35" spans="1:24" x14ac:dyDescent="0.5">
      <c r="A35" s="44" t="s">
        <v>18</v>
      </c>
      <c r="B35" s="45"/>
      <c r="E35" s="43"/>
      <c r="G35" s="43"/>
      <c r="H35" s="43"/>
      <c r="I35" s="99"/>
      <c r="J35" s="99"/>
      <c r="K35" s="99"/>
      <c r="L35" s="99"/>
      <c r="M35" s="99"/>
      <c r="N35" s="99"/>
      <c r="O35" s="99"/>
      <c r="P35" s="99"/>
      <c r="Q35" s="99"/>
      <c r="R35" s="43"/>
      <c r="S35" s="43"/>
      <c r="T35" s="43"/>
      <c r="U35" s="43"/>
      <c r="V35" s="43"/>
      <c r="W35" s="43"/>
    </row>
    <row r="36" spans="1:24" hidden="1" x14ac:dyDescent="0.5">
      <c r="A36" s="46" t="s">
        <v>19</v>
      </c>
      <c r="B36" s="47" t="e">
        <f>(-PV(0.0083,(12*#REF!),B12))/1000</f>
        <v>#REF!</v>
      </c>
      <c r="C36" s="48" t="e">
        <f>(-PV(0.0083,(12*#REF!),C12))/1000</f>
        <v>#REF!</v>
      </c>
      <c r="D36" s="48">
        <f>(-PV(0.0083,(12*A38),D12))/1000</f>
        <v>0</v>
      </c>
      <c r="E36" s="48" t="e" cm="1">
        <f t="array" ref="E36">(-PV(0.0083,(12*B38),E12+PV)/1000)</f>
        <v>#NAME?</v>
      </c>
      <c r="F36" s="48">
        <f>(PV(0.0083,(12*C38),-F12,0))/1000</f>
        <v>1.3021620663879463</v>
      </c>
      <c r="G36" s="48"/>
      <c r="H36" s="48"/>
      <c r="I36" s="101"/>
      <c r="J36" s="101"/>
      <c r="K36" s="101"/>
      <c r="L36" s="101"/>
      <c r="M36" s="101"/>
      <c r="N36" s="101"/>
      <c r="O36" s="101"/>
      <c r="P36" s="101"/>
      <c r="Q36" s="101"/>
      <c r="R36" s="48"/>
      <c r="S36" s="48"/>
      <c r="T36" s="48"/>
      <c r="U36" s="48"/>
      <c r="V36" s="48"/>
      <c r="W36" s="48"/>
    </row>
    <row r="37" spans="1:24" hidden="1" x14ac:dyDescent="0.5">
      <c r="A37" s="46" t="s">
        <v>20</v>
      </c>
      <c r="B37" s="49"/>
      <c r="E37" s="38">
        <f>17*12</f>
        <v>204</v>
      </c>
    </row>
    <row r="38" spans="1:24" hidden="1" x14ac:dyDescent="0.5">
      <c r="A38" s="46"/>
      <c r="B38" s="49">
        <v>17</v>
      </c>
      <c r="C38" s="38">
        <v>16</v>
      </c>
      <c r="D38" s="38">
        <v>15</v>
      </c>
      <c r="E38" s="38">
        <v>14</v>
      </c>
      <c r="F38" s="38">
        <v>13</v>
      </c>
    </row>
    <row r="39" spans="1:24" hidden="1" x14ac:dyDescent="0.5">
      <c r="A39" s="46"/>
      <c r="B39" s="49"/>
    </row>
    <row r="40" spans="1:24" x14ac:dyDescent="0.5">
      <c r="A40" s="46" t="s">
        <v>21</v>
      </c>
      <c r="B40" s="50">
        <v>230</v>
      </c>
    </row>
    <row r="41" spans="1:24" x14ac:dyDescent="0.5">
      <c r="A41" s="46" t="s">
        <v>23</v>
      </c>
      <c r="B41" s="51">
        <v>1.05</v>
      </c>
      <c r="Q41" s="102"/>
      <c r="U41" s="104"/>
    </row>
    <row r="42" spans="1:24" x14ac:dyDescent="0.5">
      <c r="A42" s="46" t="s">
        <v>24</v>
      </c>
      <c r="B42" s="52">
        <v>0.15</v>
      </c>
      <c r="E42" s="53"/>
      <c r="Q42" s="103"/>
      <c r="X42" s="42"/>
    </row>
    <row r="43" spans="1:24" x14ac:dyDescent="0.5">
      <c r="A43" s="46" t="s">
        <v>25</v>
      </c>
      <c r="B43" s="55">
        <v>0.9</v>
      </c>
    </row>
    <row r="44" spans="1:24" x14ac:dyDescent="0.5">
      <c r="A44" s="46" t="s">
        <v>26</v>
      </c>
      <c r="B44" s="70">
        <v>1000000</v>
      </c>
    </row>
    <row r="45" spans="1:24" x14ac:dyDescent="0.5">
      <c r="A45" s="41" t="s">
        <v>50</v>
      </c>
      <c r="B45" s="69">
        <v>7.0000000000000007E-2</v>
      </c>
    </row>
    <row r="46" spans="1:24" x14ac:dyDescent="0.5">
      <c r="A46" s="41"/>
      <c r="B46" s="59"/>
    </row>
    <row r="47" spans="1:24" x14ac:dyDescent="0.5">
      <c r="A47" s="56" t="s">
        <v>28</v>
      </c>
      <c r="B47" s="57">
        <f>0.1</f>
        <v>0.1</v>
      </c>
      <c r="C47" s="54"/>
      <c r="E47" s="58"/>
    </row>
    <row r="48" spans="1:24" x14ac:dyDescent="0.5">
      <c r="A48" s="56" t="s">
        <v>29</v>
      </c>
      <c r="B48" s="57">
        <f xml:space="preserve"> 0.1</f>
        <v>0.1</v>
      </c>
      <c r="C48" s="54"/>
      <c r="E48" s="58"/>
    </row>
    <row r="49" spans="1:5" x14ac:dyDescent="0.5">
      <c r="A49" s="56" t="s">
        <v>30</v>
      </c>
      <c r="B49" s="57">
        <f xml:space="preserve"> 0.1</f>
        <v>0.1</v>
      </c>
      <c r="C49" s="54"/>
      <c r="E49" s="58"/>
    </row>
    <row r="50" spans="1:5" x14ac:dyDescent="0.5">
      <c r="A50" s="56" t="s">
        <v>31</v>
      </c>
      <c r="B50" s="96">
        <f xml:space="preserve"> 0.1</f>
        <v>0.1</v>
      </c>
      <c r="C50" s="54"/>
      <c r="E50" s="58"/>
    </row>
    <row r="51" spans="1:5" x14ac:dyDescent="0.5">
      <c r="A51" s="46" t="s">
        <v>33</v>
      </c>
      <c r="B51" s="57">
        <f xml:space="preserve"> 0.1</f>
        <v>0.1</v>
      </c>
      <c r="C51" s="54"/>
    </row>
    <row r="52" spans="1:5" x14ac:dyDescent="0.5">
      <c r="A52" s="56" t="s">
        <v>51</v>
      </c>
      <c r="B52" s="57">
        <f>'TCRA Stages'!G10</f>
        <v>0.5</v>
      </c>
      <c r="C52" s="54"/>
    </row>
    <row r="53" spans="1:5" x14ac:dyDescent="0.5">
      <c r="A53" s="67" t="s">
        <v>35</v>
      </c>
      <c r="B53" s="68">
        <f>SUM(B47:B52)</f>
        <v>1</v>
      </c>
      <c r="C53" s="54"/>
    </row>
    <row r="54" spans="1:5" ht="15" customHeight="1" x14ac:dyDescent="0.5"/>
  </sheetData>
  <pageMargins left="0.7" right="0.7" top="0.75" bottom="0.75" header="0.3" footer="0.3"/>
  <pageSetup scale="39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CCA6AD-7ED4-402B-A8BF-AB70938E3FD5}">
  <dimension ref="A2:I27"/>
  <sheetViews>
    <sheetView topLeftCell="A2" workbookViewId="0">
      <selection activeCell="E17" sqref="E17"/>
    </sheetView>
  </sheetViews>
  <sheetFormatPr defaultRowHeight="14.6" x14ac:dyDescent="0.4"/>
  <cols>
    <col min="1" max="1" width="19.53515625" customWidth="1"/>
    <col min="2" max="3" width="18.84375" customWidth="1"/>
    <col min="4" max="4" width="17.84375" customWidth="1"/>
    <col min="5" max="6" width="20.23046875" customWidth="1"/>
    <col min="7" max="7" width="18.15234375" customWidth="1"/>
    <col min="8" max="8" width="19.4609375" bestFit="1" customWidth="1"/>
  </cols>
  <sheetData>
    <row r="2" spans="1:9" x14ac:dyDescent="0.4">
      <c r="A2" t="s">
        <v>52</v>
      </c>
      <c r="H2" s="79"/>
    </row>
    <row r="3" spans="1:9" x14ac:dyDescent="0.4">
      <c r="A3" s="73" t="s">
        <v>53</v>
      </c>
      <c r="B3" s="73"/>
      <c r="C3" s="73"/>
      <c r="D3" s="73"/>
      <c r="E3" s="73"/>
      <c r="F3" s="73"/>
      <c r="G3" s="73"/>
      <c r="H3" s="86">
        <f>100/35</f>
        <v>2.8571428571428572</v>
      </c>
    </row>
    <row r="4" spans="1:9" x14ac:dyDescent="0.4">
      <c r="A4" t="s">
        <v>54</v>
      </c>
    </row>
    <row r="5" spans="1:9" x14ac:dyDescent="0.4">
      <c r="A5" s="73" t="s">
        <v>55</v>
      </c>
      <c r="B5" s="73"/>
      <c r="C5" s="73"/>
      <c r="D5" s="73"/>
      <c r="E5" s="73"/>
      <c r="F5" s="73"/>
      <c r="G5" s="73"/>
      <c r="H5" s="73"/>
      <c r="I5" s="73"/>
    </row>
    <row r="6" spans="1:9" x14ac:dyDescent="0.4">
      <c r="A6" t="s">
        <v>56</v>
      </c>
    </row>
    <row r="8" spans="1:9" x14ac:dyDescent="0.4">
      <c r="B8" t="s">
        <v>57</v>
      </c>
      <c r="C8" s="73" t="s">
        <v>58</v>
      </c>
      <c r="D8" t="s">
        <v>59</v>
      </c>
      <c r="E8" s="73" t="s">
        <v>60</v>
      </c>
      <c r="F8" s="73" t="s">
        <v>61</v>
      </c>
      <c r="G8" t="s">
        <v>62</v>
      </c>
      <c r="H8" t="s">
        <v>63</v>
      </c>
    </row>
    <row r="9" spans="1:9" x14ac:dyDescent="0.4">
      <c r="A9" s="72" t="s">
        <v>64</v>
      </c>
      <c r="B9" s="71">
        <v>0</v>
      </c>
      <c r="C9" s="77" t="s">
        <v>65</v>
      </c>
      <c r="D9" s="71">
        <f t="shared" ref="D9" si="0">B9+C9</f>
        <v>0.1</v>
      </c>
      <c r="E9" s="82">
        <f>-($H$3)/100</f>
        <v>-2.8571428571428571E-2</v>
      </c>
      <c r="F9" s="75">
        <v>10</v>
      </c>
      <c r="G9" s="78">
        <f t="shared" ref="G9:G14" si="1">D9+E9</f>
        <v>7.1428571428571438E-2</v>
      </c>
      <c r="H9" s="81">
        <f>G9*530</f>
        <v>37.857142857142861</v>
      </c>
    </row>
    <row r="10" spans="1:9" x14ac:dyDescent="0.4">
      <c r="A10" s="72" t="s">
        <v>66</v>
      </c>
      <c r="B10" s="71">
        <v>0</v>
      </c>
      <c r="C10" s="77" t="s">
        <v>67</v>
      </c>
      <c r="D10" s="71">
        <v>0.5</v>
      </c>
      <c r="E10" s="83">
        <v>0</v>
      </c>
      <c r="F10" s="75">
        <f>-(E10*150000000000)/1000000000</f>
        <v>0</v>
      </c>
      <c r="G10" s="78">
        <f t="shared" si="1"/>
        <v>0.5</v>
      </c>
      <c r="H10" s="81">
        <f t="shared" ref="H10:H14" si="2">G10*530</f>
        <v>265</v>
      </c>
    </row>
    <row r="11" spans="1:9" x14ac:dyDescent="0.4">
      <c r="A11" s="72" t="s">
        <v>68</v>
      </c>
      <c r="B11" s="71">
        <v>0</v>
      </c>
      <c r="C11" s="77" t="s">
        <v>69</v>
      </c>
      <c r="D11" s="71">
        <v>0.28000000000000003</v>
      </c>
      <c r="E11" s="82">
        <f>-(($H$3)/100)*0.5</f>
        <v>-1.4285714285714285E-2</v>
      </c>
      <c r="F11" s="75">
        <v>5</v>
      </c>
      <c r="G11" s="78">
        <f t="shared" si="1"/>
        <v>0.26571428571428574</v>
      </c>
      <c r="H11" s="81">
        <f t="shared" si="2"/>
        <v>140.82857142857145</v>
      </c>
    </row>
    <row r="12" spans="1:9" x14ac:dyDescent="0.4">
      <c r="A12" s="72" t="s">
        <v>70</v>
      </c>
      <c r="B12" s="71">
        <v>0</v>
      </c>
      <c r="C12" s="77" t="s">
        <v>71</v>
      </c>
      <c r="D12" s="71">
        <v>7.0000000000000007E-2</v>
      </c>
      <c r="E12" s="82">
        <f>-($H$3)/100</f>
        <v>-2.8571428571428571E-2</v>
      </c>
      <c r="F12" s="75">
        <v>10</v>
      </c>
      <c r="G12" s="78">
        <f t="shared" si="1"/>
        <v>4.142857142857144E-2</v>
      </c>
      <c r="H12" s="81">
        <f t="shared" si="2"/>
        <v>21.957142857142863</v>
      </c>
    </row>
    <row r="13" spans="1:9" x14ac:dyDescent="0.4">
      <c r="A13" s="72" t="s">
        <v>72</v>
      </c>
      <c r="B13" s="71">
        <v>1</v>
      </c>
      <c r="C13" s="77" t="s">
        <v>71</v>
      </c>
      <c r="D13" s="71">
        <v>7.0000000000000007E-2</v>
      </c>
      <c r="E13" s="82">
        <f>-($H$3)/100</f>
        <v>-2.8571428571428571E-2</v>
      </c>
      <c r="F13" s="75">
        <v>10</v>
      </c>
      <c r="G13" s="78">
        <f t="shared" si="1"/>
        <v>4.142857142857144E-2</v>
      </c>
      <c r="H13" s="81">
        <f t="shared" si="2"/>
        <v>21.957142857142863</v>
      </c>
    </row>
    <row r="14" spans="1:9" x14ac:dyDescent="0.4">
      <c r="A14" s="72" t="s">
        <v>73</v>
      </c>
      <c r="B14" s="71">
        <v>0</v>
      </c>
      <c r="C14" s="77" t="s">
        <v>74</v>
      </c>
      <c r="D14" s="71">
        <v>0.08</v>
      </c>
      <c r="E14" s="84" t="s">
        <v>75</v>
      </c>
      <c r="F14" s="80">
        <f>-35</f>
        <v>-35</v>
      </c>
      <c r="G14" s="78">
        <f t="shared" si="1"/>
        <v>0.18</v>
      </c>
      <c r="H14" s="81">
        <f t="shared" si="2"/>
        <v>95.399999999999991</v>
      </c>
    </row>
    <row r="15" spans="1:9" x14ac:dyDescent="0.4">
      <c r="A15" s="72" t="s">
        <v>76</v>
      </c>
      <c r="B15" s="71">
        <f>SUM(B9:B14)</f>
        <v>1</v>
      </c>
      <c r="C15" s="77"/>
      <c r="D15" s="71">
        <f>SUM(D9:D14)</f>
        <v>1.1000000000000001</v>
      </c>
      <c r="E15" s="78">
        <f>SUM(E9+E11+E12+E13)</f>
        <v>-9.9999999999999992E-2</v>
      </c>
      <c r="F15" s="71"/>
      <c r="G15" s="78">
        <f>SUM(G9:G14)</f>
        <v>1.1000000000000001</v>
      </c>
      <c r="H15" s="81">
        <f>SUM(H9:H14)</f>
        <v>583</v>
      </c>
    </row>
    <row r="18" spans="1:8" x14ac:dyDescent="0.4">
      <c r="A18" s="72"/>
      <c r="B18" s="71"/>
      <c r="C18" s="74"/>
      <c r="D18" s="71"/>
      <c r="E18" s="85"/>
      <c r="F18" s="75"/>
      <c r="G18" s="71"/>
      <c r="H18" s="76"/>
    </row>
    <row r="19" spans="1:8" x14ac:dyDescent="0.4">
      <c r="A19" s="72"/>
      <c r="B19" s="71"/>
      <c r="C19" s="74"/>
      <c r="D19" s="71"/>
      <c r="E19" s="74"/>
      <c r="F19" s="75"/>
      <c r="G19" s="71"/>
      <c r="H19" s="76"/>
    </row>
    <row r="20" spans="1:8" x14ac:dyDescent="0.4">
      <c r="A20" s="72"/>
      <c r="B20" s="71"/>
      <c r="C20" s="74"/>
      <c r="D20" s="71"/>
      <c r="E20" s="74"/>
      <c r="F20" s="75"/>
      <c r="G20" s="71"/>
      <c r="H20" s="76"/>
    </row>
    <row r="21" spans="1:8" x14ac:dyDescent="0.4">
      <c r="A21" s="72"/>
      <c r="B21" s="71"/>
      <c r="C21" s="74"/>
      <c r="D21" s="71"/>
      <c r="E21" s="74"/>
      <c r="F21" s="75"/>
      <c r="G21" s="71"/>
    </row>
    <row r="22" spans="1:8" x14ac:dyDescent="0.4">
      <c r="A22" s="72"/>
      <c r="B22" s="71"/>
      <c r="C22" s="74"/>
      <c r="D22" s="71"/>
      <c r="E22" s="74"/>
      <c r="F22" s="74"/>
      <c r="G22" s="71"/>
    </row>
    <row r="23" spans="1:8" x14ac:dyDescent="0.4">
      <c r="A23" s="72"/>
      <c r="B23" s="71"/>
      <c r="C23" s="74"/>
      <c r="D23" s="71"/>
      <c r="E23" s="74"/>
      <c r="F23" s="74"/>
      <c r="G23" s="71"/>
    </row>
    <row r="24" spans="1:8" x14ac:dyDescent="0.4">
      <c r="A24" s="72"/>
      <c r="B24" s="71"/>
      <c r="C24" s="74"/>
      <c r="D24" s="71"/>
      <c r="E24" s="74"/>
      <c r="F24" s="74"/>
      <c r="G24" s="71"/>
    </row>
    <row r="25" spans="1:8" x14ac:dyDescent="0.4">
      <c r="A25" s="72"/>
      <c r="B25" s="71"/>
      <c r="C25" s="74"/>
      <c r="D25" s="71"/>
      <c r="E25" s="74"/>
      <c r="F25" s="74"/>
      <c r="G25" s="71"/>
    </row>
    <row r="26" spans="1:8" x14ac:dyDescent="0.4">
      <c r="A26" s="72"/>
      <c r="B26" s="71"/>
      <c r="C26" s="74"/>
      <c r="D26" s="71"/>
      <c r="E26" s="74"/>
      <c r="F26" s="74"/>
      <c r="G26" s="71"/>
    </row>
    <row r="27" spans="1:8" x14ac:dyDescent="0.4">
      <c r="A27" s="72"/>
    </row>
  </sheetData>
  <phoneticPr fontId="13" type="noConversion"/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BC8728-E28C-4EBC-A5B0-B0F318255038}">
  <dimension ref="A1:C14"/>
  <sheetViews>
    <sheetView workbookViewId="0">
      <selection activeCell="B14" sqref="B14"/>
    </sheetView>
  </sheetViews>
  <sheetFormatPr defaultRowHeight="14.6" x14ac:dyDescent="0.4"/>
  <cols>
    <col min="1" max="1" width="17.84375" bestFit="1" customWidth="1"/>
    <col min="2" max="2" width="13.53515625" bestFit="1" customWidth="1"/>
  </cols>
  <sheetData>
    <row r="1" spans="1:3" x14ac:dyDescent="0.4">
      <c r="A1" t="s">
        <v>70</v>
      </c>
      <c r="B1" t="s">
        <v>70</v>
      </c>
      <c r="C1" t="s">
        <v>77</v>
      </c>
    </row>
    <row r="2" spans="1:3" x14ac:dyDescent="0.4">
      <c r="A2" t="s">
        <v>78</v>
      </c>
      <c r="B2" s="71">
        <v>0.05</v>
      </c>
    </row>
    <row r="3" spans="1:3" x14ac:dyDescent="0.4">
      <c r="A3" t="s">
        <v>79</v>
      </c>
      <c r="B3" s="78">
        <v>0.1575</v>
      </c>
    </row>
    <row r="4" spans="1:3" x14ac:dyDescent="0.4">
      <c r="A4" t="s">
        <v>80</v>
      </c>
      <c r="B4" s="78">
        <v>0.1575</v>
      </c>
    </row>
    <row r="5" spans="1:3" x14ac:dyDescent="0.4">
      <c r="A5" t="s">
        <v>81</v>
      </c>
      <c r="B5" s="78">
        <v>0.1575</v>
      </c>
    </row>
    <row r="6" spans="1:3" x14ac:dyDescent="0.4">
      <c r="A6" t="s">
        <v>82</v>
      </c>
      <c r="B6" s="78">
        <v>0.1575</v>
      </c>
    </row>
    <row r="7" spans="1:3" x14ac:dyDescent="0.4">
      <c r="A7" t="s">
        <v>83</v>
      </c>
      <c r="B7" s="71">
        <v>0.1</v>
      </c>
    </row>
    <row r="8" spans="1:3" x14ac:dyDescent="0.4">
      <c r="A8" t="s">
        <v>84</v>
      </c>
      <c r="B8" s="71">
        <v>0.05</v>
      </c>
    </row>
    <row r="9" spans="1:3" x14ac:dyDescent="0.4">
      <c r="A9" t="s">
        <v>85</v>
      </c>
      <c r="B9" s="71">
        <v>0.05</v>
      </c>
    </row>
    <row r="10" spans="1:3" x14ac:dyDescent="0.4">
      <c r="A10" t="s">
        <v>86</v>
      </c>
      <c r="B10" s="71">
        <v>0.05</v>
      </c>
    </row>
    <row r="11" spans="1:3" x14ac:dyDescent="0.4">
      <c r="A11" t="s">
        <v>87</v>
      </c>
      <c r="B11" s="71">
        <v>0.03</v>
      </c>
    </row>
    <row r="12" spans="1:3" x14ac:dyDescent="0.4">
      <c r="A12" t="s">
        <v>88</v>
      </c>
      <c r="B12" s="71">
        <v>0.02</v>
      </c>
    </row>
    <row r="13" spans="1:3" x14ac:dyDescent="0.4">
      <c r="A13" t="s">
        <v>89</v>
      </c>
      <c r="B13" s="71">
        <v>0.02</v>
      </c>
    </row>
    <row r="14" spans="1:3" x14ac:dyDescent="0.4">
      <c r="B14" s="71">
        <f>SUM(B2:B13)</f>
        <v>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BD72F2-DA30-45A1-83A4-A25B0E5E847A}">
  <dimension ref="A1:N28"/>
  <sheetViews>
    <sheetView topLeftCell="B1" workbookViewId="0">
      <selection sqref="A1:N28"/>
    </sheetView>
  </sheetViews>
  <sheetFormatPr defaultRowHeight="14.6" x14ac:dyDescent="0.4"/>
  <cols>
    <col min="1" max="1" width="19.84375" customWidth="1"/>
    <col min="2" max="2" width="53.69140625" customWidth="1"/>
    <col min="3" max="4" width="19.84375" customWidth="1"/>
    <col min="5" max="5" width="14" customWidth="1"/>
    <col min="6" max="6" width="20.84375" style="94" customWidth="1"/>
    <col min="7" max="7" width="14" customWidth="1"/>
    <col min="8" max="8" width="20.15234375" customWidth="1"/>
    <col min="9" max="10" width="14" customWidth="1"/>
    <col min="11" max="11" width="16.23046875" customWidth="1"/>
    <col min="12" max="13" width="14" customWidth="1"/>
    <col min="14" max="14" width="23.4609375" customWidth="1"/>
  </cols>
  <sheetData>
    <row r="1" spans="1:14" ht="29.15" x14ac:dyDescent="0.4">
      <c r="A1" s="87" t="s">
        <v>90</v>
      </c>
      <c r="B1" s="87" t="s">
        <v>91</v>
      </c>
      <c r="C1" s="87" t="s">
        <v>92</v>
      </c>
      <c r="D1" s="87" t="s">
        <v>93</v>
      </c>
      <c r="E1" s="87" t="s">
        <v>94</v>
      </c>
      <c r="F1" s="88" t="s">
        <v>95</v>
      </c>
      <c r="G1" s="87" t="s">
        <v>96</v>
      </c>
      <c r="H1" s="87" t="s">
        <v>97</v>
      </c>
      <c r="I1" s="87" t="s">
        <v>98</v>
      </c>
      <c r="J1" s="87" t="s">
        <v>99</v>
      </c>
      <c r="K1" s="87" t="s">
        <v>100</v>
      </c>
      <c r="L1" s="87" t="s">
        <v>101</v>
      </c>
      <c r="M1" s="87" t="s">
        <v>102</v>
      </c>
      <c r="N1" s="87" t="s">
        <v>103</v>
      </c>
    </row>
    <row r="2" spans="1:14" ht="29.15" x14ac:dyDescent="0.4">
      <c r="A2" s="89" t="s">
        <v>104</v>
      </c>
      <c r="B2" s="89" t="s">
        <v>105</v>
      </c>
      <c r="C2" s="90" t="s">
        <v>106</v>
      </c>
      <c r="D2" s="90" t="s">
        <v>107</v>
      </c>
      <c r="E2" s="90" t="s">
        <v>108</v>
      </c>
      <c r="F2" s="91" t="s">
        <v>109</v>
      </c>
      <c r="G2" s="92">
        <v>45356</v>
      </c>
      <c r="H2" s="90" t="s">
        <v>110</v>
      </c>
      <c r="I2" s="90" t="s">
        <v>110</v>
      </c>
      <c r="J2" s="90" t="s">
        <v>110</v>
      </c>
      <c r="K2" s="90" t="s">
        <v>110</v>
      </c>
      <c r="L2" s="92">
        <v>45028</v>
      </c>
      <c r="M2" s="92">
        <v>52661</v>
      </c>
      <c r="N2" s="90" t="s">
        <v>111</v>
      </c>
    </row>
    <row r="3" spans="1:14" x14ac:dyDescent="0.4">
      <c r="A3" s="89" t="s">
        <v>112</v>
      </c>
      <c r="B3" s="89" t="s">
        <v>105</v>
      </c>
      <c r="C3" s="90" t="s">
        <v>113</v>
      </c>
      <c r="D3" s="90" t="s">
        <v>114</v>
      </c>
      <c r="E3" s="90" t="s">
        <v>108</v>
      </c>
      <c r="F3" s="91" t="s">
        <v>115</v>
      </c>
      <c r="G3" s="92">
        <v>45356</v>
      </c>
      <c r="H3" s="90" t="s">
        <v>110</v>
      </c>
      <c r="I3" s="90" t="s">
        <v>110</v>
      </c>
      <c r="J3" s="90" t="s">
        <v>110</v>
      </c>
      <c r="K3" s="90" t="s">
        <v>110</v>
      </c>
      <c r="L3" s="92">
        <v>45028</v>
      </c>
      <c r="M3" s="90" t="s">
        <v>110</v>
      </c>
      <c r="N3" s="90" t="s">
        <v>111</v>
      </c>
    </row>
    <row r="4" spans="1:14" ht="29.15" x14ac:dyDescent="0.4">
      <c r="A4" s="89" t="s">
        <v>116</v>
      </c>
      <c r="B4" s="89" t="s">
        <v>117</v>
      </c>
      <c r="C4" s="90" t="s">
        <v>118</v>
      </c>
      <c r="D4" s="90" t="s">
        <v>107</v>
      </c>
      <c r="E4" s="90" t="s">
        <v>119</v>
      </c>
      <c r="F4" s="91" t="s">
        <v>120</v>
      </c>
      <c r="G4" s="92">
        <v>45180</v>
      </c>
      <c r="H4" t="s">
        <v>121</v>
      </c>
      <c r="I4" s="90" t="s">
        <v>110</v>
      </c>
      <c r="J4" s="90" t="s">
        <v>110</v>
      </c>
      <c r="K4" s="90" t="s">
        <v>110</v>
      </c>
      <c r="L4" s="92">
        <v>43381</v>
      </c>
      <c r="M4" s="92">
        <v>51033</v>
      </c>
      <c r="N4" s="90" t="s">
        <v>122</v>
      </c>
    </row>
    <row r="5" spans="1:14" ht="29.15" x14ac:dyDescent="0.4">
      <c r="A5" s="89" t="s">
        <v>123</v>
      </c>
      <c r="B5" s="89" t="s">
        <v>105</v>
      </c>
      <c r="C5" s="90" t="s">
        <v>124</v>
      </c>
      <c r="D5" s="90" t="s">
        <v>107</v>
      </c>
      <c r="E5" s="90" t="s">
        <v>125</v>
      </c>
      <c r="F5" s="91" t="s">
        <v>126</v>
      </c>
      <c r="G5" s="92">
        <v>45028</v>
      </c>
      <c r="H5" s="90" t="s">
        <v>110</v>
      </c>
      <c r="I5" s="90" t="s">
        <v>110</v>
      </c>
      <c r="J5" s="90" t="s">
        <v>110</v>
      </c>
      <c r="K5" s="90" t="s">
        <v>110</v>
      </c>
      <c r="L5" s="90" t="s">
        <v>110</v>
      </c>
      <c r="M5" s="92">
        <v>45394</v>
      </c>
      <c r="N5" s="90" t="s">
        <v>122</v>
      </c>
    </row>
    <row r="6" spans="1:14" ht="29.15" x14ac:dyDescent="0.4">
      <c r="A6" s="89" t="s">
        <v>127</v>
      </c>
      <c r="B6" s="89" t="s">
        <v>128</v>
      </c>
      <c r="C6" s="90" t="s">
        <v>106</v>
      </c>
      <c r="D6" s="90" t="s">
        <v>107</v>
      </c>
      <c r="E6" s="90" t="s">
        <v>119</v>
      </c>
      <c r="F6" s="91" t="s">
        <v>129</v>
      </c>
      <c r="G6" s="92">
        <v>45007</v>
      </c>
      <c r="H6" t="s">
        <v>130</v>
      </c>
      <c r="I6" s="90" t="s">
        <v>110</v>
      </c>
      <c r="J6" s="90" t="s">
        <v>110</v>
      </c>
      <c r="K6" s="90" t="s">
        <v>110</v>
      </c>
      <c r="L6" s="92">
        <v>44664</v>
      </c>
      <c r="M6" s="92">
        <v>52312</v>
      </c>
      <c r="N6" s="90" t="s">
        <v>122</v>
      </c>
    </row>
    <row r="7" spans="1:14" ht="29.15" x14ac:dyDescent="0.4">
      <c r="A7" s="89" t="s">
        <v>131</v>
      </c>
      <c r="B7" s="89" t="s">
        <v>128</v>
      </c>
      <c r="C7" s="90" t="s">
        <v>113</v>
      </c>
      <c r="D7" s="90" t="s">
        <v>114</v>
      </c>
      <c r="E7" s="90" t="s">
        <v>119</v>
      </c>
      <c r="F7" s="91" t="s">
        <v>132</v>
      </c>
      <c r="G7" s="92">
        <v>45007</v>
      </c>
      <c r="H7" t="s">
        <v>133</v>
      </c>
      <c r="I7" s="90" t="s">
        <v>110</v>
      </c>
      <c r="J7" s="90" t="s">
        <v>110</v>
      </c>
      <c r="K7" s="90" t="s">
        <v>110</v>
      </c>
      <c r="L7" s="92">
        <v>44664</v>
      </c>
      <c r="M7" s="90" t="s">
        <v>110</v>
      </c>
      <c r="N7" s="90" t="s">
        <v>122</v>
      </c>
    </row>
    <row r="8" spans="1:14" ht="29.15" x14ac:dyDescent="0.4">
      <c r="A8" s="89" t="s">
        <v>134</v>
      </c>
      <c r="B8" s="89" t="s">
        <v>117</v>
      </c>
      <c r="C8" s="90" t="s">
        <v>118</v>
      </c>
      <c r="D8" s="90" t="s">
        <v>107</v>
      </c>
      <c r="E8" s="90" t="s">
        <v>135</v>
      </c>
      <c r="F8" s="90" t="s">
        <v>136</v>
      </c>
      <c r="G8" s="92">
        <v>44845</v>
      </c>
      <c r="H8" t="s">
        <v>137</v>
      </c>
      <c r="I8" s="90" t="s">
        <v>110</v>
      </c>
      <c r="J8" s="92">
        <v>45510</v>
      </c>
      <c r="K8" t="s">
        <v>138</v>
      </c>
      <c r="L8" s="92">
        <v>43566</v>
      </c>
      <c r="M8" s="92">
        <v>51219</v>
      </c>
      <c r="N8" s="90" t="s">
        <v>122</v>
      </c>
    </row>
    <row r="9" spans="1:14" ht="29.15" x14ac:dyDescent="0.4">
      <c r="A9" s="89" t="s">
        <v>139</v>
      </c>
      <c r="B9" s="89" t="s">
        <v>128</v>
      </c>
      <c r="C9" s="90" t="s">
        <v>124</v>
      </c>
      <c r="D9" s="90" t="s">
        <v>107</v>
      </c>
      <c r="E9" s="90" t="s">
        <v>125</v>
      </c>
      <c r="F9" s="91" t="s">
        <v>140</v>
      </c>
      <c r="G9" s="92">
        <v>44664</v>
      </c>
      <c r="H9" s="90" t="s">
        <v>110</v>
      </c>
      <c r="I9" s="90" t="s">
        <v>110</v>
      </c>
      <c r="J9" s="90" t="s">
        <v>110</v>
      </c>
      <c r="K9" s="90" t="s">
        <v>110</v>
      </c>
      <c r="L9" s="90" t="s">
        <v>110</v>
      </c>
      <c r="M9" s="92">
        <v>45029</v>
      </c>
      <c r="N9" s="90" t="s">
        <v>122</v>
      </c>
    </row>
    <row r="10" spans="1:14" ht="29.15" x14ac:dyDescent="0.4">
      <c r="A10" s="89" t="s">
        <v>141</v>
      </c>
      <c r="B10" s="89" t="s">
        <v>117</v>
      </c>
      <c r="C10" s="90" t="s">
        <v>142</v>
      </c>
      <c r="D10" s="90" t="s">
        <v>107</v>
      </c>
      <c r="E10" s="90" t="s">
        <v>135</v>
      </c>
      <c r="F10" s="90" t="s">
        <v>143</v>
      </c>
      <c r="G10" s="92">
        <v>43914</v>
      </c>
      <c r="H10" t="s">
        <v>144</v>
      </c>
      <c r="I10" s="90" t="s">
        <v>110</v>
      </c>
      <c r="J10" s="92">
        <v>44880</v>
      </c>
      <c r="K10" t="s">
        <v>145</v>
      </c>
      <c r="L10" s="92">
        <v>43566</v>
      </c>
      <c r="M10" s="92">
        <v>51219</v>
      </c>
      <c r="N10" s="90" t="s">
        <v>122</v>
      </c>
    </row>
    <row r="11" spans="1:14" ht="29.15" x14ac:dyDescent="0.4">
      <c r="A11" s="89" t="s">
        <v>146</v>
      </c>
      <c r="B11" s="89" t="s">
        <v>117</v>
      </c>
      <c r="C11" s="90" t="s">
        <v>147</v>
      </c>
      <c r="D11" s="90" t="s">
        <v>148</v>
      </c>
      <c r="E11" s="90" t="s">
        <v>108</v>
      </c>
      <c r="F11" s="91" t="s">
        <v>149</v>
      </c>
      <c r="G11" s="92">
        <v>43909</v>
      </c>
      <c r="H11" s="90" t="s">
        <v>110</v>
      </c>
      <c r="I11" s="90" t="s">
        <v>110</v>
      </c>
      <c r="J11" s="90" t="s">
        <v>110</v>
      </c>
      <c r="K11" s="90" t="s">
        <v>110</v>
      </c>
      <c r="L11" s="92">
        <v>43566</v>
      </c>
      <c r="M11" s="92">
        <v>51214</v>
      </c>
      <c r="N11" s="90" t="s">
        <v>122</v>
      </c>
    </row>
    <row r="12" spans="1:14" ht="29.15" x14ac:dyDescent="0.4">
      <c r="A12" s="89" t="s">
        <v>150</v>
      </c>
      <c r="B12" s="89" t="s">
        <v>117</v>
      </c>
      <c r="C12" s="90" t="s">
        <v>147</v>
      </c>
      <c r="D12" s="90" t="s">
        <v>151</v>
      </c>
      <c r="E12" s="90" t="s">
        <v>119</v>
      </c>
      <c r="F12" s="91" t="s">
        <v>152</v>
      </c>
      <c r="G12" s="92">
        <v>43909</v>
      </c>
      <c r="H12" t="s">
        <v>153</v>
      </c>
      <c r="I12" s="90" t="s">
        <v>110</v>
      </c>
      <c r="J12" s="90" t="s">
        <v>110</v>
      </c>
      <c r="K12" s="90" t="s">
        <v>110</v>
      </c>
      <c r="L12" s="92">
        <v>43566</v>
      </c>
      <c r="M12" s="92">
        <v>51214</v>
      </c>
      <c r="N12" s="90" t="s">
        <v>122</v>
      </c>
    </row>
    <row r="13" spans="1:14" ht="29.15" x14ac:dyDescent="0.4">
      <c r="A13" s="89" t="s">
        <v>154</v>
      </c>
      <c r="B13" s="89" t="s">
        <v>117</v>
      </c>
      <c r="C13" s="90" t="s">
        <v>147</v>
      </c>
      <c r="D13" s="90" t="s">
        <v>155</v>
      </c>
      <c r="E13" s="90" t="s">
        <v>108</v>
      </c>
      <c r="F13" s="91" t="s">
        <v>156</v>
      </c>
      <c r="G13" s="92">
        <v>43909</v>
      </c>
      <c r="H13" s="90" t="s">
        <v>110</v>
      </c>
      <c r="I13" s="90" t="s">
        <v>110</v>
      </c>
      <c r="J13" s="90" t="s">
        <v>110</v>
      </c>
      <c r="K13" s="90" t="s">
        <v>110</v>
      </c>
      <c r="L13" s="92">
        <v>43566</v>
      </c>
      <c r="M13" s="92">
        <v>51214</v>
      </c>
      <c r="N13" s="90" t="s">
        <v>122</v>
      </c>
    </row>
    <row r="14" spans="1:14" ht="29.15" x14ac:dyDescent="0.4">
      <c r="A14" s="89" t="s">
        <v>157</v>
      </c>
      <c r="B14" s="89" t="s">
        <v>117</v>
      </c>
      <c r="C14" s="90" t="s">
        <v>147</v>
      </c>
      <c r="D14" s="90" t="s">
        <v>158</v>
      </c>
      <c r="E14" s="90" t="s">
        <v>108</v>
      </c>
      <c r="F14" s="91" t="s">
        <v>159</v>
      </c>
      <c r="G14" s="92">
        <v>43909</v>
      </c>
      <c r="H14" s="90" t="s">
        <v>110</v>
      </c>
      <c r="I14" s="90" t="s">
        <v>110</v>
      </c>
      <c r="J14" s="90" t="s">
        <v>110</v>
      </c>
      <c r="K14" s="90" t="s">
        <v>110</v>
      </c>
      <c r="L14" s="92">
        <v>43566</v>
      </c>
      <c r="M14" s="92">
        <v>51214</v>
      </c>
      <c r="N14" s="90" t="s">
        <v>122</v>
      </c>
    </row>
    <row r="15" spans="1:14" ht="29.15" x14ac:dyDescent="0.4">
      <c r="A15" s="89" t="s">
        <v>160</v>
      </c>
      <c r="B15" s="89" t="s">
        <v>117</v>
      </c>
      <c r="C15" s="90" t="s">
        <v>147</v>
      </c>
      <c r="D15" s="90" t="s">
        <v>161</v>
      </c>
      <c r="E15" s="90" t="s">
        <v>108</v>
      </c>
      <c r="F15" s="91" t="s">
        <v>162</v>
      </c>
      <c r="G15" s="92">
        <v>43909</v>
      </c>
      <c r="H15" s="90" t="s">
        <v>110</v>
      </c>
      <c r="I15" s="90" t="s">
        <v>110</v>
      </c>
      <c r="J15" s="90" t="s">
        <v>110</v>
      </c>
      <c r="K15" s="90" t="s">
        <v>110</v>
      </c>
      <c r="L15" s="92">
        <v>43566</v>
      </c>
      <c r="M15" s="92">
        <v>51214</v>
      </c>
      <c r="N15" s="90" t="s">
        <v>122</v>
      </c>
    </row>
    <row r="16" spans="1:14" ht="29.15" x14ac:dyDescent="0.4">
      <c r="A16" s="89" t="s">
        <v>163</v>
      </c>
      <c r="B16" s="89" t="s">
        <v>117</v>
      </c>
      <c r="C16" s="90" t="s">
        <v>164</v>
      </c>
      <c r="D16" s="90" t="s">
        <v>165</v>
      </c>
      <c r="E16" s="90" t="s">
        <v>119</v>
      </c>
      <c r="F16" s="91">
        <v>62022058347.5</v>
      </c>
      <c r="G16" s="92">
        <v>43909</v>
      </c>
      <c r="H16" t="s">
        <v>166</v>
      </c>
      <c r="I16" s="90" t="s">
        <v>110</v>
      </c>
      <c r="J16" s="90" t="s">
        <v>110</v>
      </c>
      <c r="K16" s="90" t="s">
        <v>110</v>
      </c>
      <c r="L16" s="92">
        <v>43566</v>
      </c>
      <c r="M16" s="92">
        <v>51214</v>
      </c>
      <c r="N16" s="90" t="s">
        <v>122</v>
      </c>
    </row>
    <row r="17" spans="1:14" ht="29.15" x14ac:dyDescent="0.4">
      <c r="A17" s="89" t="s">
        <v>167</v>
      </c>
      <c r="B17" s="89" t="s">
        <v>117</v>
      </c>
      <c r="C17" s="90" t="s">
        <v>168</v>
      </c>
      <c r="D17" s="90" t="s">
        <v>151</v>
      </c>
      <c r="E17" s="90" t="s">
        <v>135</v>
      </c>
      <c r="F17" s="90" t="s">
        <v>169</v>
      </c>
      <c r="G17" s="92">
        <v>43909</v>
      </c>
      <c r="H17" t="s">
        <v>170</v>
      </c>
      <c r="I17" s="90" t="s">
        <v>110</v>
      </c>
      <c r="J17" s="92">
        <v>45237</v>
      </c>
      <c r="K17" t="s">
        <v>171</v>
      </c>
      <c r="L17" s="92">
        <v>43566</v>
      </c>
      <c r="M17" s="92">
        <v>51214</v>
      </c>
      <c r="N17" s="90" t="s">
        <v>122</v>
      </c>
    </row>
    <row r="18" spans="1:14" ht="29.15" x14ac:dyDescent="0.4">
      <c r="A18" s="89" t="s">
        <v>172</v>
      </c>
      <c r="B18" s="89" t="s">
        <v>117</v>
      </c>
      <c r="C18" s="90" t="s">
        <v>168</v>
      </c>
      <c r="D18" s="90" t="s">
        <v>158</v>
      </c>
      <c r="E18" s="90" t="s">
        <v>135</v>
      </c>
      <c r="F18" s="90" t="s">
        <v>173</v>
      </c>
      <c r="G18" s="92">
        <v>43909</v>
      </c>
      <c r="H18" t="s">
        <v>174</v>
      </c>
      <c r="I18" s="90" t="s">
        <v>110</v>
      </c>
      <c r="J18" s="92">
        <v>45167</v>
      </c>
      <c r="K18" t="s">
        <v>175</v>
      </c>
      <c r="L18" s="92">
        <v>43566</v>
      </c>
      <c r="M18" s="92">
        <v>51214</v>
      </c>
      <c r="N18" s="90" t="s">
        <v>122</v>
      </c>
    </row>
    <row r="19" spans="1:14" ht="29.15" x14ac:dyDescent="0.4">
      <c r="A19" s="89" t="s">
        <v>176</v>
      </c>
      <c r="B19" s="89" t="s">
        <v>117</v>
      </c>
      <c r="C19" s="90" t="s">
        <v>168</v>
      </c>
      <c r="D19" s="90" t="s">
        <v>148</v>
      </c>
      <c r="E19" s="90" t="s">
        <v>135</v>
      </c>
      <c r="F19" s="90" t="s">
        <v>177</v>
      </c>
      <c r="G19" s="92">
        <v>43909</v>
      </c>
      <c r="H19" s="90" t="s">
        <v>110</v>
      </c>
      <c r="I19" s="90" t="s">
        <v>110</v>
      </c>
      <c r="J19" s="92">
        <v>45253</v>
      </c>
      <c r="K19" t="s">
        <v>178</v>
      </c>
      <c r="L19" s="92">
        <v>43566</v>
      </c>
      <c r="M19" s="92">
        <v>51214</v>
      </c>
      <c r="N19" s="90" t="s">
        <v>122</v>
      </c>
    </row>
    <row r="20" spans="1:14" ht="29.15" x14ac:dyDescent="0.4">
      <c r="A20" s="89" t="s">
        <v>179</v>
      </c>
      <c r="B20" s="89" t="s">
        <v>117</v>
      </c>
      <c r="C20" s="90" t="s">
        <v>168</v>
      </c>
      <c r="D20" s="90" t="s">
        <v>161</v>
      </c>
      <c r="E20" s="90" t="s">
        <v>135</v>
      </c>
      <c r="F20" s="90" t="s">
        <v>180</v>
      </c>
      <c r="G20" s="92">
        <v>43909</v>
      </c>
      <c r="H20" t="s">
        <v>181</v>
      </c>
      <c r="I20" s="90" t="s">
        <v>110</v>
      </c>
      <c r="J20" s="92">
        <v>45033</v>
      </c>
      <c r="K20" t="s">
        <v>182</v>
      </c>
      <c r="L20" s="92">
        <v>43566</v>
      </c>
      <c r="M20" s="92">
        <v>51214</v>
      </c>
      <c r="N20" s="90" t="s">
        <v>122</v>
      </c>
    </row>
    <row r="21" spans="1:14" ht="29.15" x14ac:dyDescent="0.4">
      <c r="A21" s="89" t="s">
        <v>183</v>
      </c>
      <c r="B21" s="89" t="s">
        <v>117</v>
      </c>
      <c r="C21" s="90" t="s">
        <v>168</v>
      </c>
      <c r="D21" s="90" t="s">
        <v>155</v>
      </c>
      <c r="E21" s="90" t="s">
        <v>135</v>
      </c>
      <c r="F21" s="90" t="s">
        <v>184</v>
      </c>
      <c r="G21" s="92">
        <v>43909</v>
      </c>
      <c r="H21" s="90" t="s">
        <v>110</v>
      </c>
      <c r="I21" s="90" t="s">
        <v>110</v>
      </c>
      <c r="J21" s="92">
        <v>45265</v>
      </c>
      <c r="K21" t="s">
        <v>185</v>
      </c>
      <c r="L21" s="92">
        <v>43566</v>
      </c>
      <c r="M21" s="92">
        <v>51214</v>
      </c>
      <c r="N21" s="90" t="s">
        <v>122</v>
      </c>
    </row>
    <row r="22" spans="1:14" ht="29.15" x14ac:dyDescent="0.4">
      <c r="A22" s="89" t="s">
        <v>186</v>
      </c>
      <c r="B22" s="89" t="s">
        <v>117</v>
      </c>
      <c r="C22" s="90" t="s">
        <v>168</v>
      </c>
      <c r="D22" s="90" t="s">
        <v>187</v>
      </c>
      <c r="E22" s="90" t="s">
        <v>119</v>
      </c>
      <c r="F22" s="91">
        <v>20788309.100000001</v>
      </c>
      <c r="G22" s="92">
        <v>43909</v>
      </c>
      <c r="H22" t="s">
        <v>188</v>
      </c>
      <c r="I22" s="90" t="s">
        <v>110</v>
      </c>
      <c r="J22" s="90" t="s">
        <v>110</v>
      </c>
      <c r="K22" s="90" t="s">
        <v>110</v>
      </c>
      <c r="L22" s="92">
        <v>43566</v>
      </c>
      <c r="M22" s="92">
        <v>51214</v>
      </c>
      <c r="N22" s="90" t="s">
        <v>122</v>
      </c>
    </row>
    <row r="23" spans="1:14" ht="29.15" x14ac:dyDescent="0.4">
      <c r="A23" s="89" t="s">
        <v>189</v>
      </c>
      <c r="B23" s="89" t="s">
        <v>117</v>
      </c>
      <c r="C23" s="90" t="s">
        <v>113</v>
      </c>
      <c r="D23" s="90" t="s">
        <v>114</v>
      </c>
      <c r="E23" s="90" t="s">
        <v>190</v>
      </c>
      <c r="F23" s="91" t="s">
        <v>191</v>
      </c>
      <c r="G23" s="92">
        <v>43909</v>
      </c>
      <c r="H23" t="s">
        <v>192</v>
      </c>
      <c r="I23" s="90" t="s">
        <v>110</v>
      </c>
      <c r="J23" s="90" t="s">
        <v>110</v>
      </c>
      <c r="K23" s="90" t="s">
        <v>110</v>
      </c>
      <c r="L23" s="92">
        <v>43566</v>
      </c>
      <c r="M23" s="90" t="s">
        <v>110</v>
      </c>
      <c r="N23" s="90" t="s">
        <v>122</v>
      </c>
    </row>
    <row r="24" spans="1:14" ht="29.15" x14ac:dyDescent="0.4">
      <c r="A24" s="89" t="s">
        <v>193</v>
      </c>
      <c r="B24" s="89" t="s">
        <v>117</v>
      </c>
      <c r="C24" s="90" t="s">
        <v>142</v>
      </c>
      <c r="D24" s="90" t="s">
        <v>107</v>
      </c>
      <c r="E24" s="90" t="s">
        <v>135</v>
      </c>
      <c r="F24" s="90" t="s">
        <v>194</v>
      </c>
      <c r="G24" s="92">
        <v>43728</v>
      </c>
      <c r="H24" t="s">
        <v>195</v>
      </c>
      <c r="I24" s="90" t="s">
        <v>110</v>
      </c>
      <c r="J24" s="92">
        <v>45181</v>
      </c>
      <c r="K24" t="s">
        <v>196</v>
      </c>
      <c r="L24" s="92">
        <v>43381</v>
      </c>
      <c r="M24" s="92">
        <v>51033</v>
      </c>
      <c r="N24" s="90" t="s">
        <v>122</v>
      </c>
    </row>
    <row r="25" spans="1:14" ht="29.15" x14ac:dyDescent="0.4">
      <c r="A25" s="89" t="s">
        <v>197</v>
      </c>
      <c r="B25" s="89" t="s">
        <v>198</v>
      </c>
      <c r="C25" s="90" t="s">
        <v>124</v>
      </c>
      <c r="D25" s="90" t="s">
        <v>107</v>
      </c>
      <c r="E25" s="90" t="s">
        <v>125</v>
      </c>
      <c r="F25" s="91" t="s">
        <v>199</v>
      </c>
      <c r="G25" s="92">
        <v>43718</v>
      </c>
      <c r="H25" s="90" t="s">
        <v>110</v>
      </c>
      <c r="I25" s="90" t="s">
        <v>110</v>
      </c>
      <c r="J25" s="90" t="s">
        <v>110</v>
      </c>
      <c r="K25" s="90" t="s">
        <v>110</v>
      </c>
      <c r="L25" s="90" t="s">
        <v>110</v>
      </c>
      <c r="M25" s="92">
        <v>44084</v>
      </c>
      <c r="N25" s="90" t="s">
        <v>122</v>
      </c>
    </row>
    <row r="26" spans="1:14" ht="29.15" x14ac:dyDescent="0.4">
      <c r="A26" s="89" t="s">
        <v>200</v>
      </c>
      <c r="B26" s="89" t="s">
        <v>201</v>
      </c>
      <c r="C26" s="90" t="s">
        <v>124</v>
      </c>
      <c r="D26" s="90" t="s">
        <v>107</v>
      </c>
      <c r="E26" s="90" t="s">
        <v>125</v>
      </c>
      <c r="F26" s="91" t="s">
        <v>202</v>
      </c>
      <c r="G26" s="92">
        <v>43566</v>
      </c>
      <c r="H26" s="90" t="s">
        <v>110</v>
      </c>
      <c r="I26" s="90" t="s">
        <v>110</v>
      </c>
      <c r="J26" s="90" t="s">
        <v>110</v>
      </c>
      <c r="K26" s="90" t="s">
        <v>110</v>
      </c>
      <c r="L26" s="90" t="s">
        <v>110</v>
      </c>
      <c r="M26" s="92">
        <v>43932</v>
      </c>
      <c r="N26" s="90" t="s">
        <v>203</v>
      </c>
    </row>
    <row r="27" spans="1:14" ht="29.15" x14ac:dyDescent="0.4">
      <c r="A27" s="89" t="s">
        <v>204</v>
      </c>
      <c r="B27" s="89" t="s">
        <v>205</v>
      </c>
      <c r="C27" s="90" t="s">
        <v>124</v>
      </c>
      <c r="D27" s="90" t="s">
        <v>107</v>
      </c>
      <c r="E27" s="90" t="s">
        <v>125</v>
      </c>
      <c r="F27" s="91" t="s">
        <v>206</v>
      </c>
      <c r="G27" s="92">
        <v>43381</v>
      </c>
      <c r="H27" s="90" t="s">
        <v>110</v>
      </c>
      <c r="I27" s="90" t="s">
        <v>110</v>
      </c>
      <c r="J27" s="90" t="s">
        <v>110</v>
      </c>
      <c r="K27" s="90" t="s">
        <v>110</v>
      </c>
      <c r="L27" s="90" t="s">
        <v>110</v>
      </c>
      <c r="M27" s="92">
        <v>43746</v>
      </c>
      <c r="N27" s="90" t="s">
        <v>111</v>
      </c>
    </row>
    <row r="28" spans="1:14" x14ac:dyDescent="0.4">
      <c r="A28" s="90" t="s">
        <v>207</v>
      </c>
      <c r="B28" s="89"/>
      <c r="C28" s="89"/>
      <c r="D28" s="89"/>
      <c r="E28" s="89"/>
      <c r="F28" s="93"/>
      <c r="G28" s="89"/>
      <c r="H28" s="89"/>
      <c r="I28" s="89"/>
      <c r="J28" s="89"/>
      <c r="K28" s="89"/>
      <c r="L28" s="89"/>
      <c r="M28" s="89"/>
      <c r="N28" s="89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A0989A-2669-4057-9152-61D9E2012B88}">
  <dimension ref="A1:C38"/>
  <sheetViews>
    <sheetView zoomScale="70" zoomScaleNormal="70" workbookViewId="0">
      <selection activeCell="C6" sqref="C6"/>
    </sheetView>
  </sheetViews>
  <sheetFormatPr defaultRowHeight="14.6" x14ac:dyDescent="0.4"/>
  <cols>
    <col min="1" max="1" width="20" customWidth="1"/>
    <col min="2" max="2" width="15.84375" customWidth="1"/>
    <col min="3" max="3" width="14.4609375" customWidth="1"/>
  </cols>
  <sheetData>
    <row r="1" spans="1:3" x14ac:dyDescent="0.4">
      <c r="A1" s="95" t="s">
        <v>208</v>
      </c>
      <c r="B1" s="95" t="s">
        <v>209</v>
      </c>
      <c r="C1" s="95" t="s">
        <v>210</v>
      </c>
    </row>
    <row r="2" spans="1:3" x14ac:dyDescent="0.4">
      <c r="A2" t="s">
        <v>257</v>
      </c>
      <c r="B2" t="s">
        <v>258</v>
      </c>
      <c r="C2" t="s">
        <v>213</v>
      </c>
    </row>
    <row r="3" spans="1:3" x14ac:dyDescent="0.4">
      <c r="A3" t="s">
        <v>268</v>
      </c>
      <c r="B3" t="s">
        <v>269</v>
      </c>
      <c r="C3" t="s">
        <v>213</v>
      </c>
    </row>
    <row r="4" spans="1:3" x14ac:dyDescent="0.4">
      <c r="A4" t="s">
        <v>218</v>
      </c>
      <c r="B4" t="s">
        <v>219</v>
      </c>
      <c r="C4" t="s">
        <v>213</v>
      </c>
    </row>
    <row r="5" spans="1:3" x14ac:dyDescent="0.4">
      <c r="A5" t="s">
        <v>278</v>
      </c>
      <c r="B5" t="s">
        <v>279</v>
      </c>
      <c r="C5" t="s">
        <v>213</v>
      </c>
    </row>
    <row r="6" spans="1:3" x14ac:dyDescent="0.4">
      <c r="A6" t="s">
        <v>237</v>
      </c>
      <c r="B6" t="s">
        <v>238</v>
      </c>
      <c r="C6" t="s">
        <v>213</v>
      </c>
    </row>
    <row r="7" spans="1:3" x14ac:dyDescent="0.4">
      <c r="A7" t="s">
        <v>255</v>
      </c>
      <c r="B7" t="s">
        <v>256</v>
      </c>
      <c r="C7" t="s">
        <v>213</v>
      </c>
    </row>
    <row r="8" spans="1:3" x14ac:dyDescent="0.4">
      <c r="A8" t="s">
        <v>251</v>
      </c>
      <c r="B8" t="s">
        <v>252</v>
      </c>
      <c r="C8" t="s">
        <v>213</v>
      </c>
    </row>
    <row r="9" spans="1:3" x14ac:dyDescent="0.4">
      <c r="A9" t="s">
        <v>247</v>
      </c>
      <c r="B9" t="s">
        <v>248</v>
      </c>
      <c r="C9" t="s">
        <v>213</v>
      </c>
    </row>
    <row r="10" spans="1:3" x14ac:dyDescent="0.4">
      <c r="A10" t="s">
        <v>220</v>
      </c>
      <c r="B10" t="s">
        <v>221</v>
      </c>
      <c r="C10" t="s">
        <v>213</v>
      </c>
    </row>
    <row r="11" spans="1:3" ht="13.5" customHeight="1" x14ac:dyDescent="0.4">
      <c r="A11" t="s">
        <v>266</v>
      </c>
      <c r="B11" t="s">
        <v>267</v>
      </c>
      <c r="C11" t="s">
        <v>213</v>
      </c>
    </row>
    <row r="12" spans="1:3" x14ac:dyDescent="0.4">
      <c r="A12" t="s">
        <v>243</v>
      </c>
      <c r="B12" t="s">
        <v>244</v>
      </c>
      <c r="C12" t="s">
        <v>213</v>
      </c>
    </row>
    <row r="13" spans="1:3" x14ac:dyDescent="0.4">
      <c r="A13" t="s">
        <v>241</v>
      </c>
      <c r="B13" t="s">
        <v>242</v>
      </c>
      <c r="C13" t="s">
        <v>213</v>
      </c>
    </row>
    <row r="14" spans="1:3" ht="13.5" customHeight="1" x14ac:dyDescent="0.4">
      <c r="A14" t="s">
        <v>270</v>
      </c>
      <c r="B14" t="s">
        <v>231</v>
      </c>
      <c r="C14" t="s">
        <v>213</v>
      </c>
    </row>
    <row r="15" spans="1:3" x14ac:dyDescent="0.4">
      <c r="A15" t="s">
        <v>276</v>
      </c>
      <c r="B15" t="s">
        <v>231</v>
      </c>
      <c r="C15" t="s">
        <v>213</v>
      </c>
    </row>
    <row r="16" spans="1:3" x14ac:dyDescent="0.4">
      <c r="A16" t="s">
        <v>277</v>
      </c>
      <c r="B16" t="s">
        <v>231</v>
      </c>
      <c r="C16" t="s">
        <v>213</v>
      </c>
    </row>
    <row r="17" spans="1:3" x14ac:dyDescent="0.4">
      <c r="A17" t="s">
        <v>271</v>
      </c>
      <c r="B17" t="s">
        <v>231</v>
      </c>
      <c r="C17" t="s">
        <v>213</v>
      </c>
    </row>
    <row r="18" spans="1:3" x14ac:dyDescent="0.4">
      <c r="A18" t="s">
        <v>230</v>
      </c>
      <c r="B18" t="s">
        <v>231</v>
      </c>
      <c r="C18" t="s">
        <v>213</v>
      </c>
    </row>
    <row r="19" spans="1:3" x14ac:dyDescent="0.4">
      <c r="A19" t="s">
        <v>234</v>
      </c>
      <c r="B19" t="s">
        <v>231</v>
      </c>
      <c r="C19" t="s">
        <v>213</v>
      </c>
    </row>
    <row r="20" spans="1:3" x14ac:dyDescent="0.4">
      <c r="A20" t="s">
        <v>226</v>
      </c>
      <c r="B20" t="s">
        <v>227</v>
      </c>
      <c r="C20" t="s">
        <v>213</v>
      </c>
    </row>
    <row r="21" spans="1:3" x14ac:dyDescent="0.4">
      <c r="A21" t="s">
        <v>239</v>
      </c>
      <c r="B21" t="s">
        <v>240</v>
      </c>
      <c r="C21" t="s">
        <v>213</v>
      </c>
    </row>
    <row r="22" spans="1:3" x14ac:dyDescent="0.4">
      <c r="A22" t="s">
        <v>249</v>
      </c>
      <c r="B22" t="s">
        <v>261</v>
      </c>
      <c r="C22" t="s">
        <v>213</v>
      </c>
    </row>
    <row r="23" spans="1:3" x14ac:dyDescent="0.4">
      <c r="A23" t="s">
        <v>264</v>
      </c>
      <c r="B23" t="s">
        <v>265</v>
      </c>
      <c r="C23" t="s">
        <v>213</v>
      </c>
    </row>
    <row r="24" spans="1:3" ht="15" customHeight="1" x14ac:dyDescent="0.4">
      <c r="A24" t="s">
        <v>245</v>
      </c>
      <c r="B24" t="s">
        <v>246</v>
      </c>
      <c r="C24" t="s">
        <v>213</v>
      </c>
    </row>
    <row r="25" spans="1:3" x14ac:dyDescent="0.4">
      <c r="A25" t="s">
        <v>214</v>
      </c>
      <c r="B25" t="s">
        <v>215</v>
      </c>
      <c r="C25" t="s">
        <v>213</v>
      </c>
    </row>
    <row r="26" spans="1:3" x14ac:dyDescent="0.4">
      <c r="A26" t="s">
        <v>232</v>
      </c>
      <c r="B26" t="s">
        <v>233</v>
      </c>
      <c r="C26" t="s">
        <v>213</v>
      </c>
    </row>
    <row r="27" spans="1:3" x14ac:dyDescent="0.4">
      <c r="A27" t="s">
        <v>222</v>
      </c>
      <c r="B27" t="s">
        <v>223</v>
      </c>
      <c r="C27" t="s">
        <v>213</v>
      </c>
    </row>
    <row r="28" spans="1:3" x14ac:dyDescent="0.4">
      <c r="A28" t="s">
        <v>211</v>
      </c>
      <c r="B28" t="s">
        <v>212</v>
      </c>
      <c r="C28" t="s">
        <v>213</v>
      </c>
    </row>
    <row r="29" spans="1:3" x14ac:dyDescent="0.4">
      <c r="A29" t="s">
        <v>272</v>
      </c>
      <c r="B29" t="s">
        <v>273</v>
      </c>
      <c r="C29" t="s">
        <v>213</v>
      </c>
    </row>
    <row r="30" spans="1:3" x14ac:dyDescent="0.4">
      <c r="A30" t="s">
        <v>249</v>
      </c>
      <c r="B30" t="s">
        <v>250</v>
      </c>
      <c r="C30" t="s">
        <v>213</v>
      </c>
    </row>
    <row r="31" spans="1:3" x14ac:dyDescent="0.4">
      <c r="A31" t="s">
        <v>274</v>
      </c>
      <c r="B31" t="s">
        <v>275</v>
      </c>
      <c r="C31" t="s">
        <v>213</v>
      </c>
    </row>
    <row r="32" spans="1:3" x14ac:dyDescent="0.4">
      <c r="A32" t="s">
        <v>235</v>
      </c>
      <c r="B32" t="s">
        <v>236</v>
      </c>
      <c r="C32" t="s">
        <v>213</v>
      </c>
    </row>
    <row r="33" spans="1:3" x14ac:dyDescent="0.4">
      <c r="A33" t="s">
        <v>262</v>
      </c>
      <c r="B33" t="s">
        <v>263</v>
      </c>
      <c r="C33" t="s">
        <v>213</v>
      </c>
    </row>
    <row r="34" spans="1:3" x14ac:dyDescent="0.4">
      <c r="A34" t="s">
        <v>259</v>
      </c>
      <c r="B34" t="s">
        <v>260</v>
      </c>
      <c r="C34" t="s">
        <v>213</v>
      </c>
    </row>
    <row r="35" spans="1:3" x14ac:dyDescent="0.4">
      <c r="A35" t="s">
        <v>216</v>
      </c>
      <c r="B35" t="s">
        <v>217</v>
      </c>
      <c r="C35" t="s">
        <v>213</v>
      </c>
    </row>
    <row r="36" spans="1:3" x14ac:dyDescent="0.4">
      <c r="A36" t="s">
        <v>253</v>
      </c>
      <c r="B36" t="s">
        <v>254</v>
      </c>
      <c r="C36" t="s">
        <v>213</v>
      </c>
    </row>
    <row r="37" spans="1:3" x14ac:dyDescent="0.4">
      <c r="A37" t="s">
        <v>228</v>
      </c>
      <c r="B37" t="s">
        <v>229</v>
      </c>
      <c r="C37" t="s">
        <v>213</v>
      </c>
    </row>
    <row r="38" spans="1:3" x14ac:dyDescent="0.4">
      <c r="A38" t="s">
        <v>224</v>
      </c>
      <c r="B38" t="s">
        <v>225</v>
      </c>
      <c r="C38" t="s">
        <v>213</v>
      </c>
    </row>
  </sheetData>
  <sortState xmlns:xlrd2="http://schemas.microsoft.com/office/spreadsheetml/2017/richdata2" ref="A2:C38">
    <sortCondition ref="B2:B38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Sheet1</vt:lpstr>
      <vt:lpstr>Core Spreadsheet</vt:lpstr>
      <vt:lpstr>TCRA Stages</vt:lpstr>
      <vt:lpstr>TCH Cap Table</vt:lpstr>
      <vt:lpstr>TCRA Patent Portfolio</vt:lpstr>
      <vt:lpstr>John's Colleagues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John Gorman</dc:creator>
  <cp:keywords/>
  <dc:description/>
  <cp:lastModifiedBy>John Gorman</cp:lastModifiedBy>
  <cp:revision/>
  <dcterms:created xsi:type="dcterms:W3CDTF">2022-12-26T20:09:26Z</dcterms:created>
  <dcterms:modified xsi:type="dcterms:W3CDTF">2025-09-15T22:12:20Z</dcterms:modified>
  <cp:category/>
  <cp:contentStatus/>
</cp:coreProperties>
</file>