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arah\OneDrive\Documents\Fort Collins Stake Public Affairs\"/>
    </mc:Choice>
  </mc:AlternateContent>
  <xr:revisionPtr revIDLastSave="0" documentId="8_{F4A4812D-CCDD-490B-A922-E391BD1EA9F8}" xr6:coauthVersionLast="47" xr6:coauthVersionMax="47" xr10:uidLastSave="{00000000-0000-0000-0000-000000000000}"/>
  <bookViews>
    <workbookView xWindow="-110" yWindow="-110" windowWidth="19420" windowHeight="10300" xr2:uid="{17281D3C-B15E-4EB0-A08F-4F38E7266FE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5" i="1" l="1"/>
  <c r="G114" i="1"/>
  <c r="G115" i="1" s="1"/>
  <c r="G119" i="1" s="1"/>
  <c r="F114" i="1"/>
  <c r="D114" i="1"/>
  <c r="F113" i="1"/>
  <c r="D113" i="1"/>
  <c r="F112" i="1"/>
  <c r="D112" i="1"/>
  <c r="G109" i="1"/>
  <c r="F109" i="1"/>
  <c r="B109" i="1"/>
  <c r="D109" i="1" s="1"/>
  <c r="G108" i="1"/>
  <c r="F108" i="1"/>
  <c r="D108" i="1"/>
  <c r="F107" i="1"/>
  <c r="D107" i="1"/>
  <c r="G106" i="1"/>
  <c r="F106" i="1"/>
  <c r="D106" i="1"/>
  <c r="F105" i="1"/>
  <c r="D105" i="1"/>
  <c r="G104" i="1"/>
  <c r="F104" i="1"/>
  <c r="D104" i="1"/>
  <c r="G103" i="1"/>
  <c r="F103" i="1"/>
  <c r="D103" i="1"/>
  <c r="G102" i="1"/>
  <c r="F102" i="1"/>
  <c r="D102" i="1"/>
  <c r="G101" i="1"/>
  <c r="F101" i="1"/>
  <c r="D101" i="1"/>
  <c r="G100" i="1"/>
  <c r="F100" i="1"/>
  <c r="D100" i="1"/>
  <c r="G99" i="1"/>
  <c r="F99" i="1"/>
  <c r="D99" i="1"/>
  <c r="G98" i="1"/>
  <c r="F98" i="1"/>
  <c r="D98" i="1"/>
  <c r="G97" i="1"/>
  <c r="F97" i="1"/>
  <c r="D97" i="1"/>
  <c r="G96" i="1"/>
  <c r="F96" i="1"/>
  <c r="D96" i="1"/>
  <c r="F95" i="1"/>
  <c r="D95" i="1"/>
  <c r="G94" i="1"/>
  <c r="F94" i="1"/>
  <c r="D94" i="1"/>
  <c r="F93" i="1"/>
  <c r="D93" i="1"/>
  <c r="F91" i="1"/>
  <c r="D91" i="1"/>
  <c r="B91" i="1"/>
  <c r="F90" i="1"/>
  <c r="D90" i="1"/>
  <c r="F89" i="1"/>
  <c r="D89" i="1"/>
  <c r="F88" i="1"/>
  <c r="D88" i="1"/>
  <c r="D87" i="1"/>
  <c r="F86" i="1"/>
  <c r="D86" i="1"/>
  <c r="F85" i="1"/>
  <c r="D85" i="1"/>
  <c r="F84" i="1"/>
  <c r="D84" i="1"/>
  <c r="F83" i="1"/>
  <c r="D83" i="1"/>
  <c r="F82" i="1"/>
  <c r="D82" i="1"/>
  <c r="F81" i="1"/>
  <c r="D81" i="1"/>
  <c r="F80" i="1"/>
  <c r="D80" i="1"/>
  <c r="F79" i="1"/>
  <c r="D79" i="1"/>
  <c r="F78" i="1"/>
  <c r="D78" i="1"/>
  <c r="F77" i="1"/>
  <c r="D77" i="1"/>
  <c r="F76" i="1"/>
  <c r="D76" i="1"/>
  <c r="F75" i="1"/>
  <c r="D75" i="1"/>
  <c r="F74" i="1"/>
  <c r="D74" i="1"/>
  <c r="G70" i="1"/>
  <c r="F70" i="1"/>
  <c r="D70" i="1"/>
  <c r="G69" i="1"/>
  <c r="F69" i="1"/>
  <c r="D69" i="1"/>
  <c r="G68" i="1"/>
  <c r="F68" i="1"/>
  <c r="D68" i="1"/>
  <c r="G67" i="1"/>
  <c r="F67" i="1"/>
  <c r="D67" i="1"/>
  <c r="G66" i="1"/>
  <c r="G71" i="1" s="1"/>
  <c r="F66" i="1"/>
  <c r="F71" i="1" s="1"/>
  <c r="D66" i="1"/>
  <c r="B63" i="1"/>
  <c r="G62" i="1"/>
  <c r="F62" i="1"/>
  <c r="D62" i="1"/>
  <c r="F61" i="1"/>
  <c r="D61" i="1"/>
  <c r="G60" i="1"/>
  <c r="F60" i="1"/>
  <c r="D60" i="1"/>
  <c r="G59" i="1"/>
  <c r="F59" i="1"/>
  <c r="D59" i="1"/>
  <c r="F58" i="1"/>
  <c r="D58" i="1"/>
  <c r="G57" i="1"/>
  <c r="F57" i="1"/>
  <c r="D57" i="1"/>
  <c r="U56" i="1"/>
  <c r="G56" i="1"/>
  <c r="F56" i="1"/>
  <c r="D56" i="1"/>
  <c r="G55" i="1"/>
  <c r="G63" i="1" s="1"/>
  <c r="F55" i="1"/>
  <c r="F63" i="1" s="1"/>
  <c r="D55" i="1"/>
  <c r="F51" i="1"/>
  <c r="F52" i="1" s="1"/>
  <c r="D51" i="1"/>
  <c r="G47" i="1"/>
  <c r="F47" i="1"/>
  <c r="D47" i="1"/>
  <c r="G46" i="1"/>
  <c r="F46" i="1"/>
  <c r="D46" i="1"/>
  <c r="G45" i="1"/>
  <c r="G48" i="1" s="1"/>
  <c r="F45" i="1"/>
  <c r="F48" i="1" s="1"/>
  <c r="D45" i="1"/>
  <c r="D44" i="1"/>
  <c r="D43" i="1"/>
  <c r="D42" i="1"/>
  <c r="K41" i="1"/>
  <c r="B41" i="1"/>
  <c r="D41" i="1" s="1"/>
  <c r="G40" i="1"/>
  <c r="F40" i="1"/>
  <c r="D40" i="1"/>
  <c r="F39" i="1"/>
  <c r="D39" i="1"/>
  <c r="F38" i="1"/>
  <c r="D38" i="1"/>
  <c r="G37" i="1"/>
  <c r="F37" i="1"/>
  <c r="D37" i="1"/>
  <c r="F36" i="1"/>
  <c r="D36" i="1"/>
  <c r="F35" i="1"/>
  <c r="D35" i="1"/>
  <c r="U34" i="1"/>
  <c r="F34" i="1"/>
  <c r="D34" i="1"/>
  <c r="F33" i="1"/>
  <c r="D33" i="1"/>
  <c r="G32" i="1"/>
  <c r="G41" i="1" s="1"/>
  <c r="F32" i="1"/>
  <c r="F41" i="1" s="1"/>
  <c r="D32" i="1"/>
  <c r="G27" i="1"/>
  <c r="F27" i="1"/>
  <c r="D27" i="1"/>
  <c r="G26" i="1"/>
  <c r="F26" i="1"/>
  <c r="D26" i="1"/>
  <c r="F25" i="1"/>
  <c r="D25" i="1"/>
  <c r="G24" i="1"/>
  <c r="F24" i="1"/>
  <c r="D24" i="1"/>
  <c r="G23" i="1"/>
  <c r="G28" i="1" s="1"/>
  <c r="F23" i="1"/>
  <c r="F28" i="1" s="1"/>
  <c r="D23" i="1"/>
  <c r="G19" i="1"/>
  <c r="F19" i="1"/>
  <c r="D19" i="1"/>
  <c r="G18" i="1"/>
  <c r="F18" i="1"/>
  <c r="D18" i="1"/>
  <c r="G17" i="1"/>
  <c r="G20" i="1" s="1"/>
  <c r="F17" i="1"/>
  <c r="D17" i="1"/>
  <c r="G16" i="1"/>
  <c r="F16" i="1"/>
  <c r="F20" i="1" s="1"/>
  <c r="D16" i="1"/>
  <c r="B13" i="1"/>
  <c r="D13" i="1" s="1"/>
  <c r="F12" i="1"/>
  <c r="D12" i="1"/>
  <c r="I11" i="1"/>
  <c r="G11" i="1"/>
  <c r="F11" i="1"/>
  <c r="D11" i="1"/>
  <c r="I10" i="1"/>
  <c r="G10" i="1"/>
  <c r="F10" i="1"/>
  <c r="D10" i="1"/>
  <c r="I9" i="1"/>
  <c r="I13" i="1" s="1"/>
  <c r="G9" i="1"/>
  <c r="F9" i="1"/>
  <c r="D9" i="1"/>
  <c r="I8" i="1"/>
  <c r="G8" i="1"/>
  <c r="F8" i="1"/>
  <c r="D8" i="1"/>
  <c r="G7" i="1"/>
  <c r="G13" i="1" s="1"/>
  <c r="F7" i="1"/>
  <c r="I6" i="1"/>
  <c r="F6" i="1"/>
  <c r="D6" i="1"/>
  <c r="R5" i="1"/>
  <c r="F13" i="1" l="1"/>
  <c r="G122" i="1"/>
  <c r="G121" i="1"/>
</calcChain>
</file>

<file path=xl/sharedStrings.xml><?xml version="1.0" encoding="utf-8"?>
<sst xmlns="http://schemas.openxmlformats.org/spreadsheetml/2006/main" count="392" uniqueCount="139">
  <si>
    <t>FOOD STORAGE CALCULATOR</t>
  </si>
  <si>
    <t>FOOD STORAGE CALCULATOR IS FROM ezprepping.com website</t>
  </si>
  <si>
    <t>BASED ON 2000 - 2500 CALORIES/DAY</t>
  </si>
  <si>
    <t>It is recommended by CDC &amp; LDS Church</t>
  </si>
  <si>
    <t xml:space="preserve"> </t>
  </si>
  <si>
    <t>1 YEAR SUPPLY</t>
  </si>
  <si>
    <t>1 ADULT     (AGE 7+)</t>
  </si>
  <si>
    <t>MEASUREMENT</t>
  </si>
  <si>
    <t>2ADULTS</t>
  </si>
  <si>
    <t>HAVE</t>
  </si>
  <si>
    <t>NEED TO GET (2 ADULTS)</t>
  </si>
  <si>
    <t>1 CHILD (0-6 YRS)</t>
  </si>
  <si>
    <t>GRAINS (390 LBS)</t>
  </si>
  <si>
    <t>GRAINS (195 LBS)</t>
  </si>
  <si>
    <t>WHEAT (WHITE)</t>
  </si>
  <si>
    <t>LBS</t>
  </si>
  <si>
    <t>LDS Provident Living</t>
  </si>
  <si>
    <t>Canned</t>
  </si>
  <si>
    <t>Bags</t>
  </si>
  <si>
    <t>RICE (WHITE) (70 LBS)</t>
  </si>
  <si>
    <t>FLOUR</t>
  </si>
  <si>
    <t>OATS</t>
  </si>
  <si>
    <t>PASTA</t>
  </si>
  <si>
    <t>CORN MEAL</t>
  </si>
  <si>
    <t>TOTAL NEEDED</t>
  </si>
  <si>
    <t>CANNED OR DRIED MEAT (TOTAL = 20 LBS/PP)</t>
  </si>
  <si>
    <t>CANNED OR DRIED MEAT (TOTAL = 10 LBS/PP)</t>
  </si>
  <si>
    <t>CHICKEN CHUNKS</t>
  </si>
  <si>
    <t>Chicken Breast Chunks</t>
  </si>
  <si>
    <t>SALMON</t>
  </si>
  <si>
    <t>Sam's Club</t>
  </si>
  <si>
    <t>TUNA</t>
  </si>
  <si>
    <t>King Soopers</t>
  </si>
  <si>
    <t>SPAM</t>
  </si>
  <si>
    <t>FATS &amp; OILS (TOTAL 25 LBS)</t>
  </si>
  <si>
    <t>FATS &amp; OILS (13 LBS)</t>
  </si>
  <si>
    <t>VEG OIL (2 Gallons)</t>
  </si>
  <si>
    <t>QTS</t>
  </si>
  <si>
    <t>SHORTENING (4LBS)</t>
  </si>
  <si>
    <t>SALAD DRESSING (1QTS)</t>
  </si>
  <si>
    <t>MAYO (2QTS)</t>
  </si>
  <si>
    <t>PEANUT BUTTER(4lbs)</t>
  </si>
  <si>
    <t>BEANS &amp; LEGUMES (TOTAL 70 LBS)</t>
  </si>
  <si>
    <t>You decide how you want to get to 40 lbs.</t>
  </si>
  <si>
    <t>BEANS &amp; LEGUMES (35 LBS)</t>
  </si>
  <si>
    <t>DRY BEANS (TOTAL IS 40 LBS)</t>
  </si>
  <si>
    <t>Pinto - DRY</t>
  </si>
  <si>
    <t>Black - DRY</t>
  </si>
  <si>
    <t>Red - DRY</t>
  </si>
  <si>
    <t>Dollar Tree</t>
  </si>
  <si>
    <t>White - DRY</t>
  </si>
  <si>
    <t>SOY BEANS (10 LBS)</t>
  </si>
  <si>
    <t>LIMA (5 LBS)</t>
  </si>
  <si>
    <t>Walmart</t>
  </si>
  <si>
    <t>SPLIT PEAS (5LBS)</t>
  </si>
  <si>
    <t>LENTILS (5 LBS)</t>
  </si>
  <si>
    <t>DRY SOUP MIX (5LBS)</t>
  </si>
  <si>
    <t>MILK &amp; DAIRY (TOTAL 87 LBS)</t>
  </si>
  <si>
    <t>MILK &amp; DAIRY (44 LBS)</t>
  </si>
  <si>
    <t>DRY MILK</t>
  </si>
  <si>
    <t>EVAP MILK</t>
  </si>
  <si>
    <t>CANS</t>
  </si>
  <si>
    <t>OTHER DAIRY e.g. cheese, yogurt, etc.</t>
  </si>
  <si>
    <t>Dehydrated Cheese</t>
  </si>
  <si>
    <t>EGGS (Not on the recommended list but I recommend it)</t>
  </si>
  <si>
    <t>POWDERED EGGS</t>
  </si>
  <si>
    <t>SUGARS (TOTAL 60 LBS)</t>
  </si>
  <si>
    <t>SUGARS (TOTAL 30 LBS)</t>
  </si>
  <si>
    <t xml:space="preserve">SUGAR </t>
  </si>
  <si>
    <t>BROWN SUGAR</t>
  </si>
  <si>
    <t>HONEY</t>
  </si>
  <si>
    <t>JAMS</t>
  </si>
  <si>
    <t>Dollar Store</t>
  </si>
  <si>
    <t>CORN SYRUP</t>
  </si>
  <si>
    <t>MOLASSES</t>
  </si>
  <si>
    <t>POWDERED JUICE MIX</t>
  </si>
  <si>
    <t>JELLO MIX</t>
  </si>
  <si>
    <t>COOKING ESSENTIALS</t>
  </si>
  <si>
    <t>SALT</t>
  </si>
  <si>
    <t>BAKING POWDER</t>
  </si>
  <si>
    <t>BAKING SODA</t>
  </si>
  <si>
    <t>YEAST</t>
  </si>
  <si>
    <t>VINEGAR</t>
  </si>
  <si>
    <t>GALLON</t>
  </si>
  <si>
    <t>FRUITS &amp; VEGGIES (Canned = 320 qts) ; (Dried = 90 lbs)</t>
  </si>
  <si>
    <t>FRUITS &amp; VEGGIES (Canned -= 160 qts) or (Dried = 45 lbs)</t>
  </si>
  <si>
    <t>QTS TOTAL</t>
  </si>
  <si>
    <t>Applesauce</t>
  </si>
  <si>
    <t>Cranberry Sauce</t>
  </si>
  <si>
    <t>Fruit Juice</t>
  </si>
  <si>
    <t>Fruit Cocktail</t>
  </si>
  <si>
    <t>Mandarin Oranges</t>
  </si>
  <si>
    <t>Mangoes/Apricots</t>
  </si>
  <si>
    <t>Pineapple</t>
  </si>
  <si>
    <t>Peaches</t>
  </si>
  <si>
    <t>Pears</t>
  </si>
  <si>
    <t>CORN</t>
  </si>
  <si>
    <t>GREEN BEANS</t>
  </si>
  <si>
    <t>PEAS</t>
  </si>
  <si>
    <t>POTATOES</t>
  </si>
  <si>
    <t>PUMPKIN</t>
  </si>
  <si>
    <t>TOMATOES</t>
  </si>
  <si>
    <t>YAMS</t>
  </si>
  <si>
    <t>DRIED FRUITS &amp; VEGGIES</t>
  </si>
  <si>
    <t>DRIED FRUITS &amp; VEGGIES (45 LBS)</t>
  </si>
  <si>
    <t>Apples</t>
  </si>
  <si>
    <t>Bananas</t>
  </si>
  <si>
    <t>Blueberries</t>
  </si>
  <si>
    <t>Needs to be shipped free for Plus Members</t>
  </si>
  <si>
    <t>Cranberries</t>
  </si>
  <si>
    <t>Kiwi</t>
  </si>
  <si>
    <t>Mangoes</t>
  </si>
  <si>
    <t>Prunes</t>
  </si>
  <si>
    <t>Raisins</t>
  </si>
  <si>
    <t>Strawberries</t>
  </si>
  <si>
    <t>CARROTS</t>
  </si>
  <si>
    <t>CELERY</t>
  </si>
  <si>
    <t>ONIONS</t>
  </si>
  <si>
    <t>WATER (1 GAL/PP/DAY)</t>
  </si>
  <si>
    <t>WATER (92 Gallons)</t>
  </si>
  <si>
    <t>WATER</t>
  </si>
  <si>
    <t>GALLONS</t>
  </si>
  <si>
    <t>BLEACH</t>
  </si>
  <si>
    <t>Bleach = .5 Gallons</t>
  </si>
  <si>
    <t>Iodine Tablets</t>
  </si>
  <si>
    <t>TABLETS</t>
  </si>
  <si>
    <t>Amazon - Potable Aqua Water Purification</t>
  </si>
  <si>
    <t>TOTAL:</t>
  </si>
  <si>
    <t>Per Person</t>
  </si>
  <si>
    <t>Monthly</t>
  </si>
  <si>
    <t>Weekly</t>
  </si>
  <si>
    <t>FRUIT IDEAS - APPLES, STRAWBERRIES, BLUEBERRIES, BANANA CHIPS, FRUIT MIXTURES, APPLESAUCE &amp; FRUIT JUICES</t>
  </si>
  <si>
    <t>VEGGIE IDEAS - CARROTS, CORN, GREEN BEANS, PEAS, POTATOES, ONION, TOMATOES</t>
  </si>
  <si>
    <t>BEST SHELF-STABLE FRUITS &amp; VEGGIES = FREEZE-DRIED, CANNED, DEHYDRATED, &amp; FROZEN</t>
  </si>
  <si>
    <t>WHEAT (RED)</t>
  </si>
  <si>
    <t>***</t>
  </si>
  <si>
    <t>***These prices are based on 9/2022 pricing</t>
  </si>
  <si>
    <t>TO USE THIS  SPREADSHEET, ENTER THE NUMBER OF EACH ITEM YOU HAVE INTO THE "HAVE" COLUMN.  FOR EXAMPLE, IF YOU HAVE 50 LBS OF RED WHEAT, THEN ENTER 50 IN CELL "E7."  IT WILL CHANGE THE AMOUNT YOU NEED IN CELL F7.</t>
  </si>
  <si>
    <t>In this section you decide what type of fruits &amp; veggies your family will eat.  You'll just need to have 320 qts or 90 lbs of dried fruits &amp; veggies.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</si>
</sst>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249977111117893"/>
        <bgColor indexed="64"/>
      </patternFill>
    </fill>
  </fills>
  <borders count="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3" fillId="0" borderId="0" xfId="0" applyFont="1"/>
    <xf numFmtId="0" fontId="0" fillId="2" borderId="0" xfId="0" applyFill="1"/>
    <xf numFmtId="44" fontId="0" fillId="2" borderId="0" xfId="1" applyFont="1" applyFill="1"/>
    <xf numFmtId="0" fontId="0" fillId="0" borderId="1" xfId="0" applyBorder="1" applyAlignment="1">
      <alignment horizontal="center" vertical="center" wrapText="1"/>
    </xf>
    <xf numFmtId="0" fontId="0" fillId="0" borderId="1" xfId="0" applyBorder="1" applyAlignment="1">
      <alignment wrapText="1"/>
    </xf>
    <xf numFmtId="0" fontId="0" fillId="3" borderId="1" xfId="0" applyFill="1" applyBorder="1" applyAlignment="1">
      <alignment wrapText="1"/>
    </xf>
    <xf numFmtId="0" fontId="0" fillId="0" borderId="0" xfId="0" applyAlignment="1">
      <alignment wrapText="1"/>
    </xf>
    <xf numFmtId="0" fontId="0" fillId="4" borderId="0" xfId="0" applyFill="1"/>
    <xf numFmtId="44" fontId="0" fillId="0" borderId="0" xfId="1" applyFont="1"/>
    <xf numFmtId="0" fontId="0" fillId="3" borderId="0" xfId="0" applyFill="1"/>
    <xf numFmtId="44" fontId="0" fillId="5" borderId="0" xfId="1" applyFont="1" applyFill="1"/>
    <xf numFmtId="0" fontId="0" fillId="5" borderId="0" xfId="0" applyFill="1"/>
    <xf numFmtId="2" fontId="0" fillId="0" borderId="0" xfId="0" applyNumberFormat="1"/>
    <xf numFmtId="0" fontId="0" fillId="0" borderId="1" xfId="0" applyBorder="1"/>
    <xf numFmtId="44" fontId="0" fillId="0" borderId="0" xfId="1" applyFont="1" applyBorder="1"/>
    <xf numFmtId="0" fontId="0" fillId="6" borderId="0" xfId="0" applyFill="1"/>
    <xf numFmtId="44" fontId="0" fillId="6" borderId="0" xfId="1" applyFont="1" applyFill="1"/>
    <xf numFmtId="44" fontId="0" fillId="4" borderId="0" xfId="1" applyFont="1" applyFill="1" applyAlignment="1">
      <alignment horizontal="left"/>
    </xf>
    <xf numFmtId="16" fontId="0" fillId="0" borderId="0" xfId="0" applyNumberFormat="1"/>
    <xf numFmtId="44" fontId="0" fillId="6" borderId="0" xfId="0" applyNumberFormat="1" applyFill="1"/>
    <xf numFmtId="44" fontId="0" fillId="9" borderId="0" xfId="1" applyFont="1" applyFill="1" applyAlignment="1">
      <alignment horizontal="center" vertical="center"/>
    </xf>
    <xf numFmtId="0" fontId="0" fillId="2" borderId="0" xfId="0" applyFill="1" applyAlignment="1">
      <alignment horizontal="left"/>
    </xf>
    <xf numFmtId="0" fontId="0" fillId="0" borderId="0" xfId="0" applyAlignment="1">
      <alignment horizontal="center"/>
    </xf>
    <xf numFmtId="0" fontId="0" fillId="4" borderId="0" xfId="0" applyFill="1" applyAlignment="1">
      <alignment horizontal="left"/>
    </xf>
    <xf numFmtId="0" fontId="0" fillId="4" borderId="0" xfId="0" applyFill="1" applyAlignment="1">
      <alignment horizontal="left" vertical="top"/>
    </xf>
    <xf numFmtId="0" fontId="0" fillId="3" borderId="0" xfId="0" applyFill="1" applyAlignment="1">
      <alignment horizontal="center"/>
    </xf>
    <xf numFmtId="0" fontId="0" fillId="3" borderId="0" xfId="0" applyFill="1" applyAlignment="1">
      <alignment horizontal="left"/>
    </xf>
    <xf numFmtId="44" fontId="2" fillId="8" borderId="2" xfId="1" applyFont="1" applyFill="1" applyBorder="1" applyAlignment="1">
      <alignment horizontal="center" vertical="center" wrapText="1"/>
    </xf>
    <xf numFmtId="44" fontId="2" fillId="8" borderId="3" xfId="1" applyFont="1" applyFill="1" applyBorder="1" applyAlignment="1">
      <alignment horizontal="center" vertical="center" wrapText="1"/>
    </xf>
    <xf numFmtId="44" fontId="2" fillId="8" borderId="4" xfId="1" applyFont="1" applyFill="1" applyBorder="1" applyAlignment="1">
      <alignment horizontal="center" vertical="center" wrapText="1"/>
    </xf>
    <xf numFmtId="0" fontId="0" fillId="9" borderId="0" xfId="0" applyFill="1" applyAlignment="1">
      <alignment horizontal="center"/>
    </xf>
    <xf numFmtId="0" fontId="0" fillId="7" borderId="5" xfId="0" applyFill="1" applyBorder="1" applyAlignment="1">
      <alignment horizontal="center" wrapText="1"/>
    </xf>
    <xf numFmtId="0" fontId="0" fillId="7" borderId="6" xfId="0" applyFill="1" applyBorder="1" applyAlignment="1">
      <alignment horizontal="center" wrapText="1"/>
    </xf>
    <xf numFmtId="0" fontId="0" fillId="7" borderId="7"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6F998-702D-42E4-B218-F94A732F89A7}">
  <dimension ref="A1:U136"/>
  <sheetViews>
    <sheetView tabSelected="1" topLeftCell="A71" workbookViewId="0">
      <selection activeCell="G79" sqref="G79"/>
    </sheetView>
  </sheetViews>
  <sheetFormatPr defaultRowHeight="14.5" x14ac:dyDescent="0.35"/>
  <cols>
    <col min="1" max="1" width="29.26953125" customWidth="1"/>
    <col min="2" max="2" width="8" bestFit="1" customWidth="1"/>
    <col min="3" max="3" width="14.1796875" bestFit="1" customWidth="1"/>
    <col min="4" max="4" width="7.26953125" customWidth="1"/>
    <col min="5" max="5" width="5.81640625" bestFit="1" customWidth="1"/>
    <col min="6" max="6" width="12.54296875" customWidth="1"/>
    <col min="7" max="7" width="12.54296875" style="9" customWidth="1"/>
    <col min="8" max="8" width="19.1796875" bestFit="1" customWidth="1"/>
    <col min="9" max="10" width="19.1796875" customWidth="1"/>
    <col min="11" max="11" width="21.81640625" customWidth="1"/>
  </cols>
  <sheetData>
    <row r="1" spans="1:21" ht="23.5" x14ac:dyDescent="0.55000000000000004">
      <c r="A1" s="1" t="s">
        <v>0</v>
      </c>
      <c r="F1" s="22" t="s">
        <v>1</v>
      </c>
      <c r="G1" s="22"/>
      <c r="H1" s="22"/>
      <c r="I1" s="22"/>
      <c r="J1" s="22"/>
      <c r="K1" s="22"/>
      <c r="L1" s="22"/>
      <c r="M1" s="22"/>
    </row>
    <row r="2" spans="1:21" ht="23.5" x14ac:dyDescent="0.55000000000000004">
      <c r="A2" s="1" t="s">
        <v>2</v>
      </c>
      <c r="F2" s="2" t="s">
        <v>3</v>
      </c>
      <c r="G2" s="3"/>
      <c r="H2" s="2"/>
      <c r="I2" s="2"/>
      <c r="J2" s="2"/>
      <c r="K2" s="2"/>
      <c r="L2" s="2"/>
      <c r="M2" s="2"/>
    </row>
    <row r="3" spans="1:21" x14ac:dyDescent="0.35">
      <c r="D3" t="s">
        <v>4</v>
      </c>
      <c r="E3" t="s">
        <v>4</v>
      </c>
      <c r="F3" s="23"/>
      <c r="G3" s="23"/>
      <c r="H3" s="23"/>
      <c r="I3" s="23"/>
      <c r="J3" s="23"/>
      <c r="K3" s="23"/>
    </row>
    <row r="4" spans="1:21" s="7" customFormat="1" ht="29.5" thickBot="1" x14ac:dyDescent="0.4">
      <c r="A4" s="4" t="s">
        <v>5</v>
      </c>
      <c r="B4" s="4" t="s">
        <v>6</v>
      </c>
      <c r="C4" s="5" t="s">
        <v>7</v>
      </c>
      <c r="D4" s="4" t="s">
        <v>8</v>
      </c>
      <c r="E4" s="4" t="s">
        <v>9</v>
      </c>
      <c r="F4" s="4" t="s">
        <v>10</v>
      </c>
      <c r="G4" s="28" t="s">
        <v>137</v>
      </c>
      <c r="H4" s="29"/>
      <c r="I4" s="29"/>
      <c r="J4" s="30"/>
      <c r="K4" s="6" t="s">
        <v>11</v>
      </c>
      <c r="P4" s="7" t="s">
        <v>4</v>
      </c>
    </row>
    <row r="5" spans="1:21" ht="15" thickTop="1" x14ac:dyDescent="0.35">
      <c r="A5" s="8" t="s">
        <v>12</v>
      </c>
      <c r="B5" s="8"/>
      <c r="C5" s="8"/>
      <c r="G5" s="21" t="s">
        <v>135</v>
      </c>
      <c r="K5" s="10" t="s">
        <v>13</v>
      </c>
      <c r="R5">
        <f>13/16</f>
        <v>0.8125</v>
      </c>
    </row>
    <row r="6" spans="1:21" x14ac:dyDescent="0.35">
      <c r="A6" t="s">
        <v>14</v>
      </c>
      <c r="B6">
        <v>200</v>
      </c>
      <c r="C6" t="s">
        <v>15</v>
      </c>
      <c r="D6">
        <f>B6*2</f>
        <v>400</v>
      </c>
      <c r="E6">
        <v>0</v>
      </c>
      <c r="F6">
        <f>E6-(B6*2)</f>
        <v>-400</v>
      </c>
      <c r="H6" t="s">
        <v>16</v>
      </c>
      <c r="I6" s="11">
        <f>((2.75/5.5)*200)</f>
        <v>100</v>
      </c>
      <c r="J6" s="12" t="s">
        <v>17</v>
      </c>
      <c r="K6">
        <v>100</v>
      </c>
      <c r="L6" t="s">
        <v>15</v>
      </c>
    </row>
    <row r="7" spans="1:21" x14ac:dyDescent="0.35">
      <c r="A7" t="s">
        <v>134</v>
      </c>
      <c r="B7">
        <v>200</v>
      </c>
      <c r="C7" t="s">
        <v>15</v>
      </c>
      <c r="D7">
        <v>400</v>
      </c>
      <c r="E7">
        <v>50</v>
      </c>
      <c r="F7">
        <f>E7-(B7*2)</f>
        <v>-350</v>
      </c>
      <c r="G7" s="11">
        <f>((12/25)*200)</f>
        <v>96</v>
      </c>
      <c r="H7" t="s">
        <v>16</v>
      </c>
      <c r="I7" t="s">
        <v>4</v>
      </c>
      <c r="J7" s="12" t="s">
        <v>18</v>
      </c>
    </row>
    <row r="8" spans="1:21" x14ac:dyDescent="0.35">
      <c r="A8" t="s">
        <v>19</v>
      </c>
      <c r="B8">
        <v>70</v>
      </c>
      <c r="C8" t="s">
        <v>15</v>
      </c>
      <c r="D8">
        <f t="shared" ref="D8:D62" si="0">B8*2</f>
        <v>140</v>
      </c>
      <c r="E8">
        <v>0</v>
      </c>
      <c r="F8">
        <f t="shared" ref="F8:F62" si="1">E8-(B8*2)</f>
        <v>-140</v>
      </c>
      <c r="G8" s="9">
        <f>((5.4/4.25)*70)</f>
        <v>88.941176470588246</v>
      </c>
      <c r="H8" t="s">
        <v>16</v>
      </c>
      <c r="I8" s="9">
        <f>((5.4/4.25)*70)</f>
        <v>88.941176470588246</v>
      </c>
      <c r="K8">
        <v>35</v>
      </c>
      <c r="L8" t="s">
        <v>15</v>
      </c>
    </row>
    <row r="9" spans="1:21" x14ac:dyDescent="0.35">
      <c r="A9" t="s">
        <v>20</v>
      </c>
      <c r="B9">
        <v>30</v>
      </c>
      <c r="C9" t="s">
        <v>15</v>
      </c>
      <c r="D9">
        <f t="shared" si="0"/>
        <v>60</v>
      </c>
      <c r="E9">
        <v>0</v>
      </c>
      <c r="F9">
        <f t="shared" si="1"/>
        <v>-60</v>
      </c>
      <c r="G9" s="9">
        <f>((2.75/4)*30)</f>
        <v>20.625</v>
      </c>
      <c r="H9" t="s">
        <v>16</v>
      </c>
      <c r="I9" s="9">
        <f>((2.75/4)*30)</f>
        <v>20.625</v>
      </c>
      <c r="J9" t="s">
        <v>4</v>
      </c>
      <c r="K9">
        <v>27</v>
      </c>
      <c r="L9" t="s">
        <v>15</v>
      </c>
    </row>
    <row r="10" spans="1:21" x14ac:dyDescent="0.35">
      <c r="A10" t="s">
        <v>21</v>
      </c>
      <c r="B10">
        <v>30</v>
      </c>
      <c r="C10" t="s">
        <v>15</v>
      </c>
      <c r="D10">
        <f t="shared" si="0"/>
        <v>60</v>
      </c>
      <c r="E10">
        <v>0</v>
      </c>
      <c r="F10">
        <f t="shared" si="1"/>
        <v>-60</v>
      </c>
      <c r="G10" s="9">
        <f>((3/2.8)*60)</f>
        <v>64.285714285714278</v>
      </c>
      <c r="H10" t="s">
        <v>16</v>
      </c>
      <c r="I10" s="9">
        <f>((3/2.8)*60)</f>
        <v>64.285714285714278</v>
      </c>
      <c r="J10" s="13" t="s">
        <v>4</v>
      </c>
      <c r="K10">
        <v>27</v>
      </c>
      <c r="L10" t="s">
        <v>15</v>
      </c>
    </row>
    <row r="11" spans="1:21" x14ac:dyDescent="0.35">
      <c r="A11" t="s">
        <v>22</v>
      </c>
      <c r="B11">
        <v>30</v>
      </c>
      <c r="C11" t="s">
        <v>15</v>
      </c>
      <c r="D11">
        <f t="shared" si="0"/>
        <v>60</v>
      </c>
      <c r="E11">
        <v>0</v>
      </c>
      <c r="F11">
        <f t="shared" si="1"/>
        <v>-60</v>
      </c>
      <c r="G11" s="9">
        <f>((2.5/2.7)*30)</f>
        <v>27.777777777777775</v>
      </c>
      <c r="H11" t="s">
        <v>16</v>
      </c>
      <c r="I11" s="9">
        <f>((2.5/2.7)*30)</f>
        <v>27.777777777777775</v>
      </c>
      <c r="K11">
        <v>27</v>
      </c>
      <c r="L11" t="s">
        <v>15</v>
      </c>
    </row>
    <row r="12" spans="1:21" ht="15" thickBot="1" x14ac:dyDescent="0.4">
      <c r="A12" s="14" t="s">
        <v>23</v>
      </c>
      <c r="B12" s="14">
        <v>30</v>
      </c>
      <c r="C12" s="14" t="s">
        <v>15</v>
      </c>
      <c r="D12" s="14">
        <f t="shared" si="0"/>
        <v>60</v>
      </c>
      <c r="E12" s="14">
        <v>0</v>
      </c>
      <c r="F12" s="14">
        <f t="shared" si="1"/>
        <v>-60</v>
      </c>
      <c r="G12" s="15"/>
      <c r="I12" s="15"/>
      <c r="K12">
        <v>27</v>
      </c>
      <c r="L12" t="s">
        <v>15</v>
      </c>
      <c r="U12" t="s">
        <v>4</v>
      </c>
    </row>
    <row r="13" spans="1:21" ht="15" thickTop="1" x14ac:dyDescent="0.35">
      <c r="A13" s="16" t="s">
        <v>24</v>
      </c>
      <c r="B13" s="16">
        <f>SUM(B6:B12)</f>
        <v>590</v>
      </c>
      <c r="C13" s="16"/>
      <c r="D13" s="16">
        <f t="shared" si="0"/>
        <v>1180</v>
      </c>
      <c r="E13" s="16"/>
      <c r="F13" s="16">
        <f>SUM(F6:F12)</f>
        <v>-1130</v>
      </c>
      <c r="G13" s="17">
        <f>SUM(G6:G12)</f>
        <v>297.62966853408028</v>
      </c>
      <c r="I13" s="17">
        <f>SUM(I6:I12)</f>
        <v>301.62966853408028</v>
      </c>
      <c r="U13" t="s">
        <v>4</v>
      </c>
    </row>
    <row r="14" spans="1:21" x14ac:dyDescent="0.35">
      <c r="D14" t="s">
        <v>4</v>
      </c>
      <c r="F14" t="s">
        <v>4</v>
      </c>
      <c r="H14" t="s">
        <v>4</v>
      </c>
      <c r="N14" t="s">
        <v>4</v>
      </c>
      <c r="U14" t="s">
        <v>4</v>
      </c>
    </row>
    <row r="15" spans="1:21" x14ac:dyDescent="0.35">
      <c r="A15" s="8" t="s">
        <v>25</v>
      </c>
      <c r="B15" s="8"/>
      <c r="C15" s="8"/>
      <c r="D15" t="s">
        <v>4</v>
      </c>
      <c r="F15" t="s">
        <v>4</v>
      </c>
      <c r="H15" t="s">
        <v>4</v>
      </c>
      <c r="K15" s="10" t="s">
        <v>26</v>
      </c>
      <c r="N15" t="s">
        <v>4</v>
      </c>
      <c r="U15" t="s">
        <v>4</v>
      </c>
    </row>
    <row r="16" spans="1:21" x14ac:dyDescent="0.35">
      <c r="A16" t="s">
        <v>27</v>
      </c>
      <c r="B16">
        <v>10</v>
      </c>
      <c r="C16" t="s">
        <v>15</v>
      </c>
      <c r="D16">
        <f t="shared" si="0"/>
        <v>20</v>
      </c>
      <c r="E16">
        <v>0</v>
      </c>
      <c r="F16">
        <f t="shared" si="1"/>
        <v>-20</v>
      </c>
      <c r="G16" s="9">
        <f>((16.98/75)*160)</f>
        <v>36.224000000000004</v>
      </c>
      <c r="H16" t="s">
        <v>28</v>
      </c>
      <c r="N16" t="s">
        <v>4</v>
      </c>
      <c r="O16" t="s">
        <v>4</v>
      </c>
      <c r="U16" t="s">
        <v>4</v>
      </c>
    </row>
    <row r="17" spans="1:15" x14ac:dyDescent="0.35">
      <c r="A17" t="s">
        <v>29</v>
      </c>
      <c r="B17">
        <v>2</v>
      </c>
      <c r="C17" t="s">
        <v>15</v>
      </c>
      <c r="D17">
        <f t="shared" si="0"/>
        <v>4</v>
      </c>
      <c r="E17">
        <v>0</v>
      </c>
      <c r="F17">
        <f t="shared" si="1"/>
        <v>-4</v>
      </c>
      <c r="G17" s="9">
        <f>((12.84/14.75)*48)</f>
        <v>41.784406779661019</v>
      </c>
      <c r="H17" t="s">
        <v>30</v>
      </c>
      <c r="K17" s="31" t="s">
        <v>136</v>
      </c>
      <c r="L17" s="31"/>
      <c r="M17" s="31"/>
      <c r="N17" s="31"/>
      <c r="O17" s="31"/>
    </row>
    <row r="18" spans="1:15" x14ac:dyDescent="0.35">
      <c r="A18" t="s">
        <v>31</v>
      </c>
      <c r="B18">
        <v>4</v>
      </c>
      <c r="C18" t="s">
        <v>15</v>
      </c>
      <c r="D18">
        <f t="shared" si="0"/>
        <v>8</v>
      </c>
      <c r="E18">
        <v>0</v>
      </c>
      <c r="F18">
        <f t="shared" si="1"/>
        <v>-8</v>
      </c>
      <c r="G18" s="9">
        <f>((0.79/5)*64)</f>
        <v>10.112</v>
      </c>
      <c r="H18" t="s">
        <v>32</v>
      </c>
    </row>
    <row r="19" spans="1:15" ht="15" thickBot="1" x14ac:dyDescent="0.4">
      <c r="A19" s="14" t="s">
        <v>33</v>
      </c>
      <c r="B19" s="14">
        <v>4</v>
      </c>
      <c r="C19" s="14" t="s">
        <v>15</v>
      </c>
      <c r="D19" s="14">
        <f t="shared" si="0"/>
        <v>8</v>
      </c>
      <c r="E19" s="14">
        <v>0</v>
      </c>
      <c r="F19" s="14">
        <f t="shared" si="1"/>
        <v>-8</v>
      </c>
      <c r="G19" s="15">
        <f>((21.98/96)*64)</f>
        <v>14.653333333333334</v>
      </c>
      <c r="H19" t="s">
        <v>30</v>
      </c>
    </row>
    <row r="20" spans="1:15" ht="15" thickTop="1" x14ac:dyDescent="0.35">
      <c r="A20" s="16" t="s">
        <v>24</v>
      </c>
      <c r="B20" s="16"/>
      <c r="C20" s="16"/>
      <c r="D20" s="16" t="s">
        <v>4</v>
      </c>
      <c r="E20" s="16"/>
      <c r="F20" s="16">
        <f>SUM(F16:F19)</f>
        <v>-40</v>
      </c>
      <c r="G20" s="17">
        <f>SUM(G16:G19)</f>
        <v>102.77374011299435</v>
      </c>
    </row>
    <row r="21" spans="1:15" x14ac:dyDescent="0.35">
      <c r="D21" t="s">
        <v>4</v>
      </c>
      <c r="F21" t="s">
        <v>4</v>
      </c>
      <c r="H21" t="s">
        <v>4</v>
      </c>
    </row>
    <row r="22" spans="1:15" x14ac:dyDescent="0.35">
      <c r="A22" s="8" t="s">
        <v>34</v>
      </c>
      <c r="B22" s="8"/>
      <c r="C22" s="8"/>
      <c r="D22" t="s">
        <v>4</v>
      </c>
      <c r="F22" t="s">
        <v>4</v>
      </c>
      <c r="H22" t="s">
        <v>4</v>
      </c>
      <c r="K22" s="10" t="s">
        <v>35</v>
      </c>
    </row>
    <row r="23" spans="1:15" x14ac:dyDescent="0.35">
      <c r="A23" t="s">
        <v>36</v>
      </c>
      <c r="B23">
        <v>8</v>
      </c>
      <c r="C23" t="s">
        <v>37</v>
      </c>
      <c r="D23">
        <f t="shared" si="0"/>
        <v>16</v>
      </c>
      <c r="E23">
        <v>0</v>
      </c>
      <c r="F23">
        <f t="shared" si="1"/>
        <v>-16</v>
      </c>
      <c r="G23" s="9">
        <f>((13.48/3)*8)</f>
        <v>35.946666666666665</v>
      </c>
      <c r="H23" t="s">
        <v>30</v>
      </c>
      <c r="K23">
        <v>7</v>
      </c>
      <c r="L23" t="s">
        <v>37</v>
      </c>
    </row>
    <row r="24" spans="1:15" x14ac:dyDescent="0.35">
      <c r="A24" t="s">
        <v>38</v>
      </c>
      <c r="B24">
        <v>4</v>
      </c>
      <c r="C24" t="s">
        <v>15</v>
      </c>
      <c r="D24">
        <f t="shared" si="0"/>
        <v>8</v>
      </c>
      <c r="E24">
        <v>0</v>
      </c>
      <c r="F24">
        <f t="shared" si="1"/>
        <v>-8</v>
      </c>
      <c r="G24" s="9">
        <f>((11.98/6)*4)</f>
        <v>7.9866666666666672</v>
      </c>
      <c r="H24" t="s">
        <v>30</v>
      </c>
      <c r="K24">
        <v>2</v>
      </c>
      <c r="L24" t="s">
        <v>15</v>
      </c>
    </row>
    <row r="25" spans="1:15" x14ac:dyDescent="0.35">
      <c r="A25" t="s">
        <v>39</v>
      </c>
      <c r="B25">
        <v>1</v>
      </c>
      <c r="C25" t="s">
        <v>37</v>
      </c>
      <c r="D25">
        <f t="shared" si="0"/>
        <v>2</v>
      </c>
      <c r="E25">
        <v>0</v>
      </c>
      <c r="F25">
        <f t="shared" si="1"/>
        <v>-2</v>
      </c>
      <c r="G25" s="9">
        <v>7.78</v>
      </c>
      <c r="H25" t="s">
        <v>30</v>
      </c>
      <c r="K25">
        <v>1</v>
      </c>
      <c r="L25" t="s">
        <v>37</v>
      </c>
    </row>
    <row r="26" spans="1:15" x14ac:dyDescent="0.35">
      <c r="A26" t="s">
        <v>40</v>
      </c>
      <c r="B26">
        <v>2</v>
      </c>
      <c r="C26" t="s">
        <v>37</v>
      </c>
      <c r="D26">
        <f t="shared" si="0"/>
        <v>4</v>
      </c>
      <c r="E26">
        <v>0</v>
      </c>
      <c r="F26">
        <f t="shared" si="1"/>
        <v>-4</v>
      </c>
      <c r="G26" s="9">
        <f>8.98*2</f>
        <v>17.96</v>
      </c>
      <c r="H26" t="s">
        <v>30</v>
      </c>
      <c r="K26">
        <v>1</v>
      </c>
      <c r="L26" t="s">
        <v>37</v>
      </c>
    </row>
    <row r="27" spans="1:15" ht="15" thickBot="1" x14ac:dyDescent="0.4">
      <c r="A27" s="14" t="s">
        <v>41</v>
      </c>
      <c r="B27" s="14">
        <v>4</v>
      </c>
      <c r="C27" s="14" t="s">
        <v>15</v>
      </c>
      <c r="D27" s="14">
        <f t="shared" si="0"/>
        <v>8</v>
      </c>
      <c r="E27" s="14">
        <v>0</v>
      </c>
      <c r="F27" s="14">
        <f t="shared" si="1"/>
        <v>-8</v>
      </c>
      <c r="G27" s="15">
        <f>((10.28/48)*64)</f>
        <v>13.706666666666665</v>
      </c>
      <c r="H27" t="s">
        <v>30</v>
      </c>
      <c r="K27" s="14">
        <v>2</v>
      </c>
      <c r="L27" t="s">
        <v>15</v>
      </c>
    </row>
    <row r="28" spans="1:15" ht="15" thickTop="1" x14ac:dyDescent="0.35">
      <c r="A28" s="16" t="s">
        <v>24</v>
      </c>
      <c r="B28" s="16"/>
      <c r="C28" s="16"/>
      <c r="D28" s="16" t="s">
        <v>4</v>
      </c>
      <c r="E28" s="16"/>
      <c r="F28" s="16">
        <f>SUM(F23:F27)</f>
        <v>-38</v>
      </c>
      <c r="G28" s="17">
        <f>SUM(G23:G27)</f>
        <v>83.38</v>
      </c>
    </row>
    <row r="29" spans="1:15" x14ac:dyDescent="0.35">
      <c r="D29" t="s">
        <v>4</v>
      </c>
      <c r="F29" t="s">
        <v>4</v>
      </c>
      <c r="H29" t="s">
        <v>4</v>
      </c>
    </row>
    <row r="30" spans="1:15" x14ac:dyDescent="0.35">
      <c r="A30" s="8" t="s">
        <v>42</v>
      </c>
      <c r="B30" s="24" t="s">
        <v>43</v>
      </c>
      <c r="C30" s="24"/>
      <c r="D30" s="24"/>
      <c r="E30" s="24"/>
      <c r="F30" s="24"/>
      <c r="G30" s="18"/>
      <c r="H30" t="s">
        <v>4</v>
      </c>
      <c r="K30" s="10" t="s">
        <v>44</v>
      </c>
    </row>
    <row r="31" spans="1:15" x14ac:dyDescent="0.35">
      <c r="A31" t="s">
        <v>45</v>
      </c>
      <c r="B31" t="s">
        <v>4</v>
      </c>
      <c r="C31" t="s">
        <v>4</v>
      </c>
      <c r="D31" t="s">
        <v>4</v>
      </c>
      <c r="E31" t="s">
        <v>4</v>
      </c>
      <c r="F31" t="s">
        <v>4</v>
      </c>
      <c r="H31" t="s">
        <v>4</v>
      </c>
      <c r="K31">
        <v>20</v>
      </c>
      <c r="L31" t="s">
        <v>15</v>
      </c>
    </row>
    <row r="32" spans="1:15" x14ac:dyDescent="0.35">
      <c r="A32" t="s">
        <v>46</v>
      </c>
      <c r="B32">
        <v>10</v>
      </c>
      <c r="C32" t="s">
        <v>15</v>
      </c>
      <c r="D32">
        <f t="shared" si="0"/>
        <v>20</v>
      </c>
      <c r="E32">
        <v>0</v>
      </c>
      <c r="F32">
        <f t="shared" si="1"/>
        <v>-20</v>
      </c>
      <c r="G32" s="9">
        <f>((10.37/12)*10)</f>
        <v>8.6416666666666657</v>
      </c>
      <c r="H32" t="s">
        <v>30</v>
      </c>
    </row>
    <row r="33" spans="1:21" x14ac:dyDescent="0.35">
      <c r="A33" t="s">
        <v>47</v>
      </c>
      <c r="B33">
        <v>10</v>
      </c>
      <c r="C33" t="s">
        <v>15</v>
      </c>
      <c r="D33">
        <f t="shared" si="0"/>
        <v>20</v>
      </c>
      <c r="E33">
        <v>0</v>
      </c>
      <c r="F33">
        <f t="shared" si="1"/>
        <v>-20</v>
      </c>
      <c r="G33" s="9">
        <v>11</v>
      </c>
      <c r="H33" t="s">
        <v>16</v>
      </c>
    </row>
    <row r="34" spans="1:21" x14ac:dyDescent="0.35">
      <c r="A34" t="s">
        <v>48</v>
      </c>
      <c r="B34">
        <v>10</v>
      </c>
      <c r="C34" t="s">
        <v>15</v>
      </c>
      <c r="D34">
        <f t="shared" si="0"/>
        <v>20</v>
      </c>
      <c r="E34">
        <v>0</v>
      </c>
      <c r="F34">
        <f t="shared" si="1"/>
        <v>-20</v>
      </c>
      <c r="G34" s="9">
        <v>10</v>
      </c>
      <c r="H34" t="s">
        <v>49</v>
      </c>
      <c r="K34">
        <v>5</v>
      </c>
      <c r="L34" t="s">
        <v>15</v>
      </c>
      <c r="T34" s="19" t="s">
        <v>4</v>
      </c>
      <c r="U34">
        <f>6/16</f>
        <v>0.375</v>
      </c>
    </row>
    <row r="35" spans="1:21" x14ac:dyDescent="0.35">
      <c r="A35" t="s">
        <v>50</v>
      </c>
      <c r="B35">
        <v>10</v>
      </c>
      <c r="C35" t="s">
        <v>15</v>
      </c>
      <c r="D35">
        <f t="shared" si="0"/>
        <v>20</v>
      </c>
      <c r="E35">
        <v>0</v>
      </c>
      <c r="F35">
        <f t="shared" si="1"/>
        <v>-20</v>
      </c>
      <c r="G35" s="9">
        <v>10</v>
      </c>
      <c r="H35" t="s">
        <v>16</v>
      </c>
      <c r="T35" s="19"/>
    </row>
    <row r="36" spans="1:21" x14ac:dyDescent="0.35">
      <c r="A36" t="s">
        <v>51</v>
      </c>
      <c r="B36">
        <v>10</v>
      </c>
      <c r="C36" t="s">
        <v>15</v>
      </c>
      <c r="D36">
        <f t="shared" si="0"/>
        <v>20</v>
      </c>
      <c r="E36">
        <v>0</v>
      </c>
      <c r="F36">
        <f t="shared" si="1"/>
        <v>-20</v>
      </c>
      <c r="T36" s="19"/>
    </row>
    <row r="37" spans="1:21" x14ac:dyDescent="0.35">
      <c r="A37" t="s">
        <v>52</v>
      </c>
      <c r="B37">
        <v>5</v>
      </c>
      <c r="C37" t="s">
        <v>15</v>
      </c>
      <c r="D37">
        <f t="shared" si="0"/>
        <v>10</v>
      </c>
      <c r="E37">
        <v>0</v>
      </c>
      <c r="F37">
        <f t="shared" si="1"/>
        <v>-10</v>
      </c>
      <c r="G37" s="9">
        <f>1.88*5</f>
        <v>9.3999999999999986</v>
      </c>
      <c r="H37" t="s">
        <v>53</v>
      </c>
      <c r="K37">
        <v>2</v>
      </c>
      <c r="L37" t="s">
        <v>15</v>
      </c>
    </row>
    <row r="38" spans="1:21" x14ac:dyDescent="0.35">
      <c r="A38" t="s">
        <v>54</v>
      </c>
      <c r="B38">
        <v>5</v>
      </c>
      <c r="C38" t="s">
        <v>15</v>
      </c>
      <c r="D38">
        <f t="shared" si="0"/>
        <v>10</v>
      </c>
      <c r="E38">
        <v>0</v>
      </c>
      <c r="F38">
        <f t="shared" si="1"/>
        <v>-10</v>
      </c>
      <c r="G38" s="9">
        <v>5</v>
      </c>
      <c r="H38" t="s">
        <v>49</v>
      </c>
      <c r="K38">
        <v>2</v>
      </c>
      <c r="L38" t="s">
        <v>15</v>
      </c>
    </row>
    <row r="39" spans="1:21" x14ac:dyDescent="0.35">
      <c r="A39" t="s">
        <v>55</v>
      </c>
      <c r="B39">
        <v>5</v>
      </c>
      <c r="C39" t="s">
        <v>15</v>
      </c>
      <c r="D39">
        <f t="shared" si="0"/>
        <v>10</v>
      </c>
      <c r="E39">
        <v>0</v>
      </c>
      <c r="F39">
        <f t="shared" si="1"/>
        <v>-10</v>
      </c>
      <c r="G39" s="9">
        <v>5</v>
      </c>
      <c r="H39" t="s">
        <v>49</v>
      </c>
      <c r="K39">
        <v>3</v>
      </c>
      <c r="L39" t="s">
        <v>15</v>
      </c>
    </row>
    <row r="40" spans="1:21" ht="15" thickBot="1" x14ac:dyDescent="0.4">
      <c r="A40" s="14" t="s">
        <v>56</v>
      </c>
      <c r="B40" s="14">
        <v>5</v>
      </c>
      <c r="C40" s="14" t="s">
        <v>15</v>
      </c>
      <c r="D40" s="14">
        <f t="shared" si="0"/>
        <v>10</v>
      </c>
      <c r="E40" s="14">
        <v>0</v>
      </c>
      <c r="F40" s="14">
        <f t="shared" si="1"/>
        <v>-10</v>
      </c>
      <c r="G40" s="15">
        <f>((22.81/2)*4)</f>
        <v>45.62</v>
      </c>
      <c r="H40" t="s">
        <v>53</v>
      </c>
      <c r="K40" s="14">
        <v>3</v>
      </c>
      <c r="L40" t="s">
        <v>15</v>
      </c>
    </row>
    <row r="41" spans="1:21" ht="15" thickTop="1" x14ac:dyDescent="0.35">
      <c r="A41" s="16" t="s">
        <v>24</v>
      </c>
      <c r="B41" s="16">
        <f>SUM(B32:B40)</f>
        <v>70</v>
      </c>
      <c r="C41" s="16"/>
      <c r="D41" s="16">
        <f t="shared" si="0"/>
        <v>140</v>
      </c>
      <c r="E41" s="16">
        <v>0</v>
      </c>
      <c r="F41" s="16">
        <f>SUM(F32:F40)</f>
        <v>-140</v>
      </c>
      <c r="G41" s="17">
        <f>SUM(G32:G40)</f>
        <v>104.66166666666666</v>
      </c>
      <c r="K41">
        <f>SUM(K31:K40)</f>
        <v>35</v>
      </c>
    </row>
    <row r="42" spans="1:21" x14ac:dyDescent="0.35">
      <c r="D42">
        <f t="shared" si="0"/>
        <v>0</v>
      </c>
      <c r="F42" t="s">
        <v>4</v>
      </c>
      <c r="H42" t="s">
        <v>4</v>
      </c>
    </row>
    <row r="43" spans="1:21" x14ac:dyDescent="0.35">
      <c r="D43">
        <f t="shared" si="0"/>
        <v>0</v>
      </c>
      <c r="F43" t="s">
        <v>4</v>
      </c>
      <c r="H43" t="s">
        <v>4</v>
      </c>
    </row>
    <row r="44" spans="1:21" x14ac:dyDescent="0.35">
      <c r="A44" s="8" t="s">
        <v>57</v>
      </c>
      <c r="B44" s="8"/>
      <c r="C44" s="8"/>
      <c r="D44">
        <f t="shared" si="0"/>
        <v>0</v>
      </c>
      <c r="F44" t="s">
        <v>4</v>
      </c>
      <c r="H44" t="s">
        <v>4</v>
      </c>
      <c r="K44" s="10" t="s">
        <v>58</v>
      </c>
    </row>
    <row r="45" spans="1:21" x14ac:dyDescent="0.35">
      <c r="A45" t="s">
        <v>59</v>
      </c>
      <c r="B45">
        <v>72</v>
      </c>
      <c r="C45" t="s">
        <v>15</v>
      </c>
      <c r="D45">
        <f t="shared" si="0"/>
        <v>144</v>
      </c>
      <c r="E45">
        <v>0</v>
      </c>
      <c r="F45">
        <f t="shared" si="1"/>
        <v>-144</v>
      </c>
      <c r="G45" s="9">
        <f>((4.5/28)*(72*16))</f>
        <v>185.14285714285717</v>
      </c>
      <c r="H45" t="s">
        <v>16</v>
      </c>
      <c r="K45">
        <v>45</v>
      </c>
      <c r="L45" t="s">
        <v>15</v>
      </c>
    </row>
    <row r="46" spans="1:21" x14ac:dyDescent="0.35">
      <c r="A46" t="s">
        <v>60</v>
      </c>
      <c r="B46">
        <v>15</v>
      </c>
      <c r="C46" t="s">
        <v>61</v>
      </c>
      <c r="D46">
        <f t="shared" si="0"/>
        <v>30</v>
      </c>
      <c r="E46">
        <v>0</v>
      </c>
      <c r="F46">
        <f t="shared" si="1"/>
        <v>-30</v>
      </c>
      <c r="G46" s="9">
        <f>1.32*15</f>
        <v>19.8</v>
      </c>
      <c r="H46" t="s">
        <v>53</v>
      </c>
      <c r="K46">
        <v>8</v>
      </c>
      <c r="L46" t="s">
        <v>61</v>
      </c>
    </row>
    <row r="47" spans="1:21" ht="15" thickBot="1" x14ac:dyDescent="0.4">
      <c r="A47" s="14" t="s">
        <v>62</v>
      </c>
      <c r="B47" s="14">
        <v>15</v>
      </c>
      <c r="C47" s="14" t="s">
        <v>15</v>
      </c>
      <c r="D47" s="14">
        <f t="shared" si="0"/>
        <v>30</v>
      </c>
      <c r="E47" s="14">
        <v>0</v>
      </c>
      <c r="F47" s="14">
        <f t="shared" si="1"/>
        <v>-30</v>
      </c>
      <c r="G47" s="15">
        <f>((24.12/51)*240)</f>
        <v>113.50588235294119</v>
      </c>
      <c r="H47" t="s">
        <v>53</v>
      </c>
      <c r="I47" t="s">
        <v>63</v>
      </c>
      <c r="K47" s="14">
        <v>8</v>
      </c>
      <c r="L47" t="s">
        <v>15</v>
      </c>
    </row>
    <row r="48" spans="1:21" ht="15" thickTop="1" x14ac:dyDescent="0.35">
      <c r="A48" s="16" t="s">
        <v>24</v>
      </c>
      <c r="B48" s="16">
        <v>87</v>
      </c>
      <c r="C48" s="16"/>
      <c r="D48" s="16" t="s">
        <v>4</v>
      </c>
      <c r="E48" s="16"/>
      <c r="F48" s="16">
        <f>SUM(F45:F47)</f>
        <v>-204</v>
      </c>
      <c r="G48" s="17">
        <f>SUM(G45:G47)</f>
        <v>318.44873949579835</v>
      </c>
    </row>
    <row r="50" spans="1:21" x14ac:dyDescent="0.35">
      <c r="A50" s="25" t="s">
        <v>64</v>
      </c>
      <c r="B50" s="25"/>
      <c r="C50" s="25"/>
      <c r="D50" t="s">
        <v>4</v>
      </c>
      <c r="F50" t="s">
        <v>4</v>
      </c>
    </row>
    <row r="51" spans="1:21" ht="15" thickBot="1" x14ac:dyDescent="0.4">
      <c r="A51" s="14" t="s">
        <v>65</v>
      </c>
      <c r="B51" s="14">
        <v>20</v>
      </c>
      <c r="C51" s="14" t="s">
        <v>15</v>
      </c>
      <c r="D51" s="14">
        <f t="shared" si="0"/>
        <v>40</v>
      </c>
      <c r="E51" s="14">
        <v>0</v>
      </c>
      <c r="F51" s="14">
        <f t="shared" si="1"/>
        <v>-40</v>
      </c>
      <c r="G51" s="15"/>
      <c r="H51" t="s">
        <v>4</v>
      </c>
    </row>
    <row r="52" spans="1:21" ht="15" thickTop="1" x14ac:dyDescent="0.35">
      <c r="A52" s="16" t="s">
        <v>24</v>
      </c>
      <c r="B52" s="16">
        <v>20</v>
      </c>
      <c r="C52" s="16"/>
      <c r="D52" s="16" t="s">
        <v>4</v>
      </c>
      <c r="E52" s="16"/>
      <c r="F52" s="16">
        <f>SUM(F51)</f>
        <v>-40</v>
      </c>
      <c r="G52" s="17"/>
      <c r="H52" t="s">
        <v>4</v>
      </c>
    </row>
    <row r="54" spans="1:21" x14ac:dyDescent="0.35">
      <c r="A54" s="8" t="s">
        <v>66</v>
      </c>
      <c r="B54" s="8"/>
      <c r="C54" s="8"/>
      <c r="D54" t="s">
        <v>4</v>
      </c>
      <c r="F54" t="s">
        <v>4</v>
      </c>
      <c r="H54" t="s">
        <v>4</v>
      </c>
      <c r="K54" s="10" t="s">
        <v>67</v>
      </c>
    </row>
    <row r="55" spans="1:21" x14ac:dyDescent="0.35">
      <c r="A55" t="s">
        <v>68</v>
      </c>
      <c r="B55">
        <v>40</v>
      </c>
      <c r="C55" t="s">
        <v>15</v>
      </c>
      <c r="D55">
        <f t="shared" si="0"/>
        <v>80</v>
      </c>
      <c r="E55">
        <v>0</v>
      </c>
      <c r="F55">
        <f t="shared" si="1"/>
        <v>-80</v>
      </c>
      <c r="G55" s="9">
        <f>((18.65/25)*40)</f>
        <v>29.84</v>
      </c>
      <c r="H55" t="s">
        <v>30</v>
      </c>
      <c r="K55">
        <v>20</v>
      </c>
      <c r="L55" t="s">
        <v>15</v>
      </c>
    </row>
    <row r="56" spans="1:21" x14ac:dyDescent="0.35">
      <c r="A56" t="s">
        <v>69</v>
      </c>
      <c r="B56">
        <v>3</v>
      </c>
      <c r="C56" t="s">
        <v>15</v>
      </c>
      <c r="D56">
        <f t="shared" si="0"/>
        <v>6</v>
      </c>
      <c r="E56">
        <v>0</v>
      </c>
      <c r="F56">
        <f t="shared" si="1"/>
        <v>-6</v>
      </c>
      <c r="G56" s="9">
        <f>((6.24/7)*3)</f>
        <v>2.6742857142857144</v>
      </c>
      <c r="H56" t="s">
        <v>30</v>
      </c>
      <c r="K56">
        <v>2</v>
      </c>
      <c r="L56" t="s">
        <v>15</v>
      </c>
      <c r="U56">
        <f>20*4.1</f>
        <v>82</v>
      </c>
    </row>
    <row r="57" spans="1:21" x14ac:dyDescent="0.35">
      <c r="A57" t="s">
        <v>70</v>
      </c>
      <c r="B57">
        <v>3</v>
      </c>
      <c r="C57" t="s">
        <v>15</v>
      </c>
      <c r="D57">
        <f t="shared" si="0"/>
        <v>6</v>
      </c>
      <c r="E57">
        <v>0</v>
      </c>
      <c r="F57">
        <f t="shared" si="1"/>
        <v>-6</v>
      </c>
      <c r="G57" s="9">
        <f>3*4</f>
        <v>12</v>
      </c>
      <c r="H57" t="s">
        <v>16</v>
      </c>
      <c r="K57">
        <v>2</v>
      </c>
      <c r="L57" t="s">
        <v>15</v>
      </c>
    </row>
    <row r="58" spans="1:21" x14ac:dyDescent="0.35">
      <c r="A58" t="s">
        <v>71</v>
      </c>
      <c r="B58">
        <v>3</v>
      </c>
      <c r="C58" t="s">
        <v>15</v>
      </c>
      <c r="D58">
        <f t="shared" si="0"/>
        <v>6</v>
      </c>
      <c r="E58">
        <v>0</v>
      </c>
      <c r="F58">
        <f t="shared" si="1"/>
        <v>-6</v>
      </c>
      <c r="G58" s="9">
        <v>3</v>
      </c>
      <c r="H58" t="s">
        <v>72</v>
      </c>
      <c r="K58">
        <v>2</v>
      </c>
      <c r="L58" t="s">
        <v>15</v>
      </c>
    </row>
    <row r="59" spans="1:21" x14ac:dyDescent="0.35">
      <c r="A59" t="s">
        <v>73</v>
      </c>
      <c r="B59">
        <v>2</v>
      </c>
      <c r="C59" t="s">
        <v>15</v>
      </c>
      <c r="D59">
        <f t="shared" si="0"/>
        <v>4</v>
      </c>
      <c r="E59">
        <v>0</v>
      </c>
      <c r="F59">
        <f t="shared" si="1"/>
        <v>-4</v>
      </c>
      <c r="G59" s="9">
        <f>1.6*2</f>
        <v>3.2</v>
      </c>
      <c r="H59" t="s">
        <v>53</v>
      </c>
      <c r="K59">
        <v>1</v>
      </c>
      <c r="L59" t="s">
        <v>15</v>
      </c>
    </row>
    <row r="60" spans="1:21" x14ac:dyDescent="0.35">
      <c r="A60" t="s">
        <v>74</v>
      </c>
      <c r="B60">
        <v>2</v>
      </c>
      <c r="C60" t="s">
        <v>15</v>
      </c>
      <c r="D60">
        <f t="shared" si="0"/>
        <v>4</v>
      </c>
      <c r="E60">
        <v>0</v>
      </c>
      <c r="F60">
        <f t="shared" si="1"/>
        <v>-4</v>
      </c>
      <c r="G60" s="9">
        <f>((4.24/12)*24)</f>
        <v>8.48</v>
      </c>
      <c r="H60" t="s">
        <v>53</v>
      </c>
      <c r="K60">
        <v>1</v>
      </c>
      <c r="L60" t="s">
        <v>15</v>
      </c>
    </row>
    <row r="61" spans="1:21" x14ac:dyDescent="0.35">
      <c r="A61" t="s">
        <v>75</v>
      </c>
      <c r="B61">
        <v>6</v>
      </c>
      <c r="C61" t="s">
        <v>15</v>
      </c>
      <c r="D61">
        <f t="shared" si="0"/>
        <v>12</v>
      </c>
      <c r="E61">
        <v>0</v>
      </c>
      <c r="F61">
        <f t="shared" si="1"/>
        <v>-12</v>
      </c>
      <c r="G61" s="9">
        <v>10.5</v>
      </c>
      <c r="H61" t="s">
        <v>16</v>
      </c>
      <c r="K61">
        <v>3</v>
      </c>
      <c r="L61" t="s">
        <v>15</v>
      </c>
    </row>
    <row r="62" spans="1:21" ht="15" thickBot="1" x14ac:dyDescent="0.4">
      <c r="A62" s="14" t="s">
        <v>76</v>
      </c>
      <c r="B62" s="14">
        <v>1</v>
      </c>
      <c r="C62" s="14" t="s">
        <v>15</v>
      </c>
      <c r="D62" s="14">
        <f t="shared" si="0"/>
        <v>2</v>
      </c>
      <c r="E62" s="14">
        <v>0</v>
      </c>
      <c r="F62" s="14">
        <f t="shared" si="1"/>
        <v>-2</v>
      </c>
      <c r="G62" s="15">
        <f>((0.52/3)*16)</f>
        <v>2.7733333333333334</v>
      </c>
      <c r="H62" t="s">
        <v>53</v>
      </c>
      <c r="K62" s="14">
        <v>1</v>
      </c>
      <c r="L62" t="s">
        <v>15</v>
      </c>
    </row>
    <row r="63" spans="1:21" ht="15" thickTop="1" x14ac:dyDescent="0.35">
      <c r="A63" s="16" t="s">
        <v>24</v>
      </c>
      <c r="B63" s="16">
        <f>SUM(B55:B62)</f>
        <v>60</v>
      </c>
      <c r="C63" s="16"/>
      <c r="D63" s="16" t="s">
        <v>4</v>
      </c>
      <c r="E63" s="16"/>
      <c r="F63" s="16">
        <f>SUM(F55:F62)</f>
        <v>-120</v>
      </c>
      <c r="G63" s="17">
        <f>SUM(G55:G62)</f>
        <v>72.467619047619053</v>
      </c>
    </row>
    <row r="64" spans="1:21" x14ac:dyDescent="0.35">
      <c r="D64" t="s">
        <v>4</v>
      </c>
      <c r="F64" t="s">
        <v>4</v>
      </c>
      <c r="H64" t="s">
        <v>4</v>
      </c>
    </row>
    <row r="65" spans="1:16" x14ac:dyDescent="0.35">
      <c r="A65" s="8" t="s">
        <v>77</v>
      </c>
      <c r="B65" s="8"/>
      <c r="C65" s="8"/>
      <c r="D65" t="s">
        <v>4</v>
      </c>
      <c r="F65" t="s">
        <v>4</v>
      </c>
      <c r="G65" s="9" t="s">
        <v>30</v>
      </c>
      <c r="H65" t="s">
        <v>4</v>
      </c>
      <c r="K65" s="10" t="s">
        <v>77</v>
      </c>
    </row>
    <row r="66" spans="1:16" x14ac:dyDescent="0.35">
      <c r="A66" t="s">
        <v>78</v>
      </c>
      <c r="B66">
        <v>5</v>
      </c>
      <c r="C66" t="s">
        <v>15</v>
      </c>
      <c r="D66">
        <f t="shared" ref="D66:D114" si="2">B66*2</f>
        <v>10</v>
      </c>
      <c r="E66">
        <v>0</v>
      </c>
      <c r="F66">
        <f t="shared" ref="F66:F114" si="3">E66-(B66*2)</f>
        <v>-10</v>
      </c>
      <c r="G66" s="9">
        <f>((1.98/4)*5)</f>
        <v>2.4750000000000001</v>
      </c>
      <c r="H66" t="s">
        <v>30</v>
      </c>
      <c r="K66">
        <v>3</v>
      </c>
      <c r="L66" t="s">
        <v>15</v>
      </c>
    </row>
    <row r="67" spans="1:16" x14ac:dyDescent="0.35">
      <c r="A67" t="s">
        <v>79</v>
      </c>
      <c r="B67">
        <v>1</v>
      </c>
      <c r="C67" t="s">
        <v>15</v>
      </c>
      <c r="D67">
        <f t="shared" si="2"/>
        <v>2</v>
      </c>
      <c r="E67">
        <v>0</v>
      </c>
      <c r="F67">
        <f t="shared" si="3"/>
        <v>-2</v>
      </c>
      <c r="G67" s="9">
        <f>6.58/2</f>
        <v>3.29</v>
      </c>
      <c r="H67" t="s">
        <v>30</v>
      </c>
      <c r="K67">
        <v>1</v>
      </c>
      <c r="L67" t="s">
        <v>15</v>
      </c>
    </row>
    <row r="68" spans="1:16" x14ac:dyDescent="0.35">
      <c r="A68" t="s">
        <v>80</v>
      </c>
      <c r="B68">
        <v>1</v>
      </c>
      <c r="C68" t="s">
        <v>15</v>
      </c>
      <c r="D68">
        <f t="shared" si="2"/>
        <v>2</v>
      </c>
      <c r="E68">
        <v>0</v>
      </c>
      <c r="F68">
        <f t="shared" si="3"/>
        <v>-2</v>
      </c>
      <c r="G68" s="9">
        <f>8.92/15</f>
        <v>0.59466666666666668</v>
      </c>
      <c r="H68" t="s">
        <v>30</v>
      </c>
      <c r="K68">
        <v>1</v>
      </c>
      <c r="L68" t="s">
        <v>15</v>
      </c>
    </row>
    <row r="69" spans="1:16" x14ac:dyDescent="0.35">
      <c r="A69" t="s">
        <v>81</v>
      </c>
      <c r="B69">
        <v>1</v>
      </c>
      <c r="C69" t="s">
        <v>15</v>
      </c>
      <c r="D69">
        <f t="shared" si="2"/>
        <v>2</v>
      </c>
      <c r="E69">
        <v>0</v>
      </c>
      <c r="F69">
        <f t="shared" si="3"/>
        <v>-2</v>
      </c>
      <c r="G69" s="9">
        <f>4.98/2</f>
        <v>2.4900000000000002</v>
      </c>
      <c r="H69" t="s">
        <v>30</v>
      </c>
      <c r="K69">
        <v>1</v>
      </c>
      <c r="L69" t="s">
        <v>15</v>
      </c>
    </row>
    <row r="70" spans="1:16" ht="15" thickBot="1" x14ac:dyDescent="0.4">
      <c r="A70" s="14" t="s">
        <v>82</v>
      </c>
      <c r="B70" s="14">
        <v>1</v>
      </c>
      <c r="C70" s="14" t="s">
        <v>83</v>
      </c>
      <c r="D70" s="14">
        <f t="shared" si="2"/>
        <v>2</v>
      </c>
      <c r="E70" s="14">
        <v>0</v>
      </c>
      <c r="F70" s="14">
        <f t="shared" si="3"/>
        <v>-2</v>
      </c>
      <c r="G70" s="15">
        <f>5.68/2</f>
        <v>2.84</v>
      </c>
      <c r="H70" t="s">
        <v>30</v>
      </c>
      <c r="K70" s="14">
        <v>1</v>
      </c>
      <c r="L70" t="s">
        <v>83</v>
      </c>
    </row>
    <row r="71" spans="1:16" ht="15" thickTop="1" x14ac:dyDescent="0.35">
      <c r="A71" s="16" t="s">
        <v>24</v>
      </c>
      <c r="B71" s="16"/>
      <c r="C71" s="16"/>
      <c r="D71" s="16" t="s">
        <v>4</v>
      </c>
      <c r="E71" s="16"/>
      <c r="F71" s="16">
        <f>SUM(F66:F70)</f>
        <v>-18</v>
      </c>
      <c r="G71" s="17">
        <f>SUM(G66:G70)</f>
        <v>11.689666666666668</v>
      </c>
    </row>
    <row r="72" spans="1:16" x14ac:dyDescent="0.35">
      <c r="D72" t="s">
        <v>4</v>
      </c>
      <c r="F72" t="s">
        <v>4</v>
      </c>
      <c r="H72" t="s">
        <v>4</v>
      </c>
    </row>
    <row r="73" spans="1:16" x14ac:dyDescent="0.35">
      <c r="A73" s="8" t="s">
        <v>84</v>
      </c>
      <c r="B73" s="8"/>
      <c r="C73" s="8"/>
      <c r="D73" t="s">
        <v>4</v>
      </c>
      <c r="F73" t="s">
        <v>4</v>
      </c>
      <c r="H73" t="s">
        <v>4</v>
      </c>
      <c r="K73" s="26" t="s">
        <v>85</v>
      </c>
      <c r="L73" s="26"/>
      <c r="M73" s="26"/>
      <c r="N73" s="26"/>
    </row>
    <row r="74" spans="1:16" x14ac:dyDescent="0.35">
      <c r="A74" s="8" t="s">
        <v>17</v>
      </c>
      <c r="B74" s="8">
        <v>320</v>
      </c>
      <c r="C74" s="8" t="s">
        <v>86</v>
      </c>
      <c r="D74">
        <f t="shared" si="2"/>
        <v>640</v>
      </c>
      <c r="F74">
        <f t="shared" si="3"/>
        <v>-640</v>
      </c>
      <c r="H74" s="32" t="s">
        <v>138</v>
      </c>
      <c r="K74" t="s">
        <v>4</v>
      </c>
      <c r="L74" t="s">
        <v>4</v>
      </c>
      <c r="P74" t="s">
        <v>4</v>
      </c>
    </row>
    <row r="75" spans="1:16" x14ac:dyDescent="0.35">
      <c r="A75" t="s">
        <v>87</v>
      </c>
      <c r="B75">
        <v>40</v>
      </c>
      <c r="C75" t="s">
        <v>37</v>
      </c>
      <c r="D75">
        <f t="shared" si="2"/>
        <v>80</v>
      </c>
      <c r="E75">
        <v>0</v>
      </c>
      <c r="F75">
        <f t="shared" si="3"/>
        <v>-80</v>
      </c>
      <c r="H75" s="33"/>
    </row>
    <row r="76" spans="1:16" x14ac:dyDescent="0.35">
      <c r="A76" t="s">
        <v>88</v>
      </c>
      <c r="B76">
        <v>3</v>
      </c>
      <c r="C76" t="s">
        <v>37</v>
      </c>
      <c r="D76">
        <f t="shared" si="2"/>
        <v>6</v>
      </c>
      <c r="E76">
        <v>0</v>
      </c>
      <c r="F76">
        <f t="shared" si="3"/>
        <v>-6</v>
      </c>
      <c r="H76" s="33"/>
    </row>
    <row r="77" spans="1:16" x14ac:dyDescent="0.35">
      <c r="A77" t="s">
        <v>89</v>
      </c>
      <c r="B77">
        <v>30</v>
      </c>
      <c r="C77" t="s">
        <v>37</v>
      </c>
      <c r="D77">
        <f t="shared" si="2"/>
        <v>60</v>
      </c>
      <c r="E77">
        <v>0</v>
      </c>
      <c r="F77">
        <f t="shared" si="3"/>
        <v>-60</v>
      </c>
      <c r="H77" s="33"/>
    </row>
    <row r="78" spans="1:16" x14ac:dyDescent="0.35">
      <c r="A78" t="s">
        <v>90</v>
      </c>
      <c r="B78">
        <v>12</v>
      </c>
      <c r="C78" t="s">
        <v>37</v>
      </c>
      <c r="D78">
        <f t="shared" si="2"/>
        <v>24</v>
      </c>
      <c r="E78">
        <v>0</v>
      </c>
      <c r="F78">
        <f t="shared" si="3"/>
        <v>-24</v>
      </c>
      <c r="H78" s="33"/>
    </row>
    <row r="79" spans="1:16" x14ac:dyDescent="0.35">
      <c r="A79" t="s">
        <v>91</v>
      </c>
      <c r="B79">
        <v>15</v>
      </c>
      <c r="C79" t="s">
        <v>37</v>
      </c>
      <c r="D79">
        <f t="shared" si="2"/>
        <v>30</v>
      </c>
      <c r="E79">
        <v>0</v>
      </c>
      <c r="F79">
        <f t="shared" si="3"/>
        <v>-30</v>
      </c>
      <c r="H79" s="33"/>
    </row>
    <row r="80" spans="1:16" x14ac:dyDescent="0.35">
      <c r="A80" t="s">
        <v>92</v>
      </c>
      <c r="B80">
        <v>3</v>
      </c>
      <c r="C80" t="s">
        <v>37</v>
      </c>
      <c r="D80">
        <f t="shared" si="2"/>
        <v>6</v>
      </c>
      <c r="E80">
        <v>0</v>
      </c>
      <c r="F80">
        <f t="shared" si="3"/>
        <v>-6</v>
      </c>
      <c r="H80" s="33"/>
    </row>
    <row r="81" spans="1:13" x14ac:dyDescent="0.35">
      <c r="A81" t="s">
        <v>93</v>
      </c>
      <c r="B81">
        <v>20</v>
      </c>
      <c r="C81" t="s">
        <v>37</v>
      </c>
      <c r="D81">
        <f t="shared" si="2"/>
        <v>40</v>
      </c>
      <c r="E81">
        <v>0</v>
      </c>
      <c r="F81">
        <f t="shared" si="3"/>
        <v>-40</v>
      </c>
      <c r="H81" s="33"/>
    </row>
    <row r="82" spans="1:13" x14ac:dyDescent="0.35">
      <c r="A82" t="s">
        <v>94</v>
      </c>
      <c r="B82">
        <v>24</v>
      </c>
      <c r="C82" t="s">
        <v>37</v>
      </c>
      <c r="D82">
        <f t="shared" si="2"/>
        <v>48</v>
      </c>
      <c r="E82">
        <v>0</v>
      </c>
      <c r="F82">
        <f t="shared" si="3"/>
        <v>-48</v>
      </c>
      <c r="H82" s="34"/>
    </row>
    <row r="83" spans="1:13" x14ac:dyDescent="0.35">
      <c r="A83" t="s">
        <v>95</v>
      </c>
      <c r="B83">
        <v>24</v>
      </c>
      <c r="C83" t="s">
        <v>37</v>
      </c>
      <c r="D83">
        <f t="shared" si="2"/>
        <v>48</v>
      </c>
      <c r="E83">
        <v>0</v>
      </c>
      <c r="F83">
        <f t="shared" si="3"/>
        <v>-48</v>
      </c>
    </row>
    <row r="84" spans="1:13" x14ac:dyDescent="0.35">
      <c r="A84" t="s">
        <v>96</v>
      </c>
      <c r="B84">
        <v>50</v>
      </c>
      <c r="C84" t="s">
        <v>37</v>
      </c>
      <c r="D84">
        <f t="shared" si="2"/>
        <v>100</v>
      </c>
      <c r="E84">
        <v>0</v>
      </c>
      <c r="F84">
        <f t="shared" si="3"/>
        <v>-100</v>
      </c>
    </row>
    <row r="85" spans="1:13" x14ac:dyDescent="0.35">
      <c r="A85" t="s">
        <v>97</v>
      </c>
      <c r="B85">
        <v>34</v>
      </c>
      <c r="C85" t="s">
        <v>37</v>
      </c>
      <c r="D85">
        <f t="shared" si="2"/>
        <v>68</v>
      </c>
      <c r="E85">
        <v>0</v>
      </c>
      <c r="F85">
        <f t="shared" si="3"/>
        <v>-68</v>
      </c>
    </row>
    <row r="86" spans="1:13" x14ac:dyDescent="0.35">
      <c r="A86" t="s">
        <v>98</v>
      </c>
      <c r="B86">
        <v>1</v>
      </c>
      <c r="C86" t="s">
        <v>37</v>
      </c>
      <c r="D86">
        <f t="shared" si="2"/>
        <v>2</v>
      </c>
      <c r="E86">
        <v>0</v>
      </c>
      <c r="F86">
        <f t="shared" si="3"/>
        <v>-2</v>
      </c>
    </row>
    <row r="87" spans="1:13" x14ac:dyDescent="0.35">
      <c r="A87" t="s">
        <v>99</v>
      </c>
      <c r="B87">
        <v>30</v>
      </c>
      <c r="C87" t="s">
        <v>15</v>
      </c>
      <c r="D87">
        <f t="shared" si="2"/>
        <v>60</v>
      </c>
    </row>
    <row r="88" spans="1:13" x14ac:dyDescent="0.35">
      <c r="A88" t="s">
        <v>100</v>
      </c>
      <c r="B88">
        <v>5</v>
      </c>
      <c r="C88" t="s">
        <v>37</v>
      </c>
      <c r="D88">
        <f t="shared" si="2"/>
        <v>10</v>
      </c>
      <c r="E88">
        <v>0</v>
      </c>
      <c r="F88">
        <f t="shared" si="3"/>
        <v>-10</v>
      </c>
    </row>
    <row r="89" spans="1:13" x14ac:dyDescent="0.35">
      <c r="A89" t="s">
        <v>101</v>
      </c>
      <c r="B89">
        <v>20</v>
      </c>
      <c r="C89" t="s">
        <v>37</v>
      </c>
      <c r="D89">
        <f t="shared" si="2"/>
        <v>40</v>
      </c>
      <c r="E89">
        <v>0</v>
      </c>
      <c r="F89">
        <f t="shared" si="3"/>
        <v>-40</v>
      </c>
    </row>
    <row r="90" spans="1:13" ht="15" thickBot="1" x14ac:dyDescent="0.4">
      <c r="A90" s="14" t="s">
        <v>102</v>
      </c>
      <c r="B90" s="14">
        <v>9</v>
      </c>
      <c r="C90" s="14" t="s">
        <v>37</v>
      </c>
      <c r="D90" s="14">
        <f t="shared" si="2"/>
        <v>18</v>
      </c>
      <c r="E90" s="14">
        <v>0</v>
      </c>
      <c r="F90" s="14">
        <f t="shared" si="3"/>
        <v>-18</v>
      </c>
      <c r="G90" s="15"/>
    </row>
    <row r="91" spans="1:13" ht="15" thickTop="1" x14ac:dyDescent="0.35">
      <c r="A91" s="16" t="s">
        <v>24</v>
      </c>
      <c r="B91" s="16">
        <f>SUM(B75:B90)</f>
        <v>320</v>
      </c>
      <c r="C91" s="16"/>
      <c r="D91" s="16">
        <f t="shared" si="2"/>
        <v>640</v>
      </c>
      <c r="E91" s="16"/>
      <c r="F91" s="16">
        <f t="shared" si="3"/>
        <v>-640</v>
      </c>
      <c r="G91" s="17"/>
    </row>
    <row r="92" spans="1:13" x14ac:dyDescent="0.35">
      <c r="D92" t="s">
        <v>4</v>
      </c>
      <c r="F92" t="s">
        <v>4</v>
      </c>
      <c r="H92" t="s">
        <v>4</v>
      </c>
    </row>
    <row r="93" spans="1:13" x14ac:dyDescent="0.35">
      <c r="A93" s="8" t="s">
        <v>103</v>
      </c>
      <c r="B93" s="8">
        <v>90</v>
      </c>
      <c r="C93" s="8" t="s">
        <v>15</v>
      </c>
      <c r="D93">
        <f t="shared" si="2"/>
        <v>180</v>
      </c>
      <c r="F93">
        <f t="shared" si="3"/>
        <v>-180</v>
      </c>
      <c r="H93" t="s">
        <v>4</v>
      </c>
      <c r="K93" s="27" t="s">
        <v>104</v>
      </c>
      <c r="L93" s="27"/>
      <c r="M93" t="s">
        <v>4</v>
      </c>
    </row>
    <row r="94" spans="1:13" x14ac:dyDescent="0.35">
      <c r="A94" t="s">
        <v>105</v>
      </c>
      <c r="B94">
        <v>10</v>
      </c>
      <c r="C94" t="s">
        <v>15</v>
      </c>
      <c r="D94">
        <f t="shared" si="2"/>
        <v>20</v>
      </c>
      <c r="E94">
        <v>0</v>
      </c>
      <c r="F94">
        <f t="shared" si="3"/>
        <v>-20</v>
      </c>
      <c r="G94" s="9">
        <f>((11.25/1)*10)</f>
        <v>112.5</v>
      </c>
      <c r="H94" t="s">
        <v>16</v>
      </c>
      <c r="K94" t="s">
        <v>4</v>
      </c>
      <c r="L94" t="s">
        <v>4</v>
      </c>
    </row>
    <row r="95" spans="1:13" x14ac:dyDescent="0.35">
      <c r="A95" t="s">
        <v>106</v>
      </c>
      <c r="B95">
        <v>3</v>
      </c>
      <c r="C95" t="s">
        <v>15</v>
      </c>
      <c r="D95">
        <f t="shared" si="2"/>
        <v>6</v>
      </c>
      <c r="E95">
        <v>0</v>
      </c>
      <c r="F95">
        <f t="shared" si="3"/>
        <v>-6</v>
      </c>
      <c r="H95" t="s">
        <v>72</v>
      </c>
    </row>
    <row r="96" spans="1:13" x14ac:dyDescent="0.35">
      <c r="A96" t="s">
        <v>107</v>
      </c>
      <c r="B96">
        <v>3</v>
      </c>
      <c r="C96" t="s">
        <v>15</v>
      </c>
      <c r="D96">
        <f t="shared" si="2"/>
        <v>6</v>
      </c>
      <c r="E96">
        <v>0</v>
      </c>
      <c r="F96">
        <f t="shared" si="3"/>
        <v>-6</v>
      </c>
      <c r="G96" s="9">
        <f>((21.48/64)*48)</f>
        <v>16.11</v>
      </c>
      <c r="H96" t="s">
        <v>30</v>
      </c>
      <c r="I96" t="s">
        <v>108</v>
      </c>
    </row>
    <row r="97" spans="1:15" x14ac:dyDescent="0.35">
      <c r="A97" t="s">
        <v>109</v>
      </c>
      <c r="B97">
        <v>3</v>
      </c>
      <c r="C97" t="s">
        <v>15</v>
      </c>
      <c r="D97">
        <f t="shared" si="2"/>
        <v>6</v>
      </c>
      <c r="E97">
        <v>0</v>
      </c>
      <c r="F97">
        <f t="shared" si="3"/>
        <v>-6</v>
      </c>
      <c r="G97" s="9">
        <f>((7.62/48)*48)</f>
        <v>7.62</v>
      </c>
      <c r="H97" t="s">
        <v>30</v>
      </c>
    </row>
    <row r="98" spans="1:15" x14ac:dyDescent="0.35">
      <c r="A98" t="s">
        <v>110</v>
      </c>
      <c r="B98">
        <v>2</v>
      </c>
      <c r="C98" t="s">
        <v>15</v>
      </c>
      <c r="D98">
        <f t="shared" si="2"/>
        <v>4</v>
      </c>
      <c r="E98">
        <v>0</v>
      </c>
      <c r="F98">
        <f t="shared" si="3"/>
        <v>-4</v>
      </c>
      <c r="G98" s="9">
        <f>((1.25/0.6)*16)</f>
        <v>33.333333333333336</v>
      </c>
      <c r="H98" t="s">
        <v>72</v>
      </c>
    </row>
    <row r="99" spans="1:15" x14ac:dyDescent="0.35">
      <c r="A99" t="s">
        <v>111</v>
      </c>
      <c r="B99">
        <v>3</v>
      </c>
      <c r="C99" t="s">
        <v>15</v>
      </c>
      <c r="D99">
        <f t="shared" si="2"/>
        <v>6</v>
      </c>
      <c r="E99">
        <v>0</v>
      </c>
      <c r="F99">
        <f t="shared" si="3"/>
        <v>-6</v>
      </c>
      <c r="G99" s="9">
        <f>((13.98/24)*48)</f>
        <v>27.96</v>
      </c>
      <c r="H99" t="s">
        <v>30</v>
      </c>
    </row>
    <row r="100" spans="1:15" x14ac:dyDescent="0.35">
      <c r="A100" t="s">
        <v>93</v>
      </c>
      <c r="B100">
        <v>3</v>
      </c>
      <c r="C100" t="s">
        <v>15</v>
      </c>
      <c r="D100">
        <f t="shared" si="2"/>
        <v>6</v>
      </c>
      <c r="E100">
        <v>0</v>
      </c>
      <c r="F100">
        <f t="shared" si="3"/>
        <v>-6</v>
      </c>
      <c r="G100" s="9">
        <f>((1.25/0.6)*48)</f>
        <v>100</v>
      </c>
      <c r="H100" t="s">
        <v>72</v>
      </c>
    </row>
    <row r="101" spans="1:15" x14ac:dyDescent="0.35">
      <c r="A101" t="s">
        <v>112</v>
      </c>
      <c r="B101">
        <v>3</v>
      </c>
      <c r="C101" t="s">
        <v>15</v>
      </c>
      <c r="D101">
        <f t="shared" si="2"/>
        <v>6</v>
      </c>
      <c r="E101">
        <v>0</v>
      </c>
      <c r="F101">
        <f t="shared" si="3"/>
        <v>-6</v>
      </c>
      <c r="G101" s="9">
        <f>((6.98/40)*48)</f>
        <v>8.3760000000000012</v>
      </c>
      <c r="H101" t="s">
        <v>30</v>
      </c>
    </row>
    <row r="102" spans="1:15" x14ac:dyDescent="0.35">
      <c r="A102" t="s">
        <v>113</v>
      </c>
      <c r="B102">
        <v>4</v>
      </c>
      <c r="C102" t="s">
        <v>15</v>
      </c>
      <c r="D102">
        <f t="shared" si="2"/>
        <v>8</v>
      </c>
      <c r="E102">
        <v>0</v>
      </c>
      <c r="F102">
        <f t="shared" si="3"/>
        <v>-8</v>
      </c>
      <c r="G102" s="9">
        <f>((9.78/60)*64)</f>
        <v>10.431999999999999</v>
      </c>
      <c r="H102" t="s">
        <v>30</v>
      </c>
    </row>
    <row r="103" spans="1:15" x14ac:dyDescent="0.35">
      <c r="A103" t="s">
        <v>114</v>
      </c>
      <c r="B103">
        <v>4</v>
      </c>
      <c r="C103" t="s">
        <v>15</v>
      </c>
      <c r="D103">
        <f t="shared" si="2"/>
        <v>8</v>
      </c>
      <c r="E103">
        <v>0</v>
      </c>
      <c r="F103">
        <f t="shared" si="3"/>
        <v>-8</v>
      </c>
      <c r="G103" s="9">
        <f>((8.98/64)*64)</f>
        <v>8.98</v>
      </c>
      <c r="H103" t="s">
        <v>30</v>
      </c>
    </row>
    <row r="104" spans="1:15" x14ac:dyDescent="0.35">
      <c r="A104" t="s">
        <v>115</v>
      </c>
      <c r="B104">
        <v>15</v>
      </c>
      <c r="C104" t="s">
        <v>15</v>
      </c>
      <c r="D104">
        <f t="shared" si="2"/>
        <v>30</v>
      </c>
      <c r="E104">
        <v>0</v>
      </c>
      <c r="F104">
        <f t="shared" si="3"/>
        <v>-30</v>
      </c>
      <c r="G104" s="9">
        <f>((9/2.1)*15)</f>
        <v>64.285714285714278</v>
      </c>
      <c r="H104" t="s">
        <v>16</v>
      </c>
    </row>
    <row r="105" spans="1:15" x14ac:dyDescent="0.35">
      <c r="A105" t="s">
        <v>116</v>
      </c>
      <c r="B105">
        <v>4</v>
      </c>
      <c r="C105" t="s">
        <v>15</v>
      </c>
      <c r="D105">
        <f t="shared" si="2"/>
        <v>8</v>
      </c>
      <c r="E105">
        <v>0</v>
      </c>
      <c r="F105">
        <f t="shared" si="3"/>
        <v>-8</v>
      </c>
    </row>
    <row r="106" spans="1:15" x14ac:dyDescent="0.35">
      <c r="A106" t="s">
        <v>117</v>
      </c>
      <c r="B106">
        <v>10</v>
      </c>
      <c r="C106" t="s">
        <v>15</v>
      </c>
      <c r="D106">
        <f t="shared" si="2"/>
        <v>20</v>
      </c>
      <c r="E106">
        <v>0</v>
      </c>
      <c r="F106">
        <f t="shared" si="3"/>
        <v>-20</v>
      </c>
      <c r="G106" s="9">
        <f>((8/2.1)*10)</f>
        <v>38.095238095238095</v>
      </c>
      <c r="H106" t="s">
        <v>16</v>
      </c>
    </row>
    <row r="107" spans="1:15" x14ac:dyDescent="0.35">
      <c r="A107" t="s">
        <v>98</v>
      </c>
      <c r="B107">
        <v>8</v>
      </c>
      <c r="C107" t="s">
        <v>15</v>
      </c>
      <c r="D107">
        <f t="shared" si="2"/>
        <v>16</v>
      </c>
      <c r="E107">
        <v>0</v>
      </c>
      <c r="F107">
        <f t="shared" si="3"/>
        <v>-16</v>
      </c>
    </row>
    <row r="108" spans="1:15" ht="15" thickBot="1" x14ac:dyDescent="0.4">
      <c r="A108" s="14" t="s">
        <v>99</v>
      </c>
      <c r="B108" s="14">
        <v>15</v>
      </c>
      <c r="C108" s="14" t="s">
        <v>15</v>
      </c>
      <c r="D108" s="14">
        <f t="shared" si="2"/>
        <v>30</v>
      </c>
      <c r="E108" s="14">
        <v>0</v>
      </c>
      <c r="F108" s="14">
        <f t="shared" si="3"/>
        <v>-30</v>
      </c>
      <c r="G108" s="15">
        <f>((4.25/28)*(15*16))</f>
        <v>36.428571428571423</v>
      </c>
      <c r="H108" t="s">
        <v>16</v>
      </c>
    </row>
    <row r="109" spans="1:15" ht="15" thickTop="1" x14ac:dyDescent="0.35">
      <c r="A109" s="16" t="s">
        <v>24</v>
      </c>
      <c r="B109" s="16">
        <f>SUM(B94:B108)</f>
        <v>90</v>
      </c>
      <c r="C109" s="16"/>
      <c r="D109" s="16">
        <f t="shared" si="2"/>
        <v>180</v>
      </c>
      <c r="E109" s="16"/>
      <c r="F109" s="16">
        <f t="shared" si="3"/>
        <v>-180</v>
      </c>
      <c r="G109" s="20">
        <f>SUM(G94:G108)</f>
        <v>464.12085714285718</v>
      </c>
    </row>
    <row r="110" spans="1:15" x14ac:dyDescent="0.35">
      <c r="D110" t="s">
        <v>4</v>
      </c>
      <c r="F110" t="s">
        <v>4</v>
      </c>
    </row>
    <row r="111" spans="1:15" x14ac:dyDescent="0.35">
      <c r="A111" s="8" t="s">
        <v>118</v>
      </c>
      <c r="B111" s="8"/>
      <c r="C111" s="8"/>
      <c r="D111" t="s">
        <v>4</v>
      </c>
      <c r="F111" t="s">
        <v>4</v>
      </c>
      <c r="K111" s="10" t="s">
        <v>119</v>
      </c>
    </row>
    <row r="112" spans="1:15" x14ac:dyDescent="0.35">
      <c r="A112" t="s">
        <v>120</v>
      </c>
      <c r="B112">
        <v>183</v>
      </c>
      <c r="C112" t="s">
        <v>121</v>
      </c>
      <c r="D112">
        <f t="shared" si="2"/>
        <v>366</v>
      </c>
      <c r="E112">
        <v>0</v>
      </c>
      <c r="F112">
        <f t="shared" si="3"/>
        <v>-366</v>
      </c>
      <c r="N112" t="s">
        <v>4</v>
      </c>
      <c r="O112" t="s">
        <v>4</v>
      </c>
    </row>
    <row r="113" spans="1:15" x14ac:dyDescent="0.35">
      <c r="A113" t="s">
        <v>122</v>
      </c>
      <c r="B113">
        <v>1</v>
      </c>
      <c r="C113" t="s">
        <v>121</v>
      </c>
      <c r="D113">
        <f t="shared" si="2"/>
        <v>2</v>
      </c>
      <c r="E113">
        <v>0</v>
      </c>
      <c r="F113">
        <f t="shared" si="3"/>
        <v>-2</v>
      </c>
      <c r="G113" s="9">
        <v>2</v>
      </c>
      <c r="H113" t="s">
        <v>32</v>
      </c>
      <c r="K113" s="10" t="s">
        <v>123</v>
      </c>
      <c r="N113" t="s">
        <v>4</v>
      </c>
      <c r="O113" t="s">
        <v>4</v>
      </c>
    </row>
    <row r="114" spans="1:15" ht="15" thickBot="1" x14ac:dyDescent="0.4">
      <c r="A114" s="14" t="s">
        <v>124</v>
      </c>
      <c r="B114" s="14">
        <v>365</v>
      </c>
      <c r="C114" s="14" t="s">
        <v>125</v>
      </c>
      <c r="D114" s="14">
        <f t="shared" si="2"/>
        <v>730</v>
      </c>
      <c r="E114" s="14">
        <v>0</v>
      </c>
      <c r="F114" s="14">
        <f t="shared" si="3"/>
        <v>-730</v>
      </c>
      <c r="G114" s="15">
        <f>((8.49/50*365))</f>
        <v>61.977000000000004</v>
      </c>
      <c r="H114" t="s">
        <v>126</v>
      </c>
    </row>
    <row r="115" spans="1:15" ht="15" thickTop="1" x14ac:dyDescent="0.35">
      <c r="A115" s="16"/>
      <c r="B115" s="16"/>
      <c r="C115" s="16"/>
      <c r="D115" s="16"/>
      <c r="E115" s="16"/>
      <c r="F115" s="16">
        <f>SUM(F112:F114)</f>
        <v>-1098</v>
      </c>
      <c r="G115" s="16">
        <f>SUM(G112:G114)</f>
        <v>63.977000000000004</v>
      </c>
    </row>
    <row r="119" spans="1:15" x14ac:dyDescent="0.35">
      <c r="F119" t="s">
        <v>127</v>
      </c>
      <c r="G119" s="9">
        <f>G115+G109+G71+G63+G52+G48+G41+G28+G20+G13</f>
        <v>1519.1489576666827</v>
      </c>
      <c r="H119" t="s">
        <v>128</v>
      </c>
    </row>
    <row r="121" spans="1:15" x14ac:dyDescent="0.35">
      <c r="F121" t="s">
        <v>129</v>
      </c>
      <c r="G121" s="9">
        <f>G119/12</f>
        <v>126.59574647222355</v>
      </c>
      <c r="H121" t="s">
        <v>128</v>
      </c>
    </row>
    <row r="122" spans="1:15" x14ac:dyDescent="0.35">
      <c r="F122" t="s">
        <v>130</v>
      </c>
      <c r="G122" s="9">
        <f>G119/52</f>
        <v>29.214403032051589</v>
      </c>
      <c r="H122" t="s">
        <v>128</v>
      </c>
    </row>
    <row r="134" spans="1:1" x14ac:dyDescent="0.35">
      <c r="A134" t="s">
        <v>131</v>
      </c>
    </row>
    <row r="135" spans="1:1" x14ac:dyDescent="0.35">
      <c r="A135" t="s">
        <v>132</v>
      </c>
    </row>
    <row r="136" spans="1:1" x14ac:dyDescent="0.35">
      <c r="A136" t="s">
        <v>133</v>
      </c>
    </row>
  </sheetData>
  <mergeCells count="9">
    <mergeCell ref="K93:L93"/>
    <mergeCell ref="G4:J4"/>
    <mergeCell ref="K17:O17"/>
    <mergeCell ref="H74:H82"/>
    <mergeCell ref="F1:M1"/>
    <mergeCell ref="F3:K3"/>
    <mergeCell ref="B30:F30"/>
    <mergeCell ref="A50:C50"/>
    <mergeCell ref="K73:N7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Pratt,Joyce</dc:creator>
  <cp:lastModifiedBy>Sarah Smith</cp:lastModifiedBy>
  <dcterms:created xsi:type="dcterms:W3CDTF">2022-10-28T19:33:43Z</dcterms:created>
  <dcterms:modified xsi:type="dcterms:W3CDTF">2022-10-31T03:05:29Z</dcterms:modified>
</cp:coreProperties>
</file>