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xr:revisionPtr revIDLastSave="0" documentId="13_ncr:1_{1A47A3EC-7E36-49B7-A149-DC94D5B3BE37}" xr6:coauthVersionLast="47" xr6:coauthVersionMax="47" xr10:uidLastSave="{00000000-0000-0000-0000-000000000000}"/>
  <bookViews>
    <workbookView xWindow="8310" yWindow="210" windowWidth="11895" windowHeight="14775" xr2:uid="{00000000-000D-0000-FFFF-FFFF00000000}"/>
  </bookViews>
  <sheets>
    <sheet name="Budget Overview" sheetId="1" r:id="rId1"/>
    <sheet name="Admin WS 6065" sheetId="2" r:id="rId2"/>
    <sheet name="Public Wks WS 6071" sheetId="3" r:id="rId3"/>
    <sheet name="IPD WS 6075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6" i="4" l="1"/>
  <c r="E26" i="4" s="1"/>
  <c r="F26" i="4" s="1"/>
  <c r="D25" i="4"/>
  <c r="E25" i="4" s="1"/>
  <c r="F25" i="4" s="1"/>
  <c r="D24" i="4"/>
  <c r="E24" i="4" s="1"/>
  <c r="F24" i="4" s="1"/>
  <c r="D23" i="4"/>
  <c r="E23" i="4" s="1"/>
  <c r="F23" i="4" s="1"/>
  <c r="F27" i="4" s="1"/>
  <c r="F29" i="4" s="1"/>
  <c r="D16" i="4"/>
  <c r="E16" i="4" s="1"/>
  <c r="D15" i="4"/>
  <c r="E15" i="4" s="1"/>
  <c r="F15" i="4" s="1"/>
  <c r="D14" i="4"/>
  <c r="E14" i="4" s="1"/>
  <c r="F14" i="4" s="1"/>
  <c r="D13" i="4"/>
  <c r="E13" i="4" s="1"/>
  <c r="D12" i="4"/>
  <c r="E12" i="4" s="1"/>
  <c r="F12" i="4" s="1"/>
  <c r="F17" i="4" s="1"/>
  <c r="D6" i="4"/>
  <c r="E6" i="4" s="1"/>
  <c r="D5" i="4"/>
  <c r="E5" i="4" s="1"/>
  <c r="F5" i="4" s="1"/>
  <c r="D4" i="4"/>
  <c r="E4" i="4" s="1"/>
  <c r="F4" i="4" s="1"/>
  <c r="D3" i="4"/>
  <c r="E3" i="4" s="1"/>
  <c r="F3" i="4" s="1"/>
  <c r="D2" i="4"/>
  <c r="E2" i="4" s="1"/>
  <c r="F2" i="4" s="1"/>
  <c r="F7" i="4" s="1"/>
  <c r="D22" i="3"/>
  <c r="F22" i="3" s="1"/>
  <c r="F21" i="3"/>
  <c r="D20" i="3"/>
  <c r="F20" i="3" s="1"/>
  <c r="F19" i="3"/>
  <c r="D18" i="3"/>
  <c r="F18" i="3" s="1"/>
  <c r="D17" i="3"/>
  <c r="D9" i="3"/>
  <c r="F9" i="3" s="1"/>
  <c r="F8" i="3"/>
  <c r="D7" i="3"/>
  <c r="F7" i="3" s="1"/>
  <c r="D6" i="3"/>
  <c r="F6" i="3" s="1"/>
  <c r="D5" i="3"/>
  <c r="F5" i="3" s="1"/>
  <c r="D4" i="3"/>
  <c r="G32" i="2"/>
  <c r="D17" i="2"/>
  <c r="E17" i="2" s="1"/>
  <c r="G16" i="2"/>
  <c r="D15" i="2"/>
  <c r="E15" i="2" s="1"/>
  <c r="D6" i="2"/>
  <c r="E6" i="2" s="1"/>
  <c r="D4" i="2"/>
  <c r="E4" i="2" s="1"/>
  <c r="N139" i="1"/>
  <c r="N91" i="1"/>
  <c r="N137" i="1"/>
  <c r="N133" i="1"/>
  <c r="N125" i="1"/>
  <c r="N114" i="1"/>
  <c r="N105" i="1"/>
  <c r="N79" i="1"/>
  <c r="N69" i="1"/>
  <c r="N56" i="1"/>
  <c r="N38" i="1"/>
  <c r="N118" i="1"/>
  <c r="M132" i="1"/>
  <c r="L132" i="1"/>
  <c r="K132" i="1"/>
  <c r="J132" i="1"/>
  <c r="I132" i="1"/>
  <c r="H132" i="1"/>
  <c r="G132" i="1"/>
  <c r="F132" i="1"/>
  <c r="E132" i="1"/>
  <c r="D132" i="1"/>
  <c r="C132" i="1"/>
  <c r="B132" i="1"/>
  <c r="M131" i="1"/>
  <c r="L131" i="1"/>
  <c r="K131" i="1"/>
  <c r="J131" i="1"/>
  <c r="I131" i="1"/>
  <c r="H131" i="1"/>
  <c r="G131" i="1"/>
  <c r="F131" i="1"/>
  <c r="E131" i="1"/>
  <c r="D131" i="1"/>
  <c r="C131" i="1"/>
  <c r="B131" i="1"/>
  <c r="M130" i="1"/>
  <c r="L130" i="1"/>
  <c r="K130" i="1"/>
  <c r="J130" i="1"/>
  <c r="I130" i="1"/>
  <c r="H130" i="1"/>
  <c r="G130" i="1"/>
  <c r="F130" i="1"/>
  <c r="E130" i="1"/>
  <c r="D130" i="1"/>
  <c r="C130" i="1"/>
  <c r="B130" i="1"/>
  <c r="M129" i="1"/>
  <c r="L129" i="1"/>
  <c r="K129" i="1"/>
  <c r="J129" i="1"/>
  <c r="I129" i="1"/>
  <c r="H129" i="1"/>
  <c r="G129" i="1"/>
  <c r="F129" i="1"/>
  <c r="E129" i="1"/>
  <c r="D129" i="1"/>
  <c r="C129" i="1"/>
  <c r="B129" i="1"/>
  <c r="M121" i="1"/>
  <c r="L121" i="1"/>
  <c r="K121" i="1"/>
  <c r="J121" i="1"/>
  <c r="I121" i="1"/>
  <c r="H121" i="1"/>
  <c r="G121" i="1"/>
  <c r="F121" i="1"/>
  <c r="E121" i="1"/>
  <c r="D121" i="1"/>
  <c r="C121" i="1"/>
  <c r="B121" i="1"/>
  <c r="M110" i="1"/>
  <c r="L110" i="1"/>
  <c r="K110" i="1"/>
  <c r="J110" i="1"/>
  <c r="I110" i="1"/>
  <c r="H110" i="1"/>
  <c r="G110" i="1"/>
  <c r="F110" i="1"/>
  <c r="E110" i="1"/>
  <c r="D110" i="1"/>
  <c r="C110" i="1"/>
  <c r="B110" i="1"/>
  <c r="M108" i="1"/>
  <c r="L108" i="1"/>
  <c r="K108" i="1"/>
  <c r="J108" i="1"/>
  <c r="I108" i="1"/>
  <c r="H108" i="1"/>
  <c r="G108" i="1"/>
  <c r="F108" i="1"/>
  <c r="E108" i="1"/>
  <c r="D108" i="1"/>
  <c r="C108" i="1"/>
  <c r="B108" i="1"/>
  <c r="M98" i="1"/>
  <c r="L98" i="1"/>
  <c r="K98" i="1"/>
  <c r="J98" i="1"/>
  <c r="I98" i="1"/>
  <c r="H98" i="1"/>
  <c r="G98" i="1"/>
  <c r="F98" i="1"/>
  <c r="E98" i="1"/>
  <c r="D98" i="1"/>
  <c r="C98" i="1"/>
  <c r="B98" i="1"/>
  <c r="M95" i="1"/>
  <c r="L95" i="1"/>
  <c r="K95" i="1"/>
  <c r="J95" i="1"/>
  <c r="I95" i="1"/>
  <c r="H95" i="1"/>
  <c r="G95" i="1"/>
  <c r="F95" i="1"/>
  <c r="E95" i="1"/>
  <c r="D95" i="1"/>
  <c r="C95" i="1"/>
  <c r="B95" i="1"/>
  <c r="M87" i="1"/>
  <c r="L87" i="1"/>
  <c r="K87" i="1"/>
  <c r="J87" i="1"/>
  <c r="I87" i="1"/>
  <c r="H87" i="1"/>
  <c r="G87" i="1"/>
  <c r="F87" i="1"/>
  <c r="E87" i="1"/>
  <c r="D87" i="1"/>
  <c r="C87" i="1"/>
  <c r="B87" i="1"/>
  <c r="M85" i="1"/>
  <c r="L85" i="1"/>
  <c r="K85" i="1"/>
  <c r="J85" i="1"/>
  <c r="I85" i="1"/>
  <c r="H85" i="1"/>
  <c r="G85" i="1"/>
  <c r="F85" i="1"/>
  <c r="E85" i="1"/>
  <c r="D85" i="1"/>
  <c r="C85" i="1"/>
  <c r="B85" i="1"/>
  <c r="M84" i="1"/>
  <c r="L84" i="1"/>
  <c r="K84" i="1"/>
  <c r="J84" i="1"/>
  <c r="I84" i="1"/>
  <c r="H84" i="1"/>
  <c r="G84" i="1"/>
  <c r="F84" i="1"/>
  <c r="E84" i="1"/>
  <c r="D84" i="1"/>
  <c r="C84" i="1"/>
  <c r="B84" i="1"/>
  <c r="M83" i="1"/>
  <c r="L83" i="1"/>
  <c r="K83" i="1"/>
  <c r="J83" i="1"/>
  <c r="I83" i="1"/>
  <c r="H83" i="1"/>
  <c r="G83" i="1"/>
  <c r="F83" i="1"/>
  <c r="E83" i="1"/>
  <c r="D83" i="1"/>
  <c r="C83" i="1"/>
  <c r="B83" i="1"/>
  <c r="M67" i="1"/>
  <c r="L67" i="1"/>
  <c r="K67" i="1"/>
  <c r="J67" i="1"/>
  <c r="I67" i="1"/>
  <c r="H67" i="1"/>
  <c r="G67" i="1"/>
  <c r="F67" i="1"/>
  <c r="E67" i="1"/>
  <c r="D67" i="1"/>
  <c r="C67" i="1"/>
  <c r="B67" i="1"/>
  <c r="M66" i="1"/>
  <c r="L66" i="1"/>
  <c r="K66" i="1"/>
  <c r="J66" i="1"/>
  <c r="I66" i="1"/>
  <c r="H66" i="1"/>
  <c r="G66" i="1"/>
  <c r="F66" i="1"/>
  <c r="E66" i="1"/>
  <c r="D66" i="1"/>
  <c r="C66" i="1"/>
  <c r="B66" i="1"/>
  <c r="M65" i="1"/>
  <c r="L65" i="1"/>
  <c r="K65" i="1"/>
  <c r="J65" i="1"/>
  <c r="I65" i="1"/>
  <c r="H65" i="1"/>
  <c r="G65" i="1"/>
  <c r="F65" i="1"/>
  <c r="E65" i="1"/>
  <c r="D65" i="1"/>
  <c r="C65" i="1"/>
  <c r="B65" i="1"/>
  <c r="M63" i="1"/>
  <c r="L63" i="1"/>
  <c r="K63" i="1"/>
  <c r="J63" i="1"/>
  <c r="I63" i="1"/>
  <c r="H63" i="1"/>
  <c r="G63" i="1"/>
  <c r="F63" i="1"/>
  <c r="E63" i="1"/>
  <c r="D63" i="1"/>
  <c r="C63" i="1"/>
  <c r="B63" i="1"/>
  <c r="M62" i="1"/>
  <c r="L62" i="1"/>
  <c r="K62" i="1"/>
  <c r="J62" i="1"/>
  <c r="I62" i="1"/>
  <c r="H62" i="1"/>
  <c r="G62" i="1"/>
  <c r="F62" i="1"/>
  <c r="E62" i="1"/>
  <c r="D62" i="1"/>
  <c r="C62" i="1"/>
  <c r="B62" i="1"/>
  <c r="M60" i="1"/>
  <c r="L60" i="1"/>
  <c r="K60" i="1"/>
  <c r="J60" i="1"/>
  <c r="I60" i="1"/>
  <c r="H60" i="1"/>
  <c r="G60" i="1"/>
  <c r="F60" i="1"/>
  <c r="E60" i="1"/>
  <c r="D60" i="1"/>
  <c r="C60" i="1"/>
  <c r="B60" i="1"/>
  <c r="M51" i="1"/>
  <c r="L51" i="1"/>
  <c r="K51" i="1"/>
  <c r="J51" i="1"/>
  <c r="I51" i="1"/>
  <c r="H51" i="1"/>
  <c r="G51" i="1"/>
  <c r="F51" i="1"/>
  <c r="E51" i="1"/>
  <c r="D51" i="1"/>
  <c r="C51" i="1"/>
  <c r="B51" i="1"/>
  <c r="M50" i="1"/>
  <c r="L50" i="1"/>
  <c r="K50" i="1"/>
  <c r="J50" i="1"/>
  <c r="I50" i="1"/>
  <c r="H50" i="1"/>
  <c r="G50" i="1"/>
  <c r="F50" i="1"/>
  <c r="E50" i="1"/>
  <c r="D50" i="1"/>
  <c r="C50" i="1"/>
  <c r="B50" i="1"/>
  <c r="M49" i="1"/>
  <c r="L49" i="1"/>
  <c r="K49" i="1"/>
  <c r="J49" i="1"/>
  <c r="I49" i="1"/>
  <c r="H49" i="1"/>
  <c r="G49" i="1"/>
  <c r="F49" i="1"/>
  <c r="E49" i="1"/>
  <c r="D49" i="1"/>
  <c r="C49" i="1"/>
  <c r="B49" i="1"/>
  <c r="M48" i="1"/>
  <c r="L48" i="1"/>
  <c r="K48" i="1"/>
  <c r="J48" i="1"/>
  <c r="I48" i="1"/>
  <c r="H48" i="1"/>
  <c r="G48" i="1"/>
  <c r="F48" i="1"/>
  <c r="E48" i="1"/>
  <c r="D48" i="1"/>
  <c r="C48" i="1"/>
  <c r="B48" i="1"/>
  <c r="M47" i="1"/>
  <c r="L47" i="1"/>
  <c r="K47" i="1"/>
  <c r="J47" i="1"/>
  <c r="I47" i="1"/>
  <c r="H47" i="1"/>
  <c r="G47" i="1"/>
  <c r="F47" i="1"/>
  <c r="E47" i="1"/>
  <c r="D47" i="1"/>
  <c r="C47" i="1"/>
  <c r="B47" i="1"/>
  <c r="M46" i="1"/>
  <c r="L46" i="1"/>
  <c r="K46" i="1"/>
  <c r="J46" i="1"/>
  <c r="I46" i="1"/>
  <c r="H46" i="1"/>
  <c r="G46" i="1"/>
  <c r="F46" i="1"/>
  <c r="E46" i="1"/>
  <c r="D46" i="1"/>
  <c r="C46" i="1"/>
  <c r="B46" i="1"/>
  <c r="M23" i="1"/>
  <c r="L23" i="1"/>
  <c r="K23" i="1"/>
  <c r="J23" i="1"/>
  <c r="I23" i="1"/>
  <c r="H23" i="1"/>
  <c r="G23" i="1"/>
  <c r="F23" i="1"/>
  <c r="E23" i="1"/>
  <c r="D23" i="1"/>
  <c r="C23" i="1"/>
  <c r="B23" i="1"/>
  <c r="M22" i="1"/>
  <c r="L22" i="1"/>
  <c r="K22" i="1"/>
  <c r="J22" i="1"/>
  <c r="I22" i="1"/>
  <c r="H22" i="1"/>
  <c r="G22" i="1"/>
  <c r="F22" i="1"/>
  <c r="E22" i="1"/>
  <c r="D22" i="1"/>
  <c r="C22" i="1"/>
  <c r="B22" i="1"/>
  <c r="M20" i="1"/>
  <c r="L20" i="1"/>
  <c r="K20" i="1"/>
  <c r="J20" i="1"/>
  <c r="I20" i="1"/>
  <c r="H20" i="1"/>
  <c r="G20" i="1"/>
  <c r="F20" i="1"/>
  <c r="E20" i="1"/>
  <c r="D20" i="1"/>
  <c r="C20" i="1"/>
  <c r="B20" i="1"/>
  <c r="M19" i="1"/>
  <c r="L19" i="1"/>
  <c r="K19" i="1"/>
  <c r="J19" i="1"/>
  <c r="I19" i="1"/>
  <c r="H19" i="1"/>
  <c r="G19" i="1"/>
  <c r="F19" i="1"/>
  <c r="E19" i="1"/>
  <c r="D19" i="1"/>
  <c r="C19" i="1"/>
  <c r="B19" i="1"/>
  <c r="M18" i="1"/>
  <c r="L18" i="1"/>
  <c r="K18" i="1"/>
  <c r="J18" i="1"/>
  <c r="I18" i="1"/>
  <c r="H18" i="1"/>
  <c r="G18" i="1"/>
  <c r="F18" i="1"/>
  <c r="E18" i="1"/>
  <c r="D18" i="1"/>
  <c r="C18" i="1"/>
  <c r="B18" i="1"/>
  <c r="M16" i="1"/>
  <c r="L16" i="1"/>
  <c r="K16" i="1"/>
  <c r="J16" i="1"/>
  <c r="I16" i="1"/>
  <c r="H16" i="1"/>
  <c r="G16" i="1"/>
  <c r="F16" i="1"/>
  <c r="E16" i="1"/>
  <c r="D16" i="1"/>
  <c r="C16" i="1"/>
  <c r="B16" i="1"/>
  <c r="M14" i="1"/>
  <c r="L14" i="1"/>
  <c r="K14" i="1"/>
  <c r="J14" i="1"/>
  <c r="I14" i="1"/>
  <c r="H14" i="1"/>
  <c r="G14" i="1"/>
  <c r="F14" i="1"/>
  <c r="E14" i="1"/>
  <c r="D14" i="1"/>
  <c r="C14" i="1"/>
  <c r="B14" i="1"/>
  <c r="M11" i="1"/>
  <c r="L11" i="1"/>
  <c r="K11" i="1"/>
  <c r="J11" i="1"/>
  <c r="I11" i="1"/>
  <c r="H11" i="1"/>
  <c r="G11" i="1"/>
  <c r="F11" i="1"/>
  <c r="E11" i="1"/>
  <c r="D11" i="1"/>
  <c r="C11" i="1"/>
  <c r="B11" i="1"/>
  <c r="M10" i="1"/>
  <c r="L10" i="1"/>
  <c r="K10" i="1"/>
  <c r="J10" i="1"/>
  <c r="I10" i="1"/>
  <c r="H10" i="1"/>
  <c r="G10" i="1"/>
  <c r="F10" i="1"/>
  <c r="E10" i="1"/>
  <c r="D10" i="1"/>
  <c r="C10" i="1"/>
  <c r="B10" i="1"/>
  <c r="M9" i="1"/>
  <c r="L9" i="1"/>
  <c r="K9" i="1"/>
  <c r="J9" i="1"/>
  <c r="I9" i="1"/>
  <c r="H9" i="1"/>
  <c r="G9" i="1"/>
  <c r="F9" i="1"/>
  <c r="E9" i="1"/>
  <c r="D9" i="1"/>
  <c r="C9" i="1"/>
  <c r="B9" i="1"/>
  <c r="M8" i="1"/>
  <c r="L8" i="1"/>
  <c r="K8" i="1"/>
  <c r="J8" i="1"/>
  <c r="I8" i="1"/>
  <c r="H8" i="1"/>
  <c r="G8" i="1"/>
  <c r="F8" i="1"/>
  <c r="E8" i="1"/>
  <c r="D8" i="1"/>
  <c r="C8" i="1"/>
  <c r="B8" i="1"/>
  <c r="M7" i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F18" i="4" l="1"/>
  <c r="F19" i="4"/>
  <c r="F8" i="4"/>
  <c r="F9" i="4"/>
  <c r="G22" i="3"/>
  <c r="H22" i="3"/>
  <c r="G21" i="3"/>
  <c r="H21" i="3" s="1"/>
  <c r="G20" i="3"/>
  <c r="H20" i="3"/>
  <c r="G19" i="3"/>
  <c r="H19" i="3" s="1"/>
  <c r="G18" i="3"/>
  <c r="H18" i="3"/>
  <c r="D25" i="3"/>
  <c r="F17" i="3"/>
  <c r="G9" i="3"/>
  <c r="H9" i="3"/>
  <c r="G8" i="3"/>
  <c r="H8" i="3"/>
  <c r="G7" i="3"/>
  <c r="H7" i="3" s="1"/>
  <c r="G6" i="3"/>
  <c r="H6" i="3"/>
  <c r="G5" i="3"/>
  <c r="H5" i="3"/>
  <c r="D12" i="3"/>
  <c r="F4" i="3"/>
  <c r="F18" i="2"/>
  <c r="G17" i="2" s="1"/>
  <c r="F16" i="2"/>
  <c r="E20" i="2"/>
  <c r="F7" i="2"/>
  <c r="G6" i="2" s="1"/>
  <c r="F5" i="2"/>
  <c r="E9" i="2"/>
  <c r="E105" i="1"/>
  <c r="M105" i="1"/>
  <c r="F105" i="1"/>
  <c r="D133" i="1"/>
  <c r="L133" i="1"/>
  <c r="E133" i="1"/>
  <c r="K105" i="1"/>
  <c r="G133" i="1"/>
  <c r="F69" i="1"/>
  <c r="C69" i="1"/>
  <c r="B56" i="1"/>
  <c r="D69" i="1"/>
  <c r="B133" i="1"/>
  <c r="J133" i="1"/>
  <c r="G105" i="1"/>
  <c r="J69" i="1"/>
  <c r="H105" i="1"/>
  <c r="D105" i="1"/>
  <c r="L105" i="1"/>
  <c r="K69" i="1"/>
  <c r="G69" i="1"/>
  <c r="I105" i="1"/>
  <c r="I133" i="1"/>
  <c r="M133" i="1"/>
  <c r="J56" i="1"/>
  <c r="L69" i="1"/>
  <c r="C105" i="1"/>
  <c r="C133" i="1"/>
  <c r="K133" i="1"/>
  <c r="C56" i="1"/>
  <c r="K56" i="1"/>
  <c r="M69" i="1"/>
  <c r="H133" i="1"/>
  <c r="E56" i="1"/>
  <c r="I56" i="1"/>
  <c r="E69" i="1"/>
  <c r="F56" i="1"/>
  <c r="B105" i="1"/>
  <c r="J105" i="1"/>
  <c r="M56" i="1"/>
  <c r="I69" i="1"/>
  <c r="G56" i="1"/>
  <c r="F133" i="1"/>
  <c r="D56" i="1"/>
  <c r="L56" i="1"/>
  <c r="H69" i="1"/>
  <c r="B69" i="1"/>
  <c r="H56" i="1"/>
  <c r="G17" i="3" l="1"/>
  <c r="G25" i="3" s="1"/>
  <c r="H17" i="3"/>
  <c r="H25" i="3" s="1"/>
  <c r="F25" i="3"/>
  <c r="G4" i="3"/>
  <c r="G12" i="3" s="1"/>
  <c r="H4" i="3"/>
  <c r="H12" i="3" s="1"/>
  <c r="F12" i="3"/>
  <c r="F21" i="2"/>
  <c r="G15" i="2"/>
  <c r="G21" i="2" s="1"/>
  <c r="F10" i="2"/>
  <c r="G4" i="2"/>
  <c r="G10" i="2" s="1"/>
</calcChain>
</file>

<file path=xl/sharedStrings.xml><?xml version="1.0" encoding="utf-8"?>
<sst xmlns="http://schemas.openxmlformats.org/spreadsheetml/2006/main" count="224" uniqueCount="177">
  <si>
    <t>Income</t>
  </si>
  <si>
    <t xml:space="preserve">   4000.10 Current Year Tax</t>
  </si>
  <si>
    <t xml:space="preserve">   4000.11 Current Year Tax Penalty</t>
  </si>
  <si>
    <t xml:space="preserve">   4000.12 Current Year Tax Interest</t>
  </si>
  <si>
    <t xml:space="preserve">   4000.15 Delinquent Tax</t>
  </si>
  <si>
    <t xml:space="preserve">   4000.16 Delinquent Tax Penalty</t>
  </si>
  <si>
    <t xml:space="preserve">   4000.17 Delinquent Tax Interest</t>
  </si>
  <si>
    <t xml:space="preserve">   4000.30 Office Receipts</t>
  </si>
  <si>
    <t xml:space="preserve">   4000.32 On-Site Septic Facility permit</t>
  </si>
  <si>
    <t xml:space="preserve">   4000.40 Interest Income</t>
  </si>
  <si>
    <t xml:space="preserve">   4000.50 Elec. Franchise Fee</t>
  </si>
  <si>
    <t xml:space="preserve">   4000.51 Garbage Franchise Fee</t>
  </si>
  <si>
    <t xml:space="preserve">   4000.55 Phone Franchise Fee</t>
  </si>
  <si>
    <t xml:space="preserve">   4000.60 General Sales Tax</t>
  </si>
  <si>
    <t>Expenses</t>
  </si>
  <si>
    <t xml:space="preserve">   6045 Operations</t>
  </si>
  <si>
    <t xml:space="preserve">      6018.00 Election Expense</t>
  </si>
  <si>
    <t xml:space="preserve">      6045.04 Appraisals</t>
  </si>
  <si>
    <t xml:space="preserve">      6080.00 Insurance</t>
  </si>
  <si>
    <t xml:space="preserve">      6080.02 Dues/Fees</t>
  </si>
  <si>
    <t xml:space="preserve">      6060.02 Consumables</t>
  </si>
  <si>
    <t xml:space="preserve">      6060.03 Copier/Printer</t>
  </si>
  <si>
    <t xml:space="preserve">      6060.05 Postage</t>
  </si>
  <si>
    <t xml:space="preserve">      6060.07 Contingency/Misc</t>
  </si>
  <si>
    <t xml:space="preserve">      6060.08 Public Notice</t>
  </si>
  <si>
    <t xml:space="preserve">      6076.01 City Property Maintenance</t>
  </si>
  <si>
    <t xml:space="preserve">      6076.02 Telephone</t>
  </si>
  <si>
    <t xml:space="preserve">      6076.03 Water</t>
  </si>
  <si>
    <t xml:space="preserve">      6076.04 Electricity</t>
  </si>
  <si>
    <t>City of Ivanhoe</t>
  </si>
  <si>
    <t xml:space="preserve">   4000.35 Culvert and Road Material</t>
  </si>
  <si>
    <t xml:space="preserve">   4000.31 Community Center Rental</t>
  </si>
  <si>
    <t xml:space="preserve">      6010.20 TCEQ OSSF Fee</t>
  </si>
  <si>
    <t xml:space="preserve">         6071.11 Road Material</t>
  </si>
  <si>
    <t xml:space="preserve">         60.71.14 Equipment Fuel</t>
  </si>
  <si>
    <t xml:space="preserve">         6071.15 Equipment Repair</t>
  </si>
  <si>
    <t xml:space="preserve">         6071.20 Supplies</t>
  </si>
  <si>
    <t xml:space="preserve">      6075.02 Marshal Vehicle Repair</t>
  </si>
  <si>
    <t xml:space="preserve">      6075.07 Fuel</t>
  </si>
  <si>
    <t xml:space="preserve">      6045.01 Accountant Auditor</t>
  </si>
  <si>
    <t>6075 City Marshal Dept</t>
  </si>
  <si>
    <t>TOTAL MUNICIPAL COURT EXPENSES</t>
  </si>
  <si>
    <t>TOTAL 6076 BUILDING AND GROUNDS</t>
  </si>
  <si>
    <t>TOTAL 6075 CITY MARSHAL DEPT EXPENSES</t>
  </si>
  <si>
    <t>TOTAL 6071.00 PUBLIC WORKS DEPT EXPENSES</t>
  </si>
  <si>
    <t xml:space="preserve">          6065.02 Council</t>
  </si>
  <si>
    <t xml:space="preserve">          6065.01 City Administrator</t>
  </si>
  <si>
    <t xml:space="preserve">          6050.00 Vehicle &amp; travel reimbursement</t>
  </si>
  <si>
    <t xml:space="preserve">          6046.10 Website</t>
  </si>
  <si>
    <t xml:space="preserve">          6046.30 City Attorney</t>
  </si>
  <si>
    <t xml:space="preserve">          6046.40 OSSF Inspections</t>
  </si>
  <si>
    <t xml:space="preserve">          6046.70 Alarm System</t>
  </si>
  <si>
    <t>TOTAL 6045 OPERATIONS</t>
  </si>
  <si>
    <t>TOTAL CODE INFORCEMENT</t>
  </si>
  <si>
    <t xml:space="preserve">   4000.25 Permits</t>
  </si>
  <si>
    <t xml:space="preserve">   4000.20 Donations</t>
  </si>
  <si>
    <t>TOTAL INCOME</t>
  </si>
  <si>
    <t>6060 Office/Administration General</t>
  </si>
  <si>
    <t xml:space="preserve">   Total 6060 OFFICE/ADMINISTRATION GENERAL</t>
  </si>
  <si>
    <t xml:space="preserve">     6046 ADMMINISTRATION CONTRACTS</t>
  </si>
  <si>
    <t xml:space="preserve">    Total 6046.00 CONRACTS ADMINISTRATION</t>
  </si>
  <si>
    <t xml:space="preserve">       6065.00 PAYROLL EXPENSES</t>
  </si>
  <si>
    <t xml:space="preserve">   Total 6065 PAYROLL EXPENSES ADMINISTRATION</t>
  </si>
  <si>
    <t>6071.00 PUBLIC WORKS</t>
  </si>
  <si>
    <t xml:space="preserve">      6075.01 Marshal's Dept Payroll</t>
  </si>
  <si>
    <t>MUNICIPAL COURT</t>
  </si>
  <si>
    <t>6076 BUILDING AND GROUNDS</t>
  </si>
  <si>
    <t>TOTAL EXPENSES</t>
  </si>
  <si>
    <t>Adopted Budget  FY-2027</t>
  </si>
  <si>
    <t>October 2026- September 2027</t>
  </si>
  <si>
    <t xml:space="preserve">   95% Collection Rate</t>
  </si>
  <si>
    <t xml:space="preserve">                           Value $108,929,822</t>
  </si>
  <si>
    <t xml:space="preserve">   4000.52 Internet Franchise Fee</t>
  </si>
  <si>
    <t xml:space="preserve">   5000.1 Court Admin</t>
  </si>
  <si>
    <t xml:space="preserve">   5020 Other Primary Income</t>
  </si>
  <si>
    <t xml:space="preserve">   5020.05 Court Fine(local)</t>
  </si>
  <si>
    <t xml:space="preserve">   5020.06 OMNI</t>
  </si>
  <si>
    <t xml:space="preserve">   5020.11 Arrest</t>
  </si>
  <si>
    <t xml:space="preserve">   5020.16 (LEA) Court Law Enforcement</t>
  </si>
  <si>
    <t xml:space="preserve">   5020.19 (TPDF2) Local Truancy P&amp;D</t>
  </si>
  <si>
    <t xml:space="preserve">   5020.20 (MCBS) Court Building Security</t>
  </si>
  <si>
    <t xml:space="preserve">   5020.25 (MCTF) Court Technology Fund</t>
  </si>
  <si>
    <t xml:space="preserve">   5020.26 Pay The Payment</t>
  </si>
  <si>
    <t xml:space="preserve">   5020.27 (MJF) Municipal Jury Fund</t>
  </si>
  <si>
    <t xml:space="preserve">   5020.35 (TFC) Local Traffic</t>
  </si>
  <si>
    <t xml:space="preserve">   5020.36 Truancy P&amp;D Fund</t>
  </si>
  <si>
    <t xml:space="preserve">   5200 Sale of Assets</t>
  </si>
  <si>
    <t xml:space="preserve">      6045.05 Collections</t>
  </si>
  <si>
    <t xml:space="preserve">      6085.00 Training/Education</t>
  </si>
  <si>
    <t xml:space="preserve">      6085.04 Meals</t>
  </si>
  <si>
    <t xml:space="preserve">      6060.01 Computer</t>
  </si>
  <si>
    <t xml:space="preserve">      6060.11 I WORQS Software &amp; IT</t>
  </si>
  <si>
    <t xml:space="preserve">      6060.04 Office Expenses</t>
  </si>
  <si>
    <t xml:space="preserve">     6060.09 Software</t>
  </si>
  <si>
    <t xml:space="preserve">          </t>
  </si>
  <si>
    <r>
      <t xml:space="preserve">        </t>
    </r>
    <r>
      <rPr>
        <b/>
        <sz val="8"/>
        <color rgb="FFFF0000"/>
        <rFont val="Arial"/>
        <family val="2"/>
      </rPr>
      <t xml:space="preserve"> </t>
    </r>
    <r>
      <rPr>
        <b/>
        <sz val="8"/>
        <rFont val="Arial"/>
        <family val="2"/>
      </rPr>
      <t xml:space="preserve"> 6046.80 Accountant</t>
    </r>
  </si>
  <si>
    <t xml:space="preserve">          6065.08 Clerical Assistant</t>
  </si>
  <si>
    <t xml:space="preserve">         6065.88 Clerical Assistant Payroll Tax</t>
  </si>
  <si>
    <t xml:space="preserve">         6077.40 Training</t>
  </si>
  <si>
    <t xml:space="preserve">         6071.04 Dam Repair</t>
  </si>
  <si>
    <t xml:space="preserve">         6071.03 Street Signs</t>
  </si>
  <si>
    <t xml:space="preserve">         6071.05 Public Works Payroll Tax</t>
  </si>
  <si>
    <t xml:space="preserve">         6071.06 Street Maintenance Labor</t>
  </si>
  <si>
    <t xml:space="preserve">      6075.012 Marshal's Dept Payroll Tax</t>
  </si>
  <si>
    <r>
      <t xml:space="preserve">      6075.09 </t>
    </r>
    <r>
      <rPr>
        <b/>
        <sz val="8"/>
        <rFont val="Arial"/>
        <family val="2"/>
      </rPr>
      <t>Training</t>
    </r>
  </si>
  <si>
    <t xml:space="preserve">      6075.03 Supplies &amp; Equipment</t>
  </si>
  <si>
    <t xml:space="preserve">          6077.20 Court Supplies and Equipment</t>
  </si>
  <si>
    <t xml:space="preserve">          6077.30 Technology </t>
  </si>
  <si>
    <t xml:space="preserve">          6077.10 Municipal Judge</t>
  </si>
  <si>
    <t xml:space="preserve">          7500.00 Capital Lease Principle</t>
  </si>
  <si>
    <t xml:space="preserve">          7501.00 Capital Lease Interest</t>
  </si>
  <si>
    <t>TOTAL CAPITAL LEASE</t>
  </si>
  <si>
    <t xml:space="preserve">          6065.011 City Admin Payroll Tax</t>
  </si>
  <si>
    <t xml:space="preserve">         6065.11 Park Time Clerk Payroll Taxes</t>
  </si>
  <si>
    <t>6074.02 Inspection Service</t>
  </si>
  <si>
    <t xml:space="preserve">      6085.01 Per Diem</t>
  </si>
  <si>
    <t>2027 Tax Rate .7171</t>
  </si>
  <si>
    <t>ADMINISTRATION Proposed</t>
  </si>
  <si>
    <t>2027 worksheet</t>
  </si>
  <si>
    <t>CLERICAL</t>
  </si>
  <si>
    <t>TOTAL FOR 6065.87</t>
  </si>
  <si>
    <t>hourly</t>
  </si>
  <si>
    <t>hours</t>
  </si>
  <si>
    <t>bi-monthly</t>
  </si>
  <si>
    <t>annual</t>
  </si>
  <si>
    <t>payroll tax at 7%</t>
  </si>
  <si>
    <t>adjusted annual income</t>
  </si>
  <si>
    <t>6065.08  Exec Sec Hailey</t>
  </si>
  <si>
    <t>6065.08  Exec Sec payroll tax</t>
  </si>
  <si>
    <t>6065.09  Part time clerk Betty</t>
  </si>
  <si>
    <t>6065.09  Part time clerk payroll tax</t>
  </si>
  <si>
    <t>6050.00 Mileage reimbrsmt accrual</t>
  </si>
  <si>
    <t>PAYROLL TOTAL.</t>
  </si>
  <si>
    <t>PAYROLL TAX</t>
  </si>
  <si>
    <t>PROPOSED BUDGET FY2024</t>
  </si>
  <si>
    <t>ORIGINAL PROPOSED BUDGET</t>
  </si>
  <si>
    <t>JUNE</t>
  </si>
  <si>
    <t>YTD THRU JUNE</t>
  </si>
  <si>
    <t>2023 RUN RATE</t>
  </si>
  <si>
    <t>ACTUAL '23 BUDGET</t>
  </si>
  <si>
    <t>24 PROPOSED BUDGET</t>
  </si>
  <si>
    <t xml:space="preserve">6065.00  Payroll expense  </t>
  </si>
  <si>
    <t xml:space="preserve">6065.01 City Secretary payroll </t>
  </si>
  <si>
    <t>6065.01 City Secretary payroll tax</t>
  </si>
  <si>
    <t>6065.02  Council</t>
  </si>
  <si>
    <t>6065.05  Supvr Dams DELETE</t>
  </si>
  <si>
    <t>6050.00  mileage reimbursement accrual</t>
  </si>
  <si>
    <t xml:space="preserve"> 2027 BUDGET</t>
  </si>
  <si>
    <t>Public Works Proposed</t>
  </si>
  <si>
    <t>Name</t>
  </si>
  <si>
    <t>hourly rate</t>
  </si>
  <si>
    <t>bi-weekly income</t>
  </si>
  <si>
    <t>Annual income</t>
  </si>
  <si>
    <t>Adjusted Annual Labor</t>
  </si>
  <si>
    <t>David Marshal</t>
  </si>
  <si>
    <t>Kolby Kipp</t>
  </si>
  <si>
    <t>Jonathan McNeal</t>
  </si>
  <si>
    <t>Rex Johnston</t>
  </si>
  <si>
    <t>Travis Carlin</t>
  </si>
  <si>
    <t>TBD</t>
  </si>
  <si>
    <t>overtime accrual</t>
  </si>
  <si>
    <t>budget</t>
  </si>
  <si>
    <t>Public Works</t>
  </si>
  <si>
    <t>2026 BUDGET</t>
  </si>
  <si>
    <t>WE NEED TO ESTABLISH THE TOP HOURLY RATE FOR THE EACH JOB</t>
  </si>
  <si>
    <t>weekly salary</t>
  </si>
  <si>
    <t>bi-weekly</t>
  </si>
  <si>
    <t>Annual Salary</t>
  </si>
  <si>
    <t>Steve Drumm</t>
  </si>
  <si>
    <t>Tim Kean</t>
  </si>
  <si>
    <t>Eric Narvaez</t>
  </si>
  <si>
    <t>payroll tax</t>
  </si>
  <si>
    <t>Jim Zazhry</t>
  </si>
  <si>
    <t>6075+A16:F23</t>
  </si>
  <si>
    <t>Bob Crossman</t>
  </si>
  <si>
    <t>Jeramiah Baker</t>
  </si>
  <si>
    <t>Seve Lemmons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</si>
</sst>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,##0.00\ _€"/>
    <numFmt numFmtId="165" formatCode="&quot;$&quot;* #,##0.00\ _€"/>
  </numFmts>
  <fonts count="15" x14ac:knownFonts="1">
    <font>
      <sz val="11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rgb="FFFF0000"/>
      <name val="Arial"/>
      <family val="2"/>
    </font>
    <font>
      <b/>
      <sz val="8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  <font>
      <b/>
      <sz val="12"/>
      <color rgb="FF000000"/>
      <name val="Arial"/>
      <family val="2"/>
    </font>
    <font>
      <sz val="11"/>
      <color indexed="8"/>
      <name val="Calibri"/>
      <family val="2"/>
      <scheme val="minor"/>
    </font>
    <font>
      <strike/>
      <sz val="11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165" fontId="1" fillId="0" borderId="0" xfId="0" applyNumberFormat="1" applyFont="1" applyAlignment="1">
      <alignment horizontal="right" wrapText="1"/>
    </xf>
    <xf numFmtId="3" fontId="7" fillId="0" borderId="0" xfId="0" applyNumberFormat="1" applyFont="1"/>
    <xf numFmtId="0" fontId="1" fillId="0" borderId="0" xfId="0" applyFont="1" applyAlignment="1">
      <alignment horizontal="left"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44" fontId="0" fillId="0" borderId="0" xfId="1" applyFont="1"/>
    <xf numFmtId="44" fontId="7" fillId="0" borderId="2" xfId="1" applyFont="1" applyBorder="1"/>
    <xf numFmtId="44" fontId="7" fillId="0" borderId="1" xfId="1" applyFont="1" applyBorder="1"/>
    <xf numFmtId="44" fontId="7" fillId="0" borderId="0" xfId="1" applyFont="1"/>
    <xf numFmtId="44" fontId="8" fillId="0" borderId="0" xfId="1" applyFont="1"/>
    <xf numFmtId="44" fontId="7" fillId="0" borderId="3" xfId="1" applyFont="1" applyBorder="1"/>
    <xf numFmtId="0" fontId="7" fillId="0" borderId="3" xfId="1" applyNumberFormat="1" applyFont="1" applyBorder="1"/>
    <xf numFmtId="0" fontId="7" fillId="0" borderId="4" xfId="0" applyFont="1" applyBorder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/>
    <xf numFmtId="0" fontId="0" fillId="0" borderId="5" xfId="0" applyBorder="1"/>
    <xf numFmtId="0" fontId="0" fillId="0" borderId="5" xfId="0" applyBorder="1" applyAlignment="1">
      <alignment wrapText="1"/>
    </xf>
    <xf numFmtId="0" fontId="12" fillId="0" borderId="5" xfId="0" applyFont="1" applyBorder="1"/>
    <xf numFmtId="0" fontId="0" fillId="0" borderId="6" xfId="0" applyBorder="1" applyAlignment="1">
      <alignment wrapText="1"/>
    </xf>
    <xf numFmtId="0" fontId="0" fillId="0" borderId="0" xfId="0" quotePrefix="1" applyAlignment="1">
      <alignment wrapText="1"/>
    </xf>
    <xf numFmtId="0" fontId="0" fillId="0" borderId="7" xfId="0" applyBorder="1"/>
    <xf numFmtId="0" fontId="7" fillId="0" borderId="8" xfId="0" applyFont="1" applyBorder="1"/>
    <xf numFmtId="0" fontId="0" fillId="0" borderId="6" xfId="0" applyBorder="1"/>
    <xf numFmtId="0" fontId="13" fillId="0" borderId="5" xfId="0" applyFont="1" applyBorder="1" applyAlignment="1">
      <alignment wrapText="1"/>
    </xf>
    <xf numFmtId="1" fontId="0" fillId="0" borderId="6" xfId="0" applyNumberFormat="1" applyBorder="1"/>
    <xf numFmtId="1" fontId="0" fillId="0" borderId="5" xfId="0" applyNumberFormat="1" applyBorder="1"/>
    <xf numFmtId="0" fontId="0" fillId="0" borderId="9" xfId="0" applyBorder="1"/>
    <xf numFmtId="0" fontId="0" fillId="2" borderId="9" xfId="0" applyFill="1" applyBorder="1"/>
    <xf numFmtId="1" fontId="0" fillId="0" borderId="9" xfId="0" applyNumberFormat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13" fillId="0" borderId="12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2" borderId="5" xfId="0" applyFill="1" applyBorder="1"/>
    <xf numFmtId="0" fontId="0" fillId="0" borderId="18" xfId="0" applyBorder="1"/>
    <xf numFmtId="0" fontId="0" fillId="0" borderId="19" xfId="0" applyBorder="1"/>
    <xf numFmtId="0" fontId="14" fillId="0" borderId="5" xfId="0" applyFont="1" applyBorder="1" applyAlignment="1">
      <alignment wrapText="1"/>
    </xf>
    <xf numFmtId="0" fontId="0" fillId="0" borderId="16" xfId="0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1"/>
  <sheetViews>
    <sheetView tabSelected="1" zoomScale="157" zoomScaleNormal="156" workbookViewId="0">
      <selection activeCell="N4" sqref="N4"/>
    </sheetView>
  </sheetViews>
  <sheetFormatPr defaultRowHeight="15" x14ac:dyDescent="0.25"/>
  <cols>
    <col min="1" max="1" width="41.28515625" customWidth="1"/>
    <col min="2" max="12" width="10.28515625" hidden="1" customWidth="1"/>
    <col min="13" max="13" width="1.42578125" hidden="1" customWidth="1"/>
    <col min="14" max="14" width="19.85546875" customWidth="1"/>
    <col min="15" max="15" width="42" customWidth="1"/>
  </cols>
  <sheetData>
    <row r="1" spans="1:14" ht="18" x14ac:dyDescent="0.25">
      <c r="A1" s="52" t="s">
        <v>29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4" ht="15.75" x14ac:dyDescent="0.25">
      <c r="A2" s="53" t="s">
        <v>68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4" x14ac:dyDescent="0.25">
      <c r="A3" s="54" t="s">
        <v>69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1" t="s">
        <v>116</v>
      </c>
    </row>
    <row r="4" spans="1:14" x14ac:dyDescent="0.25">
      <c r="A4" t="s">
        <v>71</v>
      </c>
      <c r="N4" t="s">
        <v>70</v>
      </c>
    </row>
    <row r="5" spans="1:14" x14ac:dyDescent="0.25">
      <c r="A5" s="5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4" x14ac:dyDescent="0.25">
      <c r="A6" s="5" t="s">
        <v>1</v>
      </c>
      <c r="B6" s="7">
        <f>38616.16</f>
        <v>38616.160000000003</v>
      </c>
      <c r="C6" s="7">
        <f>38616.16</f>
        <v>38616.160000000003</v>
      </c>
      <c r="D6" s="7">
        <f>38616.17</f>
        <v>38616.17</v>
      </c>
      <c r="E6" s="7">
        <f>38616.16</f>
        <v>38616.160000000003</v>
      </c>
      <c r="F6" s="7">
        <f>38616.16</f>
        <v>38616.160000000003</v>
      </c>
      <c r="G6" s="7">
        <f t="shared" ref="G6:M6" si="0">38616.17</f>
        <v>38616.17</v>
      </c>
      <c r="H6" s="7">
        <f t="shared" si="0"/>
        <v>38616.17</v>
      </c>
      <c r="I6" s="7">
        <f t="shared" si="0"/>
        <v>38616.17</v>
      </c>
      <c r="J6" s="7">
        <f t="shared" si="0"/>
        <v>38616.17</v>
      </c>
      <c r="K6" s="7">
        <f t="shared" si="0"/>
        <v>38616.17</v>
      </c>
      <c r="L6" s="7">
        <f t="shared" si="0"/>
        <v>38616.17</v>
      </c>
      <c r="M6" s="7">
        <f t="shared" si="0"/>
        <v>38616.17</v>
      </c>
      <c r="N6" s="11">
        <v>591397</v>
      </c>
    </row>
    <row r="7" spans="1:14" x14ac:dyDescent="0.25">
      <c r="A7" s="5" t="s">
        <v>2</v>
      </c>
      <c r="B7" s="7">
        <f>250</f>
        <v>250</v>
      </c>
      <c r="C7" s="7">
        <f>250</f>
        <v>250</v>
      </c>
      <c r="D7" s="7">
        <f>250</f>
        <v>250</v>
      </c>
      <c r="E7" s="7">
        <f>250</f>
        <v>250</v>
      </c>
      <c r="F7" s="7">
        <f>250</f>
        <v>250</v>
      </c>
      <c r="G7" s="7">
        <f>250</f>
        <v>250</v>
      </c>
      <c r="H7" s="7">
        <f>250</f>
        <v>250</v>
      </c>
      <c r="I7" s="7">
        <f>250</f>
        <v>250</v>
      </c>
      <c r="J7" s="7">
        <f>250</f>
        <v>250</v>
      </c>
      <c r="K7" s="7">
        <f>250</f>
        <v>250</v>
      </c>
      <c r="L7" s="7">
        <f>250</f>
        <v>250</v>
      </c>
      <c r="M7" s="7">
        <f>250</f>
        <v>250</v>
      </c>
      <c r="N7" s="11">
        <v>4000</v>
      </c>
    </row>
    <row r="8" spans="1:14" x14ac:dyDescent="0.25">
      <c r="A8" s="5" t="s">
        <v>3</v>
      </c>
      <c r="B8" s="7">
        <f>75</f>
        <v>75</v>
      </c>
      <c r="C8" s="7">
        <f>75</f>
        <v>75</v>
      </c>
      <c r="D8" s="7">
        <f>75</f>
        <v>75</v>
      </c>
      <c r="E8" s="7">
        <f>75</f>
        <v>75</v>
      </c>
      <c r="F8" s="7">
        <f>75</f>
        <v>75</v>
      </c>
      <c r="G8" s="7">
        <f>75</f>
        <v>75</v>
      </c>
      <c r="H8" s="7">
        <f>75</f>
        <v>75</v>
      </c>
      <c r="I8" s="7">
        <f>75</f>
        <v>75</v>
      </c>
      <c r="J8" s="7">
        <f>75</f>
        <v>75</v>
      </c>
      <c r="K8" s="7">
        <f>75</f>
        <v>75</v>
      </c>
      <c r="L8" s="7">
        <f>75</f>
        <v>75</v>
      </c>
      <c r="M8" s="7">
        <f>75</f>
        <v>75</v>
      </c>
      <c r="N8" s="11">
        <v>1500</v>
      </c>
    </row>
    <row r="9" spans="1:14" x14ac:dyDescent="0.25">
      <c r="A9" s="5" t="s">
        <v>4</v>
      </c>
      <c r="B9" s="7">
        <f>1666.66</f>
        <v>1666.66</v>
      </c>
      <c r="C9" s="7">
        <f>1666.66</f>
        <v>1666.66</v>
      </c>
      <c r="D9" s="7">
        <f>1666.66</f>
        <v>1666.66</v>
      </c>
      <c r="E9" s="7">
        <f>1666.66</f>
        <v>1666.66</v>
      </c>
      <c r="F9" s="7">
        <f t="shared" ref="F9:M9" si="1">1666.67</f>
        <v>1666.67</v>
      </c>
      <c r="G9" s="7">
        <f t="shared" si="1"/>
        <v>1666.67</v>
      </c>
      <c r="H9" s="7">
        <f t="shared" si="1"/>
        <v>1666.67</v>
      </c>
      <c r="I9" s="7">
        <f t="shared" si="1"/>
        <v>1666.67</v>
      </c>
      <c r="J9" s="7">
        <f t="shared" si="1"/>
        <v>1666.67</v>
      </c>
      <c r="K9" s="7">
        <f t="shared" si="1"/>
        <v>1666.67</v>
      </c>
      <c r="L9" s="7">
        <f t="shared" si="1"/>
        <v>1666.67</v>
      </c>
      <c r="M9" s="7">
        <f t="shared" si="1"/>
        <v>1666.67</v>
      </c>
      <c r="N9" s="11">
        <v>25000</v>
      </c>
    </row>
    <row r="10" spans="1:14" x14ac:dyDescent="0.25">
      <c r="A10" s="5" t="s">
        <v>5</v>
      </c>
      <c r="B10" s="7">
        <f>208.34</f>
        <v>208.34</v>
      </c>
      <c r="C10" s="7">
        <f>208.34</f>
        <v>208.34</v>
      </c>
      <c r="D10" s="7">
        <f>208.34</f>
        <v>208.34</v>
      </c>
      <c r="E10" s="7">
        <f>208.34</f>
        <v>208.34</v>
      </c>
      <c r="F10" s="7">
        <f t="shared" ref="F10:M10" si="2">208.33</f>
        <v>208.33</v>
      </c>
      <c r="G10" s="7">
        <f t="shared" si="2"/>
        <v>208.33</v>
      </c>
      <c r="H10" s="7">
        <f t="shared" si="2"/>
        <v>208.33</v>
      </c>
      <c r="I10" s="7">
        <f t="shared" si="2"/>
        <v>208.33</v>
      </c>
      <c r="J10" s="7">
        <f t="shared" si="2"/>
        <v>208.33</v>
      </c>
      <c r="K10" s="7">
        <f t="shared" si="2"/>
        <v>208.33</v>
      </c>
      <c r="L10" s="7">
        <f t="shared" si="2"/>
        <v>208.33</v>
      </c>
      <c r="M10" s="7">
        <f t="shared" si="2"/>
        <v>208.33</v>
      </c>
      <c r="N10" s="11">
        <v>3000</v>
      </c>
    </row>
    <row r="11" spans="1:14" x14ac:dyDescent="0.25">
      <c r="A11" s="5" t="s">
        <v>6</v>
      </c>
      <c r="B11" s="7">
        <f t="shared" ref="B11:E14" si="3">291.66</f>
        <v>291.66000000000003</v>
      </c>
      <c r="C11" s="7">
        <f t="shared" si="3"/>
        <v>291.66000000000003</v>
      </c>
      <c r="D11" s="7">
        <f t="shared" si="3"/>
        <v>291.66000000000003</v>
      </c>
      <c r="E11" s="7">
        <f t="shared" si="3"/>
        <v>291.66000000000003</v>
      </c>
      <c r="F11" s="7">
        <f t="shared" ref="F11:M14" si="4">291.67</f>
        <v>291.67</v>
      </c>
      <c r="G11" s="7">
        <f t="shared" si="4"/>
        <v>291.67</v>
      </c>
      <c r="H11" s="7">
        <f t="shared" si="4"/>
        <v>291.67</v>
      </c>
      <c r="I11" s="7">
        <f t="shared" si="4"/>
        <v>291.67</v>
      </c>
      <c r="J11" s="7">
        <f t="shared" si="4"/>
        <v>291.67</v>
      </c>
      <c r="K11" s="7">
        <f t="shared" si="4"/>
        <v>291.67</v>
      </c>
      <c r="L11" s="7">
        <f t="shared" si="4"/>
        <v>291.67</v>
      </c>
      <c r="M11" s="7">
        <f t="shared" si="4"/>
        <v>291.67</v>
      </c>
      <c r="N11" s="11">
        <v>10000</v>
      </c>
    </row>
    <row r="12" spans="1:14" x14ac:dyDescent="0.25">
      <c r="A12" s="5" t="s">
        <v>55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1">
        <v>1500</v>
      </c>
    </row>
    <row r="13" spans="1:14" x14ac:dyDescent="0.25">
      <c r="A13" s="5" t="s">
        <v>54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11">
        <v>10000</v>
      </c>
    </row>
    <row r="14" spans="1:14" x14ac:dyDescent="0.25">
      <c r="A14" s="5" t="s">
        <v>7</v>
      </c>
      <c r="B14" s="7">
        <f t="shared" si="3"/>
        <v>291.66000000000003</v>
      </c>
      <c r="C14" s="7">
        <f t="shared" si="3"/>
        <v>291.66000000000003</v>
      </c>
      <c r="D14" s="7">
        <f t="shared" si="3"/>
        <v>291.66000000000003</v>
      </c>
      <c r="E14" s="7">
        <f t="shared" si="3"/>
        <v>291.66000000000003</v>
      </c>
      <c r="F14" s="7">
        <f t="shared" si="4"/>
        <v>291.67</v>
      </c>
      <c r="G14" s="7">
        <f t="shared" si="4"/>
        <v>291.67</v>
      </c>
      <c r="H14" s="7">
        <f t="shared" si="4"/>
        <v>291.67</v>
      </c>
      <c r="I14" s="7">
        <f t="shared" si="4"/>
        <v>291.67</v>
      </c>
      <c r="J14" s="7">
        <f t="shared" si="4"/>
        <v>291.67</v>
      </c>
      <c r="K14" s="7">
        <f t="shared" si="4"/>
        <v>291.67</v>
      </c>
      <c r="L14" s="7">
        <f t="shared" si="4"/>
        <v>291.67</v>
      </c>
      <c r="M14" s="7">
        <f t="shared" si="4"/>
        <v>291.67</v>
      </c>
      <c r="N14" s="11">
        <v>1000</v>
      </c>
    </row>
    <row r="15" spans="1:14" x14ac:dyDescent="0.25">
      <c r="A15" s="5" t="s">
        <v>31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1">
        <v>1500</v>
      </c>
    </row>
    <row r="16" spans="1:14" x14ac:dyDescent="0.25">
      <c r="A16" s="5" t="s">
        <v>8</v>
      </c>
      <c r="B16" s="7">
        <f>208.34</f>
        <v>208.34</v>
      </c>
      <c r="C16" s="7">
        <f>208.34</f>
        <v>208.34</v>
      </c>
      <c r="D16" s="7">
        <f>208.34</f>
        <v>208.34</v>
      </c>
      <c r="E16" s="7">
        <f>208.34</f>
        <v>208.34</v>
      </c>
      <c r="F16" s="7">
        <f t="shared" ref="F16:M16" si="5">208.33</f>
        <v>208.33</v>
      </c>
      <c r="G16" s="7">
        <f t="shared" si="5"/>
        <v>208.33</v>
      </c>
      <c r="H16" s="7">
        <f t="shared" si="5"/>
        <v>208.33</v>
      </c>
      <c r="I16" s="7">
        <f t="shared" si="5"/>
        <v>208.33</v>
      </c>
      <c r="J16" s="7">
        <f t="shared" si="5"/>
        <v>208.33</v>
      </c>
      <c r="K16" s="7">
        <f t="shared" si="5"/>
        <v>208.33</v>
      </c>
      <c r="L16" s="7">
        <f t="shared" si="5"/>
        <v>208.33</v>
      </c>
      <c r="M16" s="7">
        <f t="shared" si="5"/>
        <v>208.33</v>
      </c>
      <c r="N16" s="11">
        <v>8500</v>
      </c>
    </row>
    <row r="17" spans="1:14" x14ac:dyDescent="0.25">
      <c r="A17" s="5" t="s">
        <v>30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11">
        <v>0</v>
      </c>
    </row>
    <row r="18" spans="1:14" x14ac:dyDescent="0.25">
      <c r="A18" s="5" t="s">
        <v>9</v>
      </c>
      <c r="B18" s="7">
        <f>41.66</f>
        <v>41.66</v>
      </c>
      <c r="C18" s="7">
        <f>41.66</f>
        <v>41.66</v>
      </c>
      <c r="D18" s="7">
        <f>41.66</f>
        <v>41.66</v>
      </c>
      <c r="E18" s="7">
        <f>41.66</f>
        <v>41.66</v>
      </c>
      <c r="F18" s="7">
        <f t="shared" ref="F18:M18" si="6">41.67</f>
        <v>41.67</v>
      </c>
      <c r="G18" s="7">
        <f t="shared" si="6"/>
        <v>41.67</v>
      </c>
      <c r="H18" s="7">
        <f t="shared" si="6"/>
        <v>41.67</v>
      </c>
      <c r="I18" s="7">
        <f t="shared" si="6"/>
        <v>41.67</v>
      </c>
      <c r="J18" s="7">
        <f t="shared" si="6"/>
        <v>41.67</v>
      </c>
      <c r="K18" s="7">
        <f t="shared" si="6"/>
        <v>41.67</v>
      </c>
      <c r="L18" s="7">
        <f t="shared" si="6"/>
        <v>41.67</v>
      </c>
      <c r="M18" s="7">
        <f t="shared" si="6"/>
        <v>41.67</v>
      </c>
      <c r="N18" s="11">
        <v>15000</v>
      </c>
    </row>
    <row r="19" spans="1:14" x14ac:dyDescent="0.25">
      <c r="A19" s="5" t="s">
        <v>10</v>
      </c>
      <c r="B19" s="7">
        <f>2250</f>
        <v>2250</v>
      </c>
      <c r="C19" s="7">
        <f>2250</f>
        <v>2250</v>
      </c>
      <c r="D19" s="7">
        <f>2250</f>
        <v>2250</v>
      </c>
      <c r="E19" s="7">
        <f>2250</f>
        <v>2250</v>
      </c>
      <c r="F19" s="7">
        <f>2250</f>
        <v>2250</v>
      </c>
      <c r="G19" s="7">
        <f>2250</f>
        <v>2250</v>
      </c>
      <c r="H19" s="7">
        <f>2250</f>
        <v>2250</v>
      </c>
      <c r="I19" s="7">
        <f>2250</f>
        <v>2250</v>
      </c>
      <c r="J19" s="7">
        <f>2250</f>
        <v>2250</v>
      </c>
      <c r="K19" s="7">
        <f>2250</f>
        <v>2250</v>
      </c>
      <c r="L19" s="7">
        <f>2250</f>
        <v>2250</v>
      </c>
      <c r="M19" s="7">
        <f>2250</f>
        <v>2250</v>
      </c>
      <c r="N19" s="11">
        <v>34000</v>
      </c>
    </row>
    <row r="20" spans="1:14" x14ac:dyDescent="0.25">
      <c r="A20" s="5" t="s">
        <v>11</v>
      </c>
      <c r="B20" s="7">
        <f>700</f>
        <v>700</v>
      </c>
      <c r="C20" s="7">
        <f>700</f>
        <v>700</v>
      </c>
      <c r="D20" s="7">
        <f>700</f>
        <v>700</v>
      </c>
      <c r="E20" s="7">
        <f>700</f>
        <v>700</v>
      </c>
      <c r="F20" s="7">
        <f>700</f>
        <v>700</v>
      </c>
      <c r="G20" s="7">
        <f>700</f>
        <v>700</v>
      </c>
      <c r="H20" s="7">
        <f>700</f>
        <v>700</v>
      </c>
      <c r="I20" s="7">
        <f>700</f>
        <v>700</v>
      </c>
      <c r="J20" s="7">
        <f>700</f>
        <v>700</v>
      </c>
      <c r="K20" s="7">
        <f>700</f>
        <v>700</v>
      </c>
      <c r="L20" s="7">
        <f>700</f>
        <v>700</v>
      </c>
      <c r="M20" s="7">
        <f>700</f>
        <v>700</v>
      </c>
      <c r="N20" s="11">
        <v>13000</v>
      </c>
    </row>
    <row r="21" spans="1:14" x14ac:dyDescent="0.25">
      <c r="A21" s="5" t="s">
        <v>72</v>
      </c>
      <c r="N21" s="11">
        <v>6000</v>
      </c>
    </row>
    <row r="22" spans="1:14" x14ac:dyDescent="0.25">
      <c r="A22" s="5" t="s">
        <v>12</v>
      </c>
      <c r="B22" s="7">
        <f>41.66</f>
        <v>41.66</v>
      </c>
      <c r="C22" s="7">
        <f>41.66</f>
        <v>41.66</v>
      </c>
      <c r="D22" s="7">
        <f>41.66</f>
        <v>41.66</v>
      </c>
      <c r="E22" s="7">
        <f>41.66</f>
        <v>41.66</v>
      </c>
      <c r="F22" s="7">
        <f t="shared" ref="F22:M22" si="7">41.67</f>
        <v>41.67</v>
      </c>
      <c r="G22" s="7">
        <f t="shared" si="7"/>
        <v>41.67</v>
      </c>
      <c r="H22" s="7">
        <f t="shared" si="7"/>
        <v>41.67</v>
      </c>
      <c r="I22" s="7">
        <f t="shared" si="7"/>
        <v>41.67</v>
      </c>
      <c r="J22" s="7">
        <f t="shared" si="7"/>
        <v>41.67</v>
      </c>
      <c r="K22" s="7">
        <f t="shared" si="7"/>
        <v>41.67</v>
      </c>
      <c r="L22" s="7">
        <f t="shared" si="7"/>
        <v>41.67</v>
      </c>
      <c r="M22" s="7">
        <f t="shared" si="7"/>
        <v>41.67</v>
      </c>
      <c r="N22" s="11">
        <v>700</v>
      </c>
    </row>
    <row r="23" spans="1:14" x14ac:dyDescent="0.25">
      <c r="A23" s="5" t="s">
        <v>13</v>
      </c>
      <c r="B23" s="7">
        <f>4583.34</f>
        <v>4583.34</v>
      </c>
      <c r="C23" s="7">
        <f>4583.34</f>
        <v>4583.34</v>
      </c>
      <c r="D23" s="7">
        <f>4583.34</f>
        <v>4583.34</v>
      </c>
      <c r="E23" s="7">
        <f>4583.34</f>
        <v>4583.34</v>
      </c>
      <c r="F23" s="7">
        <f t="shared" ref="F23:M23" si="8">4583.33</f>
        <v>4583.33</v>
      </c>
      <c r="G23" s="7">
        <f t="shared" si="8"/>
        <v>4583.33</v>
      </c>
      <c r="H23" s="7">
        <f t="shared" si="8"/>
        <v>4583.33</v>
      </c>
      <c r="I23" s="7">
        <f t="shared" si="8"/>
        <v>4583.33</v>
      </c>
      <c r="J23" s="7">
        <f t="shared" si="8"/>
        <v>4583.33</v>
      </c>
      <c r="K23" s="7">
        <f t="shared" si="8"/>
        <v>4583.33</v>
      </c>
      <c r="L23" s="7">
        <f t="shared" si="8"/>
        <v>4583.33</v>
      </c>
      <c r="M23" s="7">
        <f t="shared" si="8"/>
        <v>4583.33</v>
      </c>
      <c r="N23" s="11">
        <v>100000</v>
      </c>
    </row>
    <row r="24" spans="1:14" x14ac:dyDescent="0.25">
      <c r="A24" s="5" t="s">
        <v>73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1">
        <v>2000</v>
      </c>
    </row>
    <row r="25" spans="1:14" x14ac:dyDescent="0.25">
      <c r="A25" s="5" t="s">
        <v>74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11">
        <v>2500</v>
      </c>
    </row>
    <row r="26" spans="1:14" x14ac:dyDescent="0.25">
      <c r="A26" s="5" t="s">
        <v>75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1">
        <v>32000</v>
      </c>
    </row>
    <row r="27" spans="1:14" x14ac:dyDescent="0.25">
      <c r="A27" s="5" t="s">
        <v>76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11">
        <v>0</v>
      </c>
    </row>
    <row r="28" spans="1:14" x14ac:dyDescent="0.25">
      <c r="A28" s="5" t="s">
        <v>77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11">
        <v>0</v>
      </c>
    </row>
    <row r="29" spans="1:14" x14ac:dyDescent="0.25">
      <c r="A29" s="5" t="s">
        <v>78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11">
        <v>1500</v>
      </c>
    </row>
    <row r="30" spans="1:14" x14ac:dyDescent="0.25">
      <c r="A30" s="5" t="s">
        <v>79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11">
        <v>0</v>
      </c>
    </row>
    <row r="31" spans="1:14" x14ac:dyDescent="0.25">
      <c r="A31" s="5" t="s">
        <v>80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11">
        <v>1000</v>
      </c>
    </row>
    <row r="32" spans="1:14" x14ac:dyDescent="0.25">
      <c r="A32" s="5" t="s">
        <v>81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11">
        <v>500</v>
      </c>
    </row>
    <row r="33" spans="1:15" x14ac:dyDescent="0.25">
      <c r="A33" s="5" t="s">
        <v>82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11">
        <v>700</v>
      </c>
    </row>
    <row r="34" spans="1:15" x14ac:dyDescent="0.25">
      <c r="A34" s="5" t="s">
        <v>83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11"/>
    </row>
    <row r="35" spans="1:15" x14ac:dyDescent="0.25">
      <c r="A35" s="5" t="s">
        <v>84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11">
        <v>500</v>
      </c>
    </row>
    <row r="36" spans="1:15" x14ac:dyDescent="0.25">
      <c r="A36" s="5" t="s">
        <v>85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11"/>
    </row>
    <row r="37" spans="1:15" x14ac:dyDescent="0.25">
      <c r="A37" s="5" t="s">
        <v>86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11"/>
    </row>
    <row r="38" spans="1:15" ht="15.75" thickBot="1" x14ac:dyDescent="0.3">
      <c r="A38" s="5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12">
        <f>SUM(N6:N37)</f>
        <v>866797</v>
      </c>
    </row>
    <row r="39" spans="1:15" ht="15.75" thickTop="1" x14ac:dyDescent="0.25">
      <c r="A39" s="5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2"/>
    </row>
    <row r="40" spans="1:15" ht="15.75" thickBot="1" x14ac:dyDescent="0.3">
      <c r="A40" s="8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2"/>
      <c r="O40" s="17"/>
    </row>
    <row r="41" spans="1:15" ht="15.75" thickTop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5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5" x14ac:dyDescent="0.25">
      <c r="A43" s="5" t="s">
        <v>14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5" x14ac:dyDescent="0.25">
      <c r="A44" s="5" t="s">
        <v>15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5" x14ac:dyDescent="0.25">
      <c r="A45" s="5" t="s">
        <v>32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11">
        <v>300</v>
      </c>
    </row>
    <row r="46" spans="1:15" x14ac:dyDescent="0.25">
      <c r="A46" s="5" t="s">
        <v>16</v>
      </c>
      <c r="B46" s="7">
        <f>291.66</f>
        <v>291.66000000000003</v>
      </c>
      <c r="C46" s="7">
        <f>291.66</f>
        <v>291.66000000000003</v>
      </c>
      <c r="D46" s="7">
        <f>291.66</f>
        <v>291.66000000000003</v>
      </c>
      <c r="E46" s="7">
        <f>291.66</f>
        <v>291.66000000000003</v>
      </c>
      <c r="F46" s="7">
        <f t="shared" ref="F46:M46" si="9">291.67</f>
        <v>291.67</v>
      </c>
      <c r="G46" s="7">
        <f t="shared" si="9"/>
        <v>291.67</v>
      </c>
      <c r="H46" s="7">
        <f t="shared" si="9"/>
        <v>291.67</v>
      </c>
      <c r="I46" s="7">
        <f t="shared" si="9"/>
        <v>291.67</v>
      </c>
      <c r="J46" s="7">
        <f t="shared" si="9"/>
        <v>291.67</v>
      </c>
      <c r="K46" s="7">
        <f t="shared" si="9"/>
        <v>291.67</v>
      </c>
      <c r="L46" s="7">
        <f t="shared" si="9"/>
        <v>291.67</v>
      </c>
      <c r="M46" s="7">
        <f t="shared" si="9"/>
        <v>291.67</v>
      </c>
      <c r="N46" s="11">
        <v>3200</v>
      </c>
    </row>
    <row r="47" spans="1:15" x14ac:dyDescent="0.25">
      <c r="A47" s="8" t="s">
        <v>39</v>
      </c>
      <c r="B47" s="7">
        <f>1333.34</f>
        <v>1333.34</v>
      </c>
      <c r="C47" s="7">
        <f>1333.34</f>
        <v>1333.34</v>
      </c>
      <c r="D47" s="7">
        <f>1333.34</f>
        <v>1333.34</v>
      </c>
      <c r="E47" s="7">
        <f>1333.34</f>
        <v>1333.34</v>
      </c>
      <c r="F47" s="7">
        <f t="shared" ref="F47:M47" si="10">1333.33</f>
        <v>1333.33</v>
      </c>
      <c r="G47" s="7">
        <f t="shared" si="10"/>
        <v>1333.33</v>
      </c>
      <c r="H47" s="7">
        <f t="shared" si="10"/>
        <v>1333.33</v>
      </c>
      <c r="I47" s="7">
        <f t="shared" si="10"/>
        <v>1333.33</v>
      </c>
      <c r="J47" s="7">
        <f t="shared" si="10"/>
        <v>1333.33</v>
      </c>
      <c r="K47" s="7">
        <f t="shared" si="10"/>
        <v>1333.33</v>
      </c>
      <c r="L47" s="7">
        <f t="shared" si="10"/>
        <v>1333.33</v>
      </c>
      <c r="M47" s="7">
        <f t="shared" si="10"/>
        <v>1333.33</v>
      </c>
      <c r="N47" s="11">
        <v>18000</v>
      </c>
    </row>
    <row r="48" spans="1:15" x14ac:dyDescent="0.25">
      <c r="A48" s="5" t="s">
        <v>17</v>
      </c>
      <c r="B48" s="7">
        <f>2041.66</f>
        <v>2041.66</v>
      </c>
      <c r="C48" s="7">
        <f>2041.66</f>
        <v>2041.66</v>
      </c>
      <c r="D48" s="7">
        <f>2041.66</f>
        <v>2041.66</v>
      </c>
      <c r="E48" s="7">
        <f>2041.66</f>
        <v>2041.66</v>
      </c>
      <c r="F48" s="7">
        <f t="shared" ref="F48:M48" si="11">2041.67</f>
        <v>2041.67</v>
      </c>
      <c r="G48" s="7">
        <f t="shared" si="11"/>
        <v>2041.67</v>
      </c>
      <c r="H48" s="7">
        <f t="shared" si="11"/>
        <v>2041.67</v>
      </c>
      <c r="I48" s="7">
        <f t="shared" si="11"/>
        <v>2041.67</v>
      </c>
      <c r="J48" s="7">
        <f t="shared" si="11"/>
        <v>2041.67</v>
      </c>
      <c r="K48" s="7">
        <f t="shared" si="11"/>
        <v>2041.67</v>
      </c>
      <c r="L48" s="7">
        <f t="shared" si="11"/>
        <v>2041.67</v>
      </c>
      <c r="M48" s="7">
        <f t="shared" si="11"/>
        <v>2041.67</v>
      </c>
      <c r="N48" s="11">
        <v>34000</v>
      </c>
    </row>
    <row r="49" spans="1:14" x14ac:dyDescent="0.25">
      <c r="A49" s="5" t="s">
        <v>87</v>
      </c>
      <c r="B49" s="7">
        <f>291.66</f>
        <v>291.66000000000003</v>
      </c>
      <c r="C49" s="7">
        <f>291.66</f>
        <v>291.66000000000003</v>
      </c>
      <c r="D49" s="7">
        <f>291.66</f>
        <v>291.66000000000003</v>
      </c>
      <c r="E49" s="7">
        <f>291.66</f>
        <v>291.66000000000003</v>
      </c>
      <c r="F49" s="7">
        <f t="shared" ref="F49:M49" si="12">291.67</f>
        <v>291.67</v>
      </c>
      <c r="G49" s="7">
        <f t="shared" si="12"/>
        <v>291.67</v>
      </c>
      <c r="H49" s="7">
        <f t="shared" si="12"/>
        <v>291.67</v>
      </c>
      <c r="I49" s="7">
        <f t="shared" si="12"/>
        <v>291.67</v>
      </c>
      <c r="J49" s="7">
        <f t="shared" si="12"/>
        <v>291.67</v>
      </c>
      <c r="K49" s="7">
        <f t="shared" si="12"/>
        <v>291.67</v>
      </c>
      <c r="L49" s="7">
        <f t="shared" si="12"/>
        <v>291.67</v>
      </c>
      <c r="M49" s="7">
        <f t="shared" si="12"/>
        <v>291.67</v>
      </c>
      <c r="N49" s="11">
        <v>2500</v>
      </c>
    </row>
    <row r="50" spans="1:14" x14ac:dyDescent="0.25">
      <c r="A50" s="5" t="s">
        <v>18</v>
      </c>
      <c r="B50" s="7">
        <f>1666.66</f>
        <v>1666.66</v>
      </c>
      <c r="C50" s="7">
        <f>1666.66</f>
        <v>1666.66</v>
      </c>
      <c r="D50" s="7">
        <f>1666.66</f>
        <v>1666.66</v>
      </c>
      <c r="E50" s="7">
        <f>1666.66</f>
        <v>1666.66</v>
      </c>
      <c r="F50" s="7">
        <f t="shared" ref="F50:M50" si="13">1666.67</f>
        <v>1666.67</v>
      </c>
      <c r="G50" s="7">
        <f t="shared" si="13"/>
        <v>1666.67</v>
      </c>
      <c r="H50" s="7">
        <f t="shared" si="13"/>
        <v>1666.67</v>
      </c>
      <c r="I50" s="7">
        <f t="shared" si="13"/>
        <v>1666.67</v>
      </c>
      <c r="J50" s="7">
        <f t="shared" si="13"/>
        <v>1666.67</v>
      </c>
      <c r="K50" s="7">
        <f t="shared" si="13"/>
        <v>1666.67</v>
      </c>
      <c r="L50" s="7">
        <f t="shared" si="13"/>
        <v>1666.67</v>
      </c>
      <c r="M50" s="7">
        <f t="shared" si="13"/>
        <v>1666.67</v>
      </c>
      <c r="N50" s="11">
        <v>30543</v>
      </c>
    </row>
    <row r="51" spans="1:14" x14ac:dyDescent="0.25">
      <c r="A51" s="5" t="s">
        <v>19</v>
      </c>
      <c r="B51" s="7">
        <f>166.66</f>
        <v>166.66</v>
      </c>
      <c r="C51" s="7">
        <f>166.66</f>
        <v>166.66</v>
      </c>
      <c r="D51" s="7">
        <f>166.66</f>
        <v>166.66</v>
      </c>
      <c r="E51" s="7">
        <f>166.66</f>
        <v>166.66</v>
      </c>
      <c r="F51" s="7">
        <f t="shared" ref="F51:M51" si="14">166.67</f>
        <v>166.67</v>
      </c>
      <c r="G51" s="7">
        <f t="shared" si="14"/>
        <v>166.67</v>
      </c>
      <c r="H51" s="7">
        <f t="shared" si="14"/>
        <v>166.67</v>
      </c>
      <c r="I51" s="7">
        <f t="shared" si="14"/>
        <v>166.67</v>
      </c>
      <c r="J51" s="7">
        <f t="shared" si="14"/>
        <v>166.67</v>
      </c>
      <c r="K51" s="7">
        <f t="shared" si="14"/>
        <v>166.67</v>
      </c>
      <c r="L51" s="7">
        <f t="shared" si="14"/>
        <v>166.67</v>
      </c>
      <c r="M51" s="7">
        <f t="shared" si="14"/>
        <v>166.67</v>
      </c>
      <c r="N51" s="11">
        <v>1084</v>
      </c>
    </row>
    <row r="52" spans="1:14" x14ac:dyDescent="0.25">
      <c r="A52" s="5" t="s">
        <v>88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11">
        <v>500</v>
      </c>
    </row>
    <row r="53" spans="1:14" x14ac:dyDescent="0.25">
      <c r="A53" s="5" t="s">
        <v>115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11">
        <v>500</v>
      </c>
    </row>
    <row r="54" spans="1:14" x14ac:dyDescent="0.25">
      <c r="A54" s="5" t="s">
        <v>89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11">
        <v>500</v>
      </c>
    </row>
    <row r="55" spans="1:14" x14ac:dyDescent="0.25">
      <c r="A55" s="5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11"/>
    </row>
    <row r="56" spans="1:14" x14ac:dyDescent="0.25">
      <c r="A56" s="5" t="s">
        <v>52</v>
      </c>
      <c r="B56" s="3" t="e">
        <f>(((((((B44)+(B46))+(B47))+(B48))+(B49))+(#REF!))+(B50))+(B51)</f>
        <v>#REF!</v>
      </c>
      <c r="C56" s="3" t="e">
        <f>(((((((C44)+(C46))+(C47))+(C48))+(C49))+(#REF!))+(C50))+(C51)</f>
        <v>#REF!</v>
      </c>
      <c r="D56" s="3" t="e">
        <f>(((((((D44)+(D46))+(D47))+(D48))+(D49))+(#REF!))+(D50))+(D51)</f>
        <v>#REF!</v>
      </c>
      <c r="E56" s="3" t="e">
        <f>(((((((E44)+(E46))+(E47))+(E48))+(E49))+(#REF!))+(E50))+(E51)</f>
        <v>#REF!</v>
      </c>
      <c r="F56" s="3" t="e">
        <f>(((((((F44)+(F46))+(F47))+(F48))+(F49))+(#REF!))+(F50))+(F51)</f>
        <v>#REF!</v>
      </c>
      <c r="G56" s="3" t="e">
        <f>(((((((G44)+(G46))+(G47))+(G48))+(G49))+(#REF!))+(G50))+(G51)</f>
        <v>#REF!</v>
      </c>
      <c r="H56" s="3" t="e">
        <f>(((((((H44)+(H46))+(H47))+(H48))+(H49))+(#REF!))+(H50))+(H51)</f>
        <v>#REF!</v>
      </c>
      <c r="I56" s="3" t="e">
        <f>(((((((I44)+(I46))+(I47))+(I48))+(I49))+(#REF!))+(I50))+(I51)</f>
        <v>#REF!</v>
      </c>
      <c r="J56" s="3" t="e">
        <f>(((((((J44)+(J46))+(J47))+(J48))+(J49))+(#REF!))+(J50))+(J51)</f>
        <v>#REF!</v>
      </c>
      <c r="K56" s="3" t="e">
        <f>(((((((K44)+(K46))+(K47))+(K48))+(K49))+(#REF!))+(K50))+(K51)</f>
        <v>#REF!</v>
      </c>
      <c r="L56" s="3" t="e">
        <f>(((((((L44)+(L46))+(L47))+(L48))+(L49))+(#REF!))+(L50))+(L51)</f>
        <v>#REF!</v>
      </c>
      <c r="M56" s="3" t="e">
        <f>(((((((M44)+(M46))+(M47))+(M48))+(M49))+(#REF!))+(M50))+(M51)</f>
        <v>#REF!</v>
      </c>
      <c r="N56" s="13">
        <f>SUM(N45:N54)</f>
        <v>91127</v>
      </c>
    </row>
    <row r="57" spans="1:14" x14ac:dyDescent="0.25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4" x14ac:dyDescent="0.25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4" x14ac:dyDescent="0.25">
      <c r="A59" s="5" t="s">
        <v>57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4" x14ac:dyDescent="0.25">
      <c r="A60" s="5" t="s">
        <v>90</v>
      </c>
      <c r="B60" s="7">
        <f>1000</f>
        <v>1000</v>
      </c>
      <c r="C60" s="7">
        <f>1000</f>
        <v>1000</v>
      </c>
      <c r="D60" s="7">
        <f>1000</f>
        <v>1000</v>
      </c>
      <c r="E60" s="7">
        <f>1000</f>
        <v>1000</v>
      </c>
      <c r="F60" s="7">
        <f>1000</f>
        <v>1000</v>
      </c>
      <c r="G60" s="7">
        <f>1000</f>
        <v>1000</v>
      </c>
      <c r="H60" s="7">
        <f>1000</f>
        <v>1000</v>
      </c>
      <c r="I60" s="7">
        <f>1000</f>
        <v>1000</v>
      </c>
      <c r="J60" s="7">
        <f>1000</f>
        <v>1000</v>
      </c>
      <c r="K60" s="7">
        <f>1000</f>
        <v>1000</v>
      </c>
      <c r="L60" s="7">
        <f>1000</f>
        <v>1000</v>
      </c>
      <c r="M60" s="7">
        <f>1000</f>
        <v>1000</v>
      </c>
      <c r="N60" s="11">
        <v>25000</v>
      </c>
    </row>
    <row r="61" spans="1:14" x14ac:dyDescent="0.25">
      <c r="A61" s="5" t="s">
        <v>91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11">
        <v>6800</v>
      </c>
    </row>
    <row r="62" spans="1:14" x14ac:dyDescent="0.25">
      <c r="A62" s="5" t="s">
        <v>20</v>
      </c>
      <c r="B62" s="7">
        <f>166.66</f>
        <v>166.66</v>
      </c>
      <c r="C62" s="7">
        <f>166.66</f>
        <v>166.66</v>
      </c>
      <c r="D62" s="7">
        <f>166.66</f>
        <v>166.66</v>
      </c>
      <c r="E62" s="7">
        <f>166.66</f>
        <v>166.66</v>
      </c>
      <c r="F62" s="7">
        <f t="shared" ref="F62:M62" si="15">166.67</f>
        <v>166.67</v>
      </c>
      <c r="G62" s="7">
        <f t="shared" si="15"/>
        <v>166.67</v>
      </c>
      <c r="H62" s="7">
        <f t="shared" si="15"/>
        <v>166.67</v>
      </c>
      <c r="I62" s="7">
        <f t="shared" si="15"/>
        <v>166.67</v>
      </c>
      <c r="J62" s="7">
        <f t="shared" si="15"/>
        <v>166.67</v>
      </c>
      <c r="K62" s="7">
        <f t="shared" si="15"/>
        <v>166.67</v>
      </c>
      <c r="L62" s="7">
        <f t="shared" si="15"/>
        <v>166.67</v>
      </c>
      <c r="M62" s="7">
        <f t="shared" si="15"/>
        <v>166.67</v>
      </c>
      <c r="N62" s="11">
        <v>200</v>
      </c>
    </row>
    <row r="63" spans="1:14" x14ac:dyDescent="0.25">
      <c r="A63" s="5" t="s">
        <v>21</v>
      </c>
      <c r="B63" s="7">
        <f>125</f>
        <v>125</v>
      </c>
      <c r="C63" s="7">
        <f>125</f>
        <v>125</v>
      </c>
      <c r="D63" s="7">
        <f>125</f>
        <v>125</v>
      </c>
      <c r="E63" s="7">
        <f>125</f>
        <v>125</v>
      </c>
      <c r="F63" s="7">
        <f>125</f>
        <v>125</v>
      </c>
      <c r="G63" s="7">
        <f>125</f>
        <v>125</v>
      </c>
      <c r="H63" s="7">
        <f>125</f>
        <v>125</v>
      </c>
      <c r="I63" s="7">
        <f>125</f>
        <v>125</v>
      </c>
      <c r="J63" s="7">
        <f>125</f>
        <v>125</v>
      </c>
      <c r="K63" s="7">
        <f>125</f>
        <v>125</v>
      </c>
      <c r="L63" s="7">
        <f>125</f>
        <v>125</v>
      </c>
      <c r="M63" s="7">
        <f>125</f>
        <v>125</v>
      </c>
      <c r="N63" s="11">
        <v>2500</v>
      </c>
    </row>
    <row r="64" spans="1:14" x14ac:dyDescent="0.25">
      <c r="A64" s="5" t="s">
        <v>92</v>
      </c>
      <c r="N64" s="11">
        <v>2000</v>
      </c>
    </row>
    <row r="65" spans="1:14" x14ac:dyDescent="0.25">
      <c r="A65" s="5" t="s">
        <v>22</v>
      </c>
      <c r="B65" s="7">
        <f>83.34</f>
        <v>83.34</v>
      </c>
      <c r="C65" s="7">
        <f>83.34</f>
        <v>83.34</v>
      </c>
      <c r="D65" s="7">
        <f>83.34</f>
        <v>83.34</v>
      </c>
      <c r="E65" s="7">
        <f>83.34</f>
        <v>83.34</v>
      </c>
      <c r="F65" s="7">
        <f t="shared" ref="F65:M65" si="16">83.33</f>
        <v>83.33</v>
      </c>
      <c r="G65" s="7">
        <f t="shared" si="16"/>
        <v>83.33</v>
      </c>
      <c r="H65" s="7">
        <f t="shared" si="16"/>
        <v>83.33</v>
      </c>
      <c r="I65" s="7">
        <f t="shared" si="16"/>
        <v>83.33</v>
      </c>
      <c r="J65" s="7">
        <f t="shared" si="16"/>
        <v>83.33</v>
      </c>
      <c r="K65" s="7">
        <f t="shared" si="16"/>
        <v>83.33</v>
      </c>
      <c r="L65" s="7">
        <f t="shared" si="16"/>
        <v>83.33</v>
      </c>
      <c r="M65" s="7">
        <f t="shared" si="16"/>
        <v>83.33</v>
      </c>
      <c r="N65" s="11">
        <v>500</v>
      </c>
    </row>
    <row r="66" spans="1:14" x14ac:dyDescent="0.25">
      <c r="A66" s="5" t="s">
        <v>23</v>
      </c>
      <c r="B66" s="7">
        <f>666.66</f>
        <v>666.66</v>
      </c>
      <c r="C66" s="7">
        <f>666.66</f>
        <v>666.66</v>
      </c>
      <c r="D66" s="7">
        <f>666.66</f>
        <v>666.66</v>
      </c>
      <c r="E66" s="7">
        <f>666.66</f>
        <v>666.66</v>
      </c>
      <c r="F66" s="7">
        <f t="shared" ref="F66:M66" si="17">666.67</f>
        <v>666.67</v>
      </c>
      <c r="G66" s="7">
        <f t="shared" si="17"/>
        <v>666.67</v>
      </c>
      <c r="H66" s="7">
        <f t="shared" si="17"/>
        <v>666.67</v>
      </c>
      <c r="I66" s="7">
        <f t="shared" si="17"/>
        <v>666.67</v>
      </c>
      <c r="J66" s="7">
        <f t="shared" si="17"/>
        <v>666.67</v>
      </c>
      <c r="K66" s="7">
        <f t="shared" si="17"/>
        <v>666.67</v>
      </c>
      <c r="L66" s="7">
        <f t="shared" si="17"/>
        <v>666.67</v>
      </c>
      <c r="M66" s="7">
        <f t="shared" si="17"/>
        <v>666.67</v>
      </c>
      <c r="N66" s="11">
        <v>13500</v>
      </c>
    </row>
    <row r="67" spans="1:14" x14ac:dyDescent="0.25">
      <c r="A67" s="5" t="s">
        <v>24</v>
      </c>
      <c r="B67" s="7">
        <f>208.34</f>
        <v>208.34</v>
      </c>
      <c r="C67" s="7">
        <f>208.34</f>
        <v>208.34</v>
      </c>
      <c r="D67" s="7">
        <f>208.34</f>
        <v>208.34</v>
      </c>
      <c r="E67" s="7">
        <f>208.34</f>
        <v>208.34</v>
      </c>
      <c r="F67" s="7">
        <f t="shared" ref="F67:M67" si="18">208.33</f>
        <v>208.33</v>
      </c>
      <c r="G67" s="7">
        <f t="shared" si="18"/>
        <v>208.33</v>
      </c>
      <c r="H67" s="7">
        <f t="shared" si="18"/>
        <v>208.33</v>
      </c>
      <c r="I67" s="7">
        <f t="shared" si="18"/>
        <v>208.33</v>
      </c>
      <c r="J67" s="7">
        <f t="shared" si="18"/>
        <v>208.33</v>
      </c>
      <c r="K67" s="7">
        <f t="shared" si="18"/>
        <v>208.33</v>
      </c>
      <c r="L67" s="7">
        <f t="shared" si="18"/>
        <v>208.33</v>
      </c>
      <c r="M67" s="7">
        <f t="shared" si="18"/>
        <v>208.33</v>
      </c>
      <c r="N67" s="11">
        <v>2500</v>
      </c>
    </row>
    <row r="68" spans="1:14" x14ac:dyDescent="0.25">
      <c r="A68" s="5" t="s">
        <v>93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11">
        <v>2000</v>
      </c>
    </row>
    <row r="69" spans="1:14" x14ac:dyDescent="0.25">
      <c r="A69" s="5" t="s">
        <v>58</v>
      </c>
      <c r="B69" s="3">
        <f t="shared" ref="B69:M69" si="19">((((((B59)+(B60))+(B62))+(B63))+(B65))+(B66))+(B67)</f>
        <v>2250</v>
      </c>
      <c r="C69" s="3">
        <f t="shared" si="19"/>
        <v>2250</v>
      </c>
      <c r="D69" s="3">
        <f t="shared" si="19"/>
        <v>2250</v>
      </c>
      <c r="E69" s="3">
        <f t="shared" si="19"/>
        <v>2250</v>
      </c>
      <c r="F69" s="3">
        <f t="shared" si="19"/>
        <v>2250</v>
      </c>
      <c r="G69" s="3">
        <f t="shared" si="19"/>
        <v>2250</v>
      </c>
      <c r="H69" s="3">
        <f t="shared" si="19"/>
        <v>2250</v>
      </c>
      <c r="I69" s="3">
        <f t="shared" si="19"/>
        <v>2250</v>
      </c>
      <c r="J69" s="3">
        <f t="shared" si="19"/>
        <v>2250</v>
      </c>
      <c r="K69" s="3">
        <f t="shared" si="19"/>
        <v>2250</v>
      </c>
      <c r="L69" s="3">
        <f t="shared" si="19"/>
        <v>2250</v>
      </c>
      <c r="M69" s="3">
        <f t="shared" si="19"/>
        <v>2250</v>
      </c>
      <c r="N69" s="13">
        <f>SUM(N60:N68)</f>
        <v>55000</v>
      </c>
    </row>
    <row r="70" spans="1:14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4"/>
    </row>
    <row r="71" spans="1:14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4"/>
    </row>
    <row r="72" spans="1:14" x14ac:dyDescent="0.25">
      <c r="A72" s="5" t="s">
        <v>59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4" x14ac:dyDescent="0.25">
      <c r="A73" s="5" t="s">
        <v>94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11"/>
    </row>
    <row r="74" spans="1:14" x14ac:dyDescent="0.25">
      <c r="A74" s="5" t="s">
        <v>48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11">
        <v>500</v>
      </c>
    </row>
    <row r="75" spans="1:14" x14ac:dyDescent="0.25">
      <c r="A75" s="5" t="s">
        <v>49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11">
        <v>35000</v>
      </c>
    </row>
    <row r="76" spans="1:14" x14ac:dyDescent="0.25">
      <c r="A76" s="5" t="s">
        <v>50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11">
        <v>3000</v>
      </c>
    </row>
    <row r="77" spans="1:14" x14ac:dyDescent="0.25">
      <c r="A77" s="5" t="s">
        <v>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11">
        <v>550</v>
      </c>
    </row>
    <row r="78" spans="1:14" x14ac:dyDescent="0.25">
      <c r="A78" s="5" t="s">
        <v>95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11">
        <v>7452</v>
      </c>
    </row>
    <row r="79" spans="1:14" x14ac:dyDescent="0.25">
      <c r="A79" s="5" t="s">
        <v>60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13">
        <f>SUM(N74:N78)</f>
        <v>46502</v>
      </c>
    </row>
    <row r="80" spans="1:14" x14ac:dyDescent="0.25">
      <c r="A80" s="5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4"/>
    </row>
    <row r="81" spans="1:14" x14ac:dyDescent="0.25">
      <c r="A81" s="5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4"/>
    </row>
    <row r="82" spans="1:14" x14ac:dyDescent="0.25">
      <c r="A82" s="5" t="s">
        <v>61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4" x14ac:dyDescent="0.25">
      <c r="A83" s="5" t="s">
        <v>45</v>
      </c>
      <c r="B83" s="7">
        <f>208.34</f>
        <v>208.34</v>
      </c>
      <c r="C83" s="7">
        <f>208.34</f>
        <v>208.34</v>
      </c>
      <c r="D83" s="7">
        <f>208.34</f>
        <v>208.34</v>
      </c>
      <c r="E83" s="7">
        <f>208.34</f>
        <v>208.34</v>
      </c>
      <c r="F83" s="7">
        <f t="shared" ref="F83:M83" si="20">208.33</f>
        <v>208.33</v>
      </c>
      <c r="G83" s="7">
        <f t="shared" si="20"/>
        <v>208.33</v>
      </c>
      <c r="H83" s="7">
        <f t="shared" si="20"/>
        <v>208.33</v>
      </c>
      <c r="I83" s="7">
        <f t="shared" si="20"/>
        <v>208.33</v>
      </c>
      <c r="J83" s="7">
        <f t="shared" si="20"/>
        <v>208.33</v>
      </c>
      <c r="K83" s="7">
        <f t="shared" si="20"/>
        <v>208.33</v>
      </c>
      <c r="L83" s="7">
        <f t="shared" si="20"/>
        <v>208.33</v>
      </c>
      <c r="M83" s="7">
        <f t="shared" si="20"/>
        <v>208.33</v>
      </c>
      <c r="N83" s="11">
        <v>2000</v>
      </c>
    </row>
    <row r="84" spans="1:14" x14ac:dyDescent="0.25">
      <c r="A84" s="5" t="s">
        <v>46</v>
      </c>
      <c r="B84" s="7">
        <f>3590.84</f>
        <v>3590.84</v>
      </c>
      <c r="C84" s="7">
        <f>3590.84</f>
        <v>3590.84</v>
      </c>
      <c r="D84" s="7">
        <f>3590.84</f>
        <v>3590.84</v>
      </c>
      <c r="E84" s="7">
        <f>3590.84</f>
        <v>3590.84</v>
      </c>
      <c r="F84" s="7">
        <f t="shared" ref="F84:M84" si="21">3590.83</f>
        <v>3590.83</v>
      </c>
      <c r="G84" s="7">
        <f t="shared" si="21"/>
        <v>3590.83</v>
      </c>
      <c r="H84" s="7">
        <f t="shared" si="21"/>
        <v>3590.83</v>
      </c>
      <c r="I84" s="7">
        <f t="shared" si="21"/>
        <v>3590.83</v>
      </c>
      <c r="J84" s="7">
        <f t="shared" si="21"/>
        <v>3590.83</v>
      </c>
      <c r="K84" s="7">
        <f t="shared" si="21"/>
        <v>3590.83</v>
      </c>
      <c r="L84" s="7">
        <f t="shared" si="21"/>
        <v>3590.83</v>
      </c>
      <c r="M84" s="7">
        <f t="shared" si="21"/>
        <v>3590.83</v>
      </c>
      <c r="N84" s="11">
        <v>38688</v>
      </c>
    </row>
    <row r="85" spans="1:14" x14ac:dyDescent="0.25">
      <c r="A85" s="5" t="s">
        <v>47</v>
      </c>
      <c r="B85" s="7">
        <f>600</f>
        <v>600</v>
      </c>
      <c r="C85" s="7">
        <f>600</f>
        <v>600</v>
      </c>
      <c r="D85" s="7">
        <f>600</f>
        <v>600</v>
      </c>
      <c r="E85" s="7">
        <f>600</f>
        <v>600</v>
      </c>
      <c r="F85" s="7">
        <f>600</f>
        <v>600</v>
      </c>
      <c r="G85" s="7">
        <f>600</f>
        <v>600</v>
      </c>
      <c r="H85" s="7">
        <f>600</f>
        <v>600</v>
      </c>
      <c r="I85" s="7">
        <f>600</f>
        <v>600</v>
      </c>
      <c r="J85" s="7">
        <f>600</f>
        <v>600</v>
      </c>
      <c r="K85" s="7">
        <f>600</f>
        <v>600</v>
      </c>
      <c r="L85" s="7">
        <f>600</f>
        <v>600</v>
      </c>
      <c r="M85" s="7">
        <f>600</f>
        <v>600</v>
      </c>
      <c r="N85" s="11">
        <v>3000</v>
      </c>
    </row>
    <row r="86" spans="1:14" x14ac:dyDescent="0.25">
      <c r="A86" s="5" t="s">
        <v>112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11">
        <v>2912</v>
      </c>
    </row>
    <row r="87" spans="1:14" x14ac:dyDescent="0.25">
      <c r="A87" s="5" t="s">
        <v>96</v>
      </c>
      <c r="B87" s="7">
        <f>2678.09</f>
        <v>2678.09</v>
      </c>
      <c r="C87" s="7">
        <f>2678.09</f>
        <v>2678.09</v>
      </c>
      <c r="D87" s="7">
        <f>2678.09</f>
        <v>2678.09</v>
      </c>
      <c r="E87" s="7">
        <f>2678.09</f>
        <v>2678.09</v>
      </c>
      <c r="F87" s="7">
        <f t="shared" ref="F87:M87" si="22">2678.08</f>
        <v>2678.08</v>
      </c>
      <c r="G87" s="7">
        <f t="shared" si="22"/>
        <v>2678.08</v>
      </c>
      <c r="H87" s="7">
        <f t="shared" si="22"/>
        <v>2678.08</v>
      </c>
      <c r="I87" s="7">
        <f t="shared" si="22"/>
        <v>2678.08</v>
      </c>
      <c r="J87" s="7">
        <f t="shared" si="22"/>
        <v>2678.08</v>
      </c>
      <c r="K87" s="7">
        <f t="shared" si="22"/>
        <v>2678.08</v>
      </c>
      <c r="L87" s="7">
        <f t="shared" si="22"/>
        <v>2678.08</v>
      </c>
      <c r="M87" s="7">
        <f t="shared" si="22"/>
        <v>2678.08</v>
      </c>
      <c r="N87" s="11">
        <v>20311</v>
      </c>
    </row>
    <row r="88" spans="1:14" x14ac:dyDescent="0.25">
      <c r="A88" s="5" t="s">
        <v>97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11">
        <v>1409</v>
      </c>
    </row>
    <row r="89" spans="1:14" x14ac:dyDescent="0.25">
      <c r="A89" s="5" t="s">
        <v>113</v>
      </c>
      <c r="N89" s="11">
        <v>504</v>
      </c>
    </row>
    <row r="90" spans="1:14" x14ac:dyDescent="0.25">
      <c r="A90" s="5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11"/>
    </row>
    <row r="91" spans="1:14" x14ac:dyDescent="0.25">
      <c r="A91" s="5" t="s">
        <v>62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13">
        <f>SUM(N83:N89)</f>
        <v>68824</v>
      </c>
    </row>
    <row r="92" spans="1:14" x14ac:dyDescent="0.25">
      <c r="A92" s="5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4"/>
    </row>
    <row r="93" spans="1:14" x14ac:dyDescent="0.25">
      <c r="A93" s="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11"/>
    </row>
    <row r="94" spans="1:14" x14ac:dyDescent="0.25">
      <c r="A94" s="5" t="s">
        <v>63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11"/>
    </row>
    <row r="95" spans="1:14" x14ac:dyDescent="0.25">
      <c r="A95" s="5" t="s">
        <v>100</v>
      </c>
      <c r="B95" s="7">
        <f>666.66</f>
        <v>666.66</v>
      </c>
      <c r="C95" s="7">
        <f>666.66</f>
        <v>666.66</v>
      </c>
      <c r="D95" s="7">
        <f>666.66</f>
        <v>666.66</v>
      </c>
      <c r="E95" s="7">
        <f>666.66</f>
        <v>666.66</v>
      </c>
      <c r="F95" s="7">
        <f t="shared" ref="F95:M95" si="23">666.67</f>
        <v>666.67</v>
      </c>
      <c r="G95" s="7">
        <f t="shared" si="23"/>
        <v>666.67</v>
      </c>
      <c r="H95" s="7">
        <f t="shared" si="23"/>
        <v>666.67</v>
      </c>
      <c r="I95" s="7">
        <f t="shared" si="23"/>
        <v>666.67</v>
      </c>
      <c r="J95" s="7">
        <f t="shared" si="23"/>
        <v>666.67</v>
      </c>
      <c r="K95" s="7">
        <f t="shared" si="23"/>
        <v>666.67</v>
      </c>
      <c r="L95" s="7">
        <f t="shared" si="23"/>
        <v>666.67</v>
      </c>
      <c r="M95" s="7">
        <f t="shared" si="23"/>
        <v>666.67</v>
      </c>
      <c r="N95" s="15">
        <v>3000</v>
      </c>
    </row>
    <row r="96" spans="1:14" x14ac:dyDescent="0.25">
      <c r="A96" s="5" t="s">
        <v>99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15">
        <v>50000</v>
      </c>
    </row>
    <row r="97" spans="1:14" x14ac:dyDescent="0.25">
      <c r="A97" s="5" t="s">
        <v>101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15">
        <v>11691</v>
      </c>
    </row>
    <row r="98" spans="1:14" x14ac:dyDescent="0.25">
      <c r="A98" s="5" t="s">
        <v>102</v>
      </c>
      <c r="B98" s="7">
        <f>9664.34</f>
        <v>9664.34</v>
      </c>
      <c r="C98" s="7">
        <f>9664.34</f>
        <v>9664.34</v>
      </c>
      <c r="D98" s="7">
        <f>9664.34</f>
        <v>9664.34</v>
      </c>
      <c r="E98" s="7">
        <f>9664.34</f>
        <v>9664.34</v>
      </c>
      <c r="F98" s="7">
        <f t="shared" ref="F98:M98" si="24">9664.33</f>
        <v>9664.33</v>
      </c>
      <c r="G98" s="7">
        <f t="shared" si="24"/>
        <v>9664.33</v>
      </c>
      <c r="H98" s="7">
        <f t="shared" si="24"/>
        <v>9664.33</v>
      </c>
      <c r="I98" s="7">
        <f t="shared" si="24"/>
        <v>9664.33</v>
      </c>
      <c r="J98" s="7">
        <f t="shared" si="24"/>
        <v>9664.33</v>
      </c>
      <c r="K98" s="7">
        <f t="shared" si="24"/>
        <v>9664.33</v>
      </c>
      <c r="L98" s="7">
        <f t="shared" si="24"/>
        <v>9664.33</v>
      </c>
      <c r="M98" s="7">
        <f t="shared" si="24"/>
        <v>9664.33</v>
      </c>
      <c r="N98" s="11">
        <v>155332</v>
      </c>
    </row>
    <row r="99" spans="1:14" x14ac:dyDescent="0.25">
      <c r="A99" s="5" t="s">
        <v>33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11">
        <v>74980</v>
      </c>
    </row>
    <row r="100" spans="1:14" x14ac:dyDescent="0.25">
      <c r="A100" s="8" t="s">
        <v>34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11">
        <v>9000</v>
      </c>
    </row>
    <row r="101" spans="1:14" x14ac:dyDescent="0.25">
      <c r="A101" s="8" t="s">
        <v>35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11">
        <v>10000</v>
      </c>
    </row>
    <row r="102" spans="1:14" x14ac:dyDescent="0.25">
      <c r="A102" s="8" t="s">
        <v>36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11">
        <v>7000</v>
      </c>
    </row>
    <row r="103" spans="1:14" x14ac:dyDescent="0.25">
      <c r="N103" s="11"/>
    </row>
    <row r="104" spans="1:14" x14ac:dyDescent="0.25">
      <c r="A104" s="5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11"/>
    </row>
    <row r="105" spans="1:14" x14ac:dyDescent="0.25">
      <c r="A105" s="5" t="s">
        <v>44</v>
      </c>
      <c r="B105" s="3" t="e">
        <f>((((B94)+(#REF!))+(B95))+(#REF!))+(B98)</f>
        <v>#REF!</v>
      </c>
      <c r="C105" s="3" t="e">
        <f>((((C94)+(#REF!))+(C95))+(#REF!))+(C98)</f>
        <v>#REF!</v>
      </c>
      <c r="D105" s="3" t="e">
        <f>((((D94)+(#REF!))+(D95))+(#REF!))+(D98)</f>
        <v>#REF!</v>
      </c>
      <c r="E105" s="3" t="e">
        <f>((((E94)+(#REF!))+(E95))+(#REF!))+(E98)</f>
        <v>#REF!</v>
      </c>
      <c r="F105" s="3" t="e">
        <f>((((F94)+(#REF!))+(F95))+(#REF!))+(F98)</f>
        <v>#REF!</v>
      </c>
      <c r="G105" s="3" t="e">
        <f>((((G94)+(#REF!))+(G95))+(#REF!))+(G98)</f>
        <v>#REF!</v>
      </c>
      <c r="H105" s="3" t="e">
        <f>((((H94)+(#REF!))+(H95))+(#REF!))+(H98)</f>
        <v>#REF!</v>
      </c>
      <c r="I105" s="3" t="e">
        <f>((((I94)+(#REF!))+(I95))+(#REF!))+(I98)</f>
        <v>#REF!</v>
      </c>
      <c r="J105" s="3" t="e">
        <f>((((J94)+(#REF!))+(J95))+(#REF!))+(J98)</f>
        <v>#REF!</v>
      </c>
      <c r="K105" s="3" t="e">
        <f>((((K94)+(#REF!))+(K95))+(#REF!))+(K98)</f>
        <v>#REF!</v>
      </c>
      <c r="L105" s="3" t="e">
        <f>((((L94)+(#REF!))+(L95))+(#REF!))+(L98)</f>
        <v>#REF!</v>
      </c>
      <c r="M105" s="3" t="e">
        <f>((((M94)+(#REF!))+(M95))+(#REF!))+(M98)</f>
        <v>#REF!</v>
      </c>
      <c r="N105" s="13">
        <f>SUM(N95:N102)</f>
        <v>321003</v>
      </c>
    </row>
    <row r="106" spans="1:14" x14ac:dyDescent="0.25">
      <c r="A106" s="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11"/>
    </row>
    <row r="107" spans="1:14" x14ac:dyDescent="0.25">
      <c r="A107" s="5" t="s">
        <v>40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11"/>
    </row>
    <row r="108" spans="1:14" x14ac:dyDescent="0.25">
      <c r="A108" s="5" t="s">
        <v>64</v>
      </c>
      <c r="B108" s="7">
        <f>4858.34</f>
        <v>4858.34</v>
      </c>
      <c r="C108" s="7">
        <f>4858.34</f>
        <v>4858.34</v>
      </c>
      <c r="D108" s="7">
        <f>4858.34</f>
        <v>4858.34</v>
      </c>
      <c r="E108" s="7">
        <f>4858.34</f>
        <v>4858.34</v>
      </c>
      <c r="F108" s="7">
        <f t="shared" ref="F108:M108" si="25">4858.33</f>
        <v>4858.33</v>
      </c>
      <c r="G108" s="7">
        <f t="shared" si="25"/>
        <v>4858.33</v>
      </c>
      <c r="H108" s="7">
        <f t="shared" si="25"/>
        <v>4858.33</v>
      </c>
      <c r="I108" s="7">
        <f t="shared" si="25"/>
        <v>4858.33</v>
      </c>
      <c r="J108" s="7">
        <f t="shared" si="25"/>
        <v>4858.33</v>
      </c>
      <c r="K108" s="7">
        <f t="shared" si="25"/>
        <v>4858.33</v>
      </c>
      <c r="L108" s="7">
        <f t="shared" si="25"/>
        <v>4858.33</v>
      </c>
      <c r="M108" s="7">
        <f t="shared" si="25"/>
        <v>4858.33</v>
      </c>
      <c r="N108" s="11">
        <v>164320</v>
      </c>
    </row>
    <row r="109" spans="1:14" x14ac:dyDescent="0.25">
      <c r="A109" s="5" t="s">
        <v>103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11">
        <v>11502</v>
      </c>
    </row>
    <row r="110" spans="1:14" x14ac:dyDescent="0.25">
      <c r="A110" s="8" t="s">
        <v>37</v>
      </c>
      <c r="B110" s="7">
        <f>500</f>
        <v>500</v>
      </c>
      <c r="C110" s="7">
        <f>500</f>
        <v>500</v>
      </c>
      <c r="D110" s="7">
        <f>500</f>
        <v>500</v>
      </c>
      <c r="E110" s="7">
        <f>500</f>
        <v>500</v>
      </c>
      <c r="F110" s="7">
        <f>500</f>
        <v>500</v>
      </c>
      <c r="G110" s="7">
        <f>500</f>
        <v>500</v>
      </c>
      <c r="H110" s="7">
        <f>500</f>
        <v>500</v>
      </c>
      <c r="I110" s="7">
        <f>500</f>
        <v>500</v>
      </c>
      <c r="J110" s="7">
        <f>500</f>
        <v>500</v>
      </c>
      <c r="K110" s="7">
        <f>500</f>
        <v>500</v>
      </c>
      <c r="L110" s="7">
        <f>500</f>
        <v>500</v>
      </c>
      <c r="M110" s="7">
        <f>500</f>
        <v>500</v>
      </c>
      <c r="N110" s="11">
        <v>15000</v>
      </c>
    </row>
    <row r="111" spans="1:14" x14ac:dyDescent="0.25">
      <c r="A111" s="8" t="s">
        <v>38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11">
        <v>10000</v>
      </c>
    </row>
    <row r="112" spans="1:14" x14ac:dyDescent="0.25">
      <c r="A112" s="5" t="s">
        <v>105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11">
        <v>10003</v>
      </c>
    </row>
    <row r="113" spans="1:14" x14ac:dyDescent="0.25">
      <c r="A113" s="5" t="s">
        <v>104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11">
        <v>2500</v>
      </c>
    </row>
    <row r="114" spans="1:14" x14ac:dyDescent="0.25">
      <c r="A114" s="5" t="s">
        <v>43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13">
        <f>SUM(N108:N113)</f>
        <v>213325</v>
      </c>
    </row>
    <row r="115" spans="1:14" x14ac:dyDescent="0.25">
      <c r="A115" s="5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11"/>
    </row>
    <row r="116" spans="1:14" x14ac:dyDescent="0.25">
      <c r="A116" s="5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11"/>
    </row>
    <row r="117" spans="1:14" x14ac:dyDescent="0.25">
      <c r="A117" s="5" t="s">
        <v>114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11">
        <v>1500</v>
      </c>
    </row>
    <row r="118" spans="1:14" x14ac:dyDescent="0.25">
      <c r="A118" s="5" t="s">
        <v>53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13">
        <f>+N117</f>
        <v>1500</v>
      </c>
    </row>
    <row r="119" spans="1:14" x14ac:dyDescent="0.25">
      <c r="A119" s="5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11"/>
    </row>
    <row r="120" spans="1:14" x14ac:dyDescent="0.25">
      <c r="A120" s="5" t="s">
        <v>65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11"/>
    </row>
    <row r="121" spans="1:14" x14ac:dyDescent="0.25">
      <c r="A121" s="5" t="s">
        <v>108</v>
      </c>
      <c r="B121" s="7">
        <f>1923.91</f>
        <v>1923.91</v>
      </c>
      <c r="C121" s="7">
        <f>1923.91</f>
        <v>1923.91</v>
      </c>
      <c r="D121" s="7">
        <f>1923.91</f>
        <v>1923.91</v>
      </c>
      <c r="E121" s="7">
        <f>1923.91</f>
        <v>1923.91</v>
      </c>
      <c r="F121" s="7">
        <f t="shared" ref="F121:M121" si="26">1923.92</f>
        <v>1923.92</v>
      </c>
      <c r="G121" s="7">
        <f t="shared" si="26"/>
        <v>1923.92</v>
      </c>
      <c r="H121" s="7">
        <f t="shared" si="26"/>
        <v>1923.92</v>
      </c>
      <c r="I121" s="7">
        <f t="shared" si="26"/>
        <v>1923.92</v>
      </c>
      <c r="J121" s="7">
        <f t="shared" si="26"/>
        <v>1923.92</v>
      </c>
      <c r="K121" s="7">
        <f t="shared" si="26"/>
        <v>1923.92</v>
      </c>
      <c r="L121" s="7">
        <f t="shared" si="26"/>
        <v>1923.92</v>
      </c>
      <c r="M121" s="7">
        <f t="shared" si="26"/>
        <v>1923.92</v>
      </c>
      <c r="N121" s="11">
        <v>27300</v>
      </c>
    </row>
    <row r="122" spans="1:14" x14ac:dyDescent="0.25">
      <c r="A122" s="5" t="s">
        <v>106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11">
        <v>3109</v>
      </c>
    </row>
    <row r="123" spans="1:14" x14ac:dyDescent="0.25">
      <c r="A123" s="5" t="s">
        <v>107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11">
        <v>0</v>
      </c>
    </row>
    <row r="124" spans="1:14" x14ac:dyDescent="0.25">
      <c r="A124" s="5" t="s">
        <v>98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11">
        <v>500</v>
      </c>
    </row>
    <row r="125" spans="1:14" x14ac:dyDescent="0.25">
      <c r="A125" s="5" t="s">
        <v>41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13">
        <f>SUM(N121:N124)</f>
        <v>30909</v>
      </c>
    </row>
    <row r="126" spans="1:14" x14ac:dyDescent="0.25">
      <c r="A126" s="5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11"/>
    </row>
    <row r="127" spans="1:14" x14ac:dyDescent="0.25">
      <c r="A127" s="5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11"/>
    </row>
    <row r="128" spans="1:14" x14ac:dyDescent="0.25">
      <c r="A128" s="5" t="s">
        <v>66</v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11"/>
    </row>
    <row r="129" spans="1:14" x14ac:dyDescent="0.25">
      <c r="A129" s="9" t="s">
        <v>25</v>
      </c>
      <c r="B129" s="7">
        <f>1166.66</f>
        <v>1166.6600000000001</v>
      </c>
      <c r="C129" s="7">
        <f>1166.66</f>
        <v>1166.6600000000001</v>
      </c>
      <c r="D129" s="7">
        <f>1166.66</f>
        <v>1166.6600000000001</v>
      </c>
      <c r="E129" s="7">
        <f>1166.66</f>
        <v>1166.6600000000001</v>
      </c>
      <c r="F129" s="7">
        <f t="shared" ref="F129:M129" si="27">1166.67</f>
        <v>1166.67</v>
      </c>
      <c r="G129" s="7">
        <f t="shared" si="27"/>
        <v>1166.67</v>
      </c>
      <c r="H129" s="7">
        <f t="shared" si="27"/>
        <v>1166.67</v>
      </c>
      <c r="I129" s="7">
        <f t="shared" si="27"/>
        <v>1166.67</v>
      </c>
      <c r="J129" s="7">
        <f t="shared" si="27"/>
        <v>1166.67</v>
      </c>
      <c r="K129" s="7">
        <f t="shared" si="27"/>
        <v>1166.67</v>
      </c>
      <c r="L129" s="7">
        <f t="shared" si="27"/>
        <v>1166.67</v>
      </c>
      <c r="M129" s="7">
        <f t="shared" si="27"/>
        <v>1166.67</v>
      </c>
      <c r="N129" s="11">
        <v>8200</v>
      </c>
    </row>
    <row r="130" spans="1:14" x14ac:dyDescent="0.25">
      <c r="A130" s="5" t="s">
        <v>26</v>
      </c>
      <c r="B130" s="7">
        <f>125</f>
        <v>125</v>
      </c>
      <c r="C130" s="7">
        <f>125</f>
        <v>125</v>
      </c>
      <c r="D130" s="7">
        <f>125</f>
        <v>125</v>
      </c>
      <c r="E130" s="7">
        <f>125</f>
        <v>125</v>
      </c>
      <c r="F130" s="7">
        <f>125</f>
        <v>125</v>
      </c>
      <c r="G130" s="7">
        <f>125</f>
        <v>125</v>
      </c>
      <c r="H130" s="7">
        <f>125</f>
        <v>125</v>
      </c>
      <c r="I130" s="7">
        <f>125</f>
        <v>125</v>
      </c>
      <c r="J130" s="7">
        <f>125</f>
        <v>125</v>
      </c>
      <c r="K130" s="7">
        <f>125</f>
        <v>125</v>
      </c>
      <c r="L130" s="7">
        <f>125</f>
        <v>125</v>
      </c>
      <c r="M130" s="7">
        <f>125</f>
        <v>125</v>
      </c>
      <c r="N130" s="11">
        <v>5300</v>
      </c>
    </row>
    <row r="131" spans="1:14" x14ac:dyDescent="0.25">
      <c r="A131" s="5" t="s">
        <v>27</v>
      </c>
      <c r="B131" s="7">
        <f>125</f>
        <v>125</v>
      </c>
      <c r="C131" s="7">
        <f>125</f>
        <v>125</v>
      </c>
      <c r="D131" s="7">
        <f>125</f>
        <v>125</v>
      </c>
      <c r="E131" s="7">
        <f>125</f>
        <v>125</v>
      </c>
      <c r="F131" s="7">
        <f>125</f>
        <v>125</v>
      </c>
      <c r="G131" s="7">
        <f>125</f>
        <v>125</v>
      </c>
      <c r="H131" s="7">
        <f>125</f>
        <v>125</v>
      </c>
      <c r="I131" s="7">
        <f>125</f>
        <v>125</v>
      </c>
      <c r="J131" s="7">
        <f>125</f>
        <v>125</v>
      </c>
      <c r="K131" s="7">
        <f>125</f>
        <v>125</v>
      </c>
      <c r="L131" s="7">
        <f>125</f>
        <v>125</v>
      </c>
      <c r="M131" s="7">
        <f>125</f>
        <v>125</v>
      </c>
      <c r="N131" s="11">
        <v>2500</v>
      </c>
    </row>
    <row r="132" spans="1:14" x14ac:dyDescent="0.25">
      <c r="A132" s="5" t="s">
        <v>28</v>
      </c>
      <c r="B132" s="7">
        <f>625</f>
        <v>625</v>
      </c>
      <c r="C132" s="7">
        <f>625</f>
        <v>625</v>
      </c>
      <c r="D132" s="7">
        <f>625</f>
        <v>625</v>
      </c>
      <c r="E132" s="7">
        <f>625</f>
        <v>625</v>
      </c>
      <c r="F132" s="7">
        <f>625</f>
        <v>625</v>
      </c>
      <c r="G132" s="7">
        <f>625</f>
        <v>625</v>
      </c>
      <c r="H132" s="7">
        <f>625</f>
        <v>625</v>
      </c>
      <c r="I132" s="7">
        <f>625</f>
        <v>625</v>
      </c>
      <c r="J132" s="7">
        <f>625</f>
        <v>625</v>
      </c>
      <c r="K132" s="7">
        <f>625</f>
        <v>625</v>
      </c>
      <c r="L132" s="7">
        <f>625</f>
        <v>625</v>
      </c>
      <c r="M132" s="7">
        <f>625</f>
        <v>625</v>
      </c>
      <c r="N132" s="11">
        <v>7500</v>
      </c>
    </row>
    <row r="133" spans="1:14" x14ac:dyDescent="0.25">
      <c r="A133" s="5" t="s">
        <v>42</v>
      </c>
      <c r="B133" s="3">
        <f t="shared" ref="B133:M133" si="28">((((B128)+(B129))+(B130))+(B131))+(B132)</f>
        <v>2041.66</v>
      </c>
      <c r="C133" s="3">
        <f t="shared" si="28"/>
        <v>2041.66</v>
      </c>
      <c r="D133" s="3">
        <f t="shared" si="28"/>
        <v>2041.66</v>
      </c>
      <c r="E133" s="3">
        <f t="shared" si="28"/>
        <v>2041.66</v>
      </c>
      <c r="F133" s="3">
        <f t="shared" si="28"/>
        <v>2041.67</v>
      </c>
      <c r="G133" s="3">
        <f t="shared" si="28"/>
        <v>2041.67</v>
      </c>
      <c r="H133" s="3">
        <f t="shared" si="28"/>
        <v>2041.67</v>
      </c>
      <c r="I133" s="3">
        <f t="shared" si="28"/>
        <v>2041.67</v>
      </c>
      <c r="J133" s="3">
        <f t="shared" si="28"/>
        <v>2041.67</v>
      </c>
      <c r="K133" s="3">
        <f t="shared" si="28"/>
        <v>2041.67</v>
      </c>
      <c r="L133" s="3">
        <f t="shared" si="28"/>
        <v>2041.67</v>
      </c>
      <c r="M133" s="3">
        <f t="shared" si="28"/>
        <v>2041.67</v>
      </c>
      <c r="N133" s="13">
        <f>SUM(N129:N132)</f>
        <v>23500</v>
      </c>
    </row>
    <row r="134" spans="1:14" x14ac:dyDescent="0.25">
      <c r="A134" s="5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14"/>
    </row>
    <row r="135" spans="1:14" x14ac:dyDescent="0.25">
      <c r="A135" s="5" t="s">
        <v>109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14">
        <v>12702</v>
      </c>
    </row>
    <row r="136" spans="1:14" x14ac:dyDescent="0.25">
      <c r="A136" s="5" t="s">
        <v>110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14">
        <v>2405</v>
      </c>
    </row>
    <row r="137" spans="1:14" x14ac:dyDescent="0.25">
      <c r="A137" s="5" t="s">
        <v>111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14">
        <f>SUM(N135:N136)</f>
        <v>15107</v>
      </c>
    </row>
    <row r="138" spans="1:14" x14ac:dyDescent="0.25">
      <c r="A138" s="5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14"/>
    </row>
    <row r="139" spans="1:14" ht="15.75" thickBot="1" x14ac:dyDescent="0.3">
      <c r="A139" s="5" t="s">
        <v>67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16">
        <f>SUM(N45:N55,N60:N68,N74:N78,N83:N90,N95:N102,N108:N113,N117,N121:N124,N129:N132,N135:N136)</f>
        <v>866797</v>
      </c>
    </row>
    <row r="140" spans="1:14" ht="15.75" thickTop="1" x14ac:dyDescent="0.25">
      <c r="A140" s="5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4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2"/>
    </row>
    <row r="142" spans="1:14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4"/>
    </row>
    <row r="143" spans="1:14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2"/>
    </row>
    <row r="144" spans="1:14" x14ac:dyDescent="0.25">
      <c r="A144" s="5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2"/>
    </row>
    <row r="145" spans="1:14" x14ac:dyDescent="0.25">
      <c r="A145" s="5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2"/>
    </row>
    <row r="146" spans="1:14" x14ac:dyDescent="0.25">
      <c r="A146" s="5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2"/>
    </row>
    <row r="147" spans="1:14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2"/>
    </row>
    <row r="148" spans="1:14" x14ac:dyDescent="0.25">
      <c r="A148" s="1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2"/>
    </row>
    <row r="151" spans="1:14" x14ac:dyDescent="0.25">
      <c r="A151" s="50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</row>
  </sheetData>
  <mergeCells count="4">
    <mergeCell ref="A151:M151"/>
    <mergeCell ref="A1:M1"/>
    <mergeCell ref="A2:M2"/>
    <mergeCell ref="A3:M3"/>
  </mergeCells>
  <pageMargins left="0.7" right="0.7" top="0.75" bottom="0.75" header="0.3" footer="0.3"/>
  <pageSetup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C389A-90AE-4156-A674-FC0A28FEA681}">
  <dimension ref="A1:G32"/>
  <sheetViews>
    <sheetView topLeftCell="A25" workbookViewId="0">
      <selection activeCell="I14" sqref="I14"/>
    </sheetView>
  </sheetViews>
  <sheetFormatPr defaultRowHeight="15" x14ac:dyDescent="0.25"/>
  <cols>
    <col min="1" max="1" width="12.42578125" customWidth="1"/>
    <col min="2" max="2" width="17.28515625" customWidth="1"/>
    <col min="3" max="3" width="11.28515625" customWidth="1"/>
  </cols>
  <sheetData>
    <row r="1" spans="1:7" ht="30.75" thickBot="1" x14ac:dyDescent="0.3">
      <c r="A1" s="18" t="s">
        <v>117</v>
      </c>
      <c r="B1" s="19"/>
      <c r="C1" s="20" t="s">
        <v>118</v>
      </c>
      <c r="D1" s="19"/>
      <c r="E1" s="19"/>
      <c r="F1" s="19"/>
      <c r="G1" s="19"/>
    </row>
    <row r="2" spans="1:7" x14ac:dyDescent="0.25">
      <c r="A2" s="21" t="s">
        <v>119</v>
      </c>
      <c r="B2" t="s">
        <v>120</v>
      </c>
      <c r="D2">
        <v>6065</v>
      </c>
    </row>
    <row r="3" spans="1:7" ht="45" x14ac:dyDescent="0.25">
      <c r="A3" s="22"/>
      <c r="B3" s="22" t="s">
        <v>121</v>
      </c>
      <c r="C3" s="22" t="s">
        <v>122</v>
      </c>
      <c r="D3" s="22" t="s">
        <v>123</v>
      </c>
      <c r="E3" s="22" t="s">
        <v>124</v>
      </c>
      <c r="F3" s="23" t="s">
        <v>125</v>
      </c>
      <c r="G3" s="23" t="s">
        <v>126</v>
      </c>
    </row>
    <row r="4" spans="1:7" x14ac:dyDescent="0.25">
      <c r="A4" s="22" t="s">
        <v>127</v>
      </c>
      <c r="B4" s="22">
        <v>20</v>
      </c>
      <c r="C4" s="22">
        <v>80</v>
      </c>
      <c r="D4" s="22">
        <f>C4*B4</f>
        <v>1600</v>
      </c>
      <c r="E4" s="22">
        <f>D4*26</f>
        <v>41600</v>
      </c>
      <c r="G4" s="22">
        <f>E4-F5</f>
        <v>38688</v>
      </c>
    </row>
    <row r="5" spans="1:7" x14ac:dyDescent="0.25">
      <c r="A5" s="22" t="s">
        <v>128</v>
      </c>
      <c r="B5" s="22"/>
      <c r="C5" s="22"/>
      <c r="D5" s="24"/>
      <c r="E5" s="24"/>
      <c r="F5" s="22">
        <f>E4*0.07</f>
        <v>2912.0000000000005</v>
      </c>
      <c r="G5" s="22"/>
    </row>
    <row r="6" spans="1:7" x14ac:dyDescent="0.25">
      <c r="A6" s="22" t="s">
        <v>129</v>
      </c>
      <c r="B6" s="22">
        <v>14</v>
      </c>
      <c r="C6" s="22">
        <v>60</v>
      </c>
      <c r="D6" s="22">
        <f>C6*B6</f>
        <v>840</v>
      </c>
      <c r="E6" s="22">
        <f>D6*26</f>
        <v>21840</v>
      </c>
      <c r="G6" s="22">
        <f>E6-F7</f>
        <v>20311.2</v>
      </c>
    </row>
    <row r="7" spans="1:7" x14ac:dyDescent="0.25">
      <c r="A7" s="22" t="s">
        <v>130</v>
      </c>
      <c r="B7" s="22"/>
      <c r="C7" s="22"/>
      <c r="D7" s="24"/>
      <c r="E7" s="24"/>
      <c r="F7" s="22">
        <f>E6*0.07</f>
        <v>1528.8000000000002</v>
      </c>
      <c r="G7" s="22"/>
    </row>
    <row r="8" spans="1:7" x14ac:dyDescent="0.25">
      <c r="A8" s="22" t="s">
        <v>131</v>
      </c>
      <c r="B8" s="22"/>
      <c r="C8" s="22"/>
      <c r="D8" s="22"/>
      <c r="E8" s="22"/>
      <c r="F8" s="22"/>
      <c r="G8" s="22">
        <v>3000</v>
      </c>
    </row>
    <row r="9" spans="1:7" x14ac:dyDescent="0.25">
      <c r="A9" s="22" t="s">
        <v>132</v>
      </c>
      <c r="B9" s="22"/>
      <c r="C9" s="22"/>
      <c r="D9" s="22"/>
      <c r="E9" s="22">
        <f>E4+E6</f>
        <v>63440</v>
      </c>
      <c r="F9" s="22"/>
      <c r="G9" s="22"/>
    </row>
    <row r="10" spans="1:7" x14ac:dyDescent="0.25">
      <c r="A10" s="22" t="s">
        <v>133</v>
      </c>
      <c r="B10" s="22"/>
      <c r="C10" s="22"/>
      <c r="D10" s="22"/>
      <c r="E10" s="24"/>
      <c r="F10" s="22">
        <f>SUM(F4:F9)</f>
        <v>4440.8000000000011</v>
      </c>
      <c r="G10" s="22">
        <f>SUM(G4:G9)</f>
        <v>61999.199999999997</v>
      </c>
    </row>
    <row r="12" spans="1:7" x14ac:dyDescent="0.25">
      <c r="C12">
        <v>2026</v>
      </c>
    </row>
    <row r="13" spans="1:7" x14ac:dyDescent="0.25">
      <c r="A13" t="s">
        <v>119</v>
      </c>
      <c r="B13" t="s">
        <v>120</v>
      </c>
      <c r="D13">
        <v>6065</v>
      </c>
    </row>
    <row r="14" spans="1:7" ht="45" x14ac:dyDescent="0.25">
      <c r="A14" s="22"/>
      <c r="B14" s="22" t="s">
        <v>121</v>
      </c>
      <c r="C14" s="22" t="s">
        <v>122</v>
      </c>
      <c r="D14" s="23" t="s">
        <v>123</v>
      </c>
      <c r="E14" s="22" t="s">
        <v>124</v>
      </c>
      <c r="F14" s="23" t="s">
        <v>125</v>
      </c>
      <c r="G14" s="23" t="s">
        <v>126</v>
      </c>
    </row>
    <row r="15" spans="1:7" x14ac:dyDescent="0.25">
      <c r="A15" s="22" t="s">
        <v>127</v>
      </c>
      <c r="B15" s="22">
        <v>18</v>
      </c>
      <c r="C15" s="22">
        <v>80</v>
      </c>
      <c r="D15" s="22">
        <f>C15*B15</f>
        <v>1440</v>
      </c>
      <c r="E15" s="22">
        <f>D15*26</f>
        <v>37440</v>
      </c>
      <c r="G15" s="22">
        <f>E15-F16</f>
        <v>34819.199999999997</v>
      </c>
    </row>
    <row r="16" spans="1:7" x14ac:dyDescent="0.25">
      <c r="A16" s="22" t="s">
        <v>128</v>
      </c>
      <c r="B16" s="22"/>
      <c r="C16" s="22"/>
      <c r="D16" s="24"/>
      <c r="E16" s="24"/>
      <c r="F16" s="22">
        <f>E15*0.07</f>
        <v>2620.8000000000002</v>
      </c>
      <c r="G16" s="22">
        <f>F15*0.07</f>
        <v>0</v>
      </c>
    </row>
    <row r="17" spans="1:7" x14ac:dyDescent="0.25">
      <c r="A17" s="22" t="s">
        <v>129</v>
      </c>
      <c r="B17" s="22">
        <v>13</v>
      </c>
      <c r="C17" s="22">
        <v>60</v>
      </c>
      <c r="D17" s="22">
        <f>C17*B17</f>
        <v>780</v>
      </c>
      <c r="E17" s="22">
        <f>D17*26</f>
        <v>20280</v>
      </c>
      <c r="G17" s="22">
        <f>E17-F18</f>
        <v>18860.400000000001</v>
      </c>
    </row>
    <row r="18" spans="1:7" x14ac:dyDescent="0.25">
      <c r="A18" s="22" t="s">
        <v>130</v>
      </c>
      <c r="B18" s="22"/>
      <c r="C18" s="22"/>
      <c r="D18" s="24"/>
      <c r="E18" s="24"/>
      <c r="F18" s="22">
        <f>E17*0.07</f>
        <v>1419.6000000000001</v>
      </c>
      <c r="G18" s="22">
        <v>1419.6</v>
      </c>
    </row>
    <row r="19" spans="1:7" x14ac:dyDescent="0.25">
      <c r="A19" s="22" t="s">
        <v>131</v>
      </c>
      <c r="B19" s="22"/>
      <c r="C19" s="22"/>
      <c r="D19" s="22"/>
      <c r="E19" s="22"/>
      <c r="F19" s="22"/>
      <c r="G19" s="22">
        <v>3000</v>
      </c>
    </row>
    <row r="20" spans="1:7" x14ac:dyDescent="0.25">
      <c r="A20" s="22" t="s">
        <v>132</v>
      </c>
      <c r="B20" s="22"/>
      <c r="C20" s="22"/>
      <c r="D20" s="22"/>
      <c r="E20" s="22">
        <f>E15+E17</f>
        <v>57720</v>
      </c>
      <c r="F20" s="22"/>
      <c r="G20" s="22"/>
    </row>
    <row r="21" spans="1:7" x14ac:dyDescent="0.25">
      <c r="A21" s="22" t="s">
        <v>133</v>
      </c>
      <c r="B21" s="22"/>
      <c r="C21" s="22"/>
      <c r="D21" s="22"/>
      <c r="E21" s="24"/>
      <c r="F21" s="22">
        <f>SUM(F16:F20)</f>
        <v>4040.4000000000005</v>
      </c>
      <c r="G21" s="22">
        <f>SUM(G15:G20)</f>
        <v>58099.199999999997</v>
      </c>
    </row>
    <row r="24" spans="1:7" x14ac:dyDescent="0.25">
      <c r="B24">
        <v>2024</v>
      </c>
    </row>
    <row r="25" spans="1:7" ht="60" x14ac:dyDescent="0.25">
      <c r="A25" s="25" t="s">
        <v>134</v>
      </c>
      <c r="B25" s="23" t="s">
        <v>135</v>
      </c>
      <c r="C25" s="23" t="s">
        <v>136</v>
      </c>
      <c r="D25" s="23" t="s">
        <v>137</v>
      </c>
      <c r="E25" s="23" t="s">
        <v>138</v>
      </c>
      <c r="F25" s="23" t="s">
        <v>139</v>
      </c>
      <c r="G25" s="26" t="s">
        <v>140</v>
      </c>
    </row>
    <row r="26" spans="1:7" ht="45" x14ac:dyDescent="0.25">
      <c r="A26" s="23" t="s">
        <v>141</v>
      </c>
      <c r="B26" s="23"/>
      <c r="C26" s="23"/>
      <c r="D26" s="23"/>
      <c r="E26" s="23"/>
      <c r="F26" s="23"/>
      <c r="G26" s="23"/>
    </row>
    <row r="27" spans="1:7" x14ac:dyDescent="0.25">
      <c r="A27" s="22" t="s">
        <v>142</v>
      </c>
      <c r="B27" s="22">
        <v>48000</v>
      </c>
      <c r="C27" s="22">
        <v>5307</v>
      </c>
      <c r="D27" s="22">
        <v>34146</v>
      </c>
      <c r="E27" s="22">
        <v>45528</v>
      </c>
      <c r="F27" s="22">
        <v>46000</v>
      </c>
      <c r="G27" s="22">
        <v>46690</v>
      </c>
    </row>
    <row r="28" spans="1:7" x14ac:dyDescent="0.25">
      <c r="A28" s="22" t="s">
        <v>143</v>
      </c>
      <c r="B28" s="22">
        <v>3542</v>
      </c>
      <c r="C28" s="22">
        <v>406</v>
      </c>
      <c r="D28" s="22">
        <v>2623</v>
      </c>
      <c r="E28" s="22">
        <v>3497</v>
      </c>
      <c r="F28" s="22">
        <v>3542</v>
      </c>
      <c r="G28" s="22">
        <v>3735</v>
      </c>
    </row>
    <row r="29" spans="1:7" x14ac:dyDescent="0.25">
      <c r="A29" s="22" t="s">
        <v>144</v>
      </c>
      <c r="B29" s="22">
        <v>2500</v>
      </c>
      <c r="C29" s="22">
        <v>0</v>
      </c>
      <c r="D29" s="22">
        <v>1403</v>
      </c>
      <c r="E29" s="22">
        <v>1871</v>
      </c>
      <c r="F29" s="22">
        <v>2500</v>
      </c>
      <c r="G29" s="22">
        <v>2500</v>
      </c>
    </row>
    <row r="30" spans="1:7" x14ac:dyDescent="0.25">
      <c r="A30" s="22" t="s">
        <v>145</v>
      </c>
      <c r="B30" s="22">
        <v>120</v>
      </c>
      <c r="C30" s="27">
        <v>0</v>
      </c>
      <c r="D30" s="22">
        <v>90</v>
      </c>
      <c r="E30" s="22">
        <v>90</v>
      </c>
      <c r="F30" s="22">
        <v>120</v>
      </c>
      <c r="G30" s="22">
        <v>0</v>
      </c>
    </row>
    <row r="31" spans="1:7" ht="60" x14ac:dyDescent="0.25">
      <c r="A31" s="23" t="s">
        <v>146</v>
      </c>
      <c r="B31" s="22">
        <v>8400</v>
      </c>
      <c r="C31" s="22">
        <v>0</v>
      </c>
      <c r="D31" s="22">
        <v>1297</v>
      </c>
      <c r="E31" s="22">
        <v>1729</v>
      </c>
      <c r="F31" s="22">
        <v>8400</v>
      </c>
      <c r="G31" s="22">
        <v>8400</v>
      </c>
    </row>
    <row r="32" spans="1:7" x14ac:dyDescent="0.25">
      <c r="G32" s="22">
        <f>SUM(G27:G31)</f>
        <v>61325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1763A-29F2-46D2-BB32-6949D7EC2630}">
  <dimension ref="A1:H29"/>
  <sheetViews>
    <sheetView workbookViewId="0">
      <selection activeCell="K10" sqref="K10"/>
    </sheetView>
  </sheetViews>
  <sheetFormatPr defaultRowHeight="15" x14ac:dyDescent="0.25"/>
  <sheetData>
    <row r="1" spans="1:8" ht="15.75" thickBot="1" x14ac:dyDescent="0.3">
      <c r="C1" s="28" t="s">
        <v>147</v>
      </c>
      <c r="D1" s="22"/>
      <c r="E1" s="22"/>
      <c r="F1" s="22"/>
      <c r="G1" s="22"/>
      <c r="H1" s="22"/>
    </row>
    <row r="2" spans="1:8" x14ac:dyDescent="0.25">
      <c r="A2" s="21" t="s">
        <v>148</v>
      </c>
      <c r="C2" s="21"/>
      <c r="D2" s="29"/>
      <c r="E2" s="29"/>
      <c r="F2" s="29"/>
      <c r="G2" s="29"/>
      <c r="H2" s="29"/>
    </row>
    <row r="3" spans="1:8" ht="45.75" x14ac:dyDescent="0.3">
      <c r="A3" s="30" t="s">
        <v>149</v>
      </c>
      <c r="B3" s="23" t="s">
        <v>150</v>
      </c>
      <c r="C3" s="25" t="s">
        <v>122</v>
      </c>
      <c r="D3" s="25" t="s">
        <v>151</v>
      </c>
      <c r="E3" s="25"/>
      <c r="F3" s="25" t="s">
        <v>152</v>
      </c>
      <c r="G3" s="25" t="s">
        <v>125</v>
      </c>
      <c r="H3" s="25" t="s">
        <v>153</v>
      </c>
    </row>
    <row r="4" spans="1:8" x14ac:dyDescent="0.25">
      <c r="A4" s="22" t="s">
        <v>154</v>
      </c>
      <c r="B4" s="22">
        <v>20</v>
      </c>
      <c r="C4" s="22">
        <v>64</v>
      </c>
      <c r="D4" s="22">
        <f>B4*C4</f>
        <v>1280</v>
      </c>
      <c r="E4" s="22"/>
      <c r="F4" s="22">
        <f t="shared" ref="F4:F9" si="0">D4*26</f>
        <v>33280</v>
      </c>
      <c r="G4" s="29">
        <f>F4*0.07</f>
        <v>2329.6000000000004</v>
      </c>
      <c r="H4" s="31">
        <f>F4-G4</f>
        <v>30950.400000000001</v>
      </c>
    </row>
    <row r="5" spans="1:8" x14ac:dyDescent="0.25">
      <c r="A5" s="22" t="s">
        <v>155</v>
      </c>
      <c r="B5" s="22">
        <v>18.5</v>
      </c>
      <c r="C5" s="22">
        <v>64</v>
      </c>
      <c r="D5" s="22">
        <f>C5*B5</f>
        <v>1184</v>
      </c>
      <c r="E5" s="22"/>
      <c r="F5" s="22">
        <f t="shared" si="0"/>
        <v>30784</v>
      </c>
      <c r="G5" s="22">
        <f>F5*0.07</f>
        <v>2154.88</v>
      </c>
      <c r="H5" s="32">
        <f>F5-G5</f>
        <v>28629.119999999999</v>
      </c>
    </row>
    <row r="6" spans="1:8" x14ac:dyDescent="0.25">
      <c r="A6" s="22" t="s">
        <v>156</v>
      </c>
      <c r="B6" s="22">
        <v>18</v>
      </c>
      <c r="C6" s="22">
        <v>64</v>
      </c>
      <c r="D6" s="22">
        <f>C6*B6</f>
        <v>1152</v>
      </c>
      <c r="E6" s="22"/>
      <c r="F6" s="22">
        <f t="shared" si="0"/>
        <v>29952</v>
      </c>
      <c r="G6" s="29">
        <f>F6*0.07</f>
        <v>2096.6400000000003</v>
      </c>
      <c r="H6" s="31">
        <f>F6-G6</f>
        <v>27855.360000000001</v>
      </c>
    </row>
    <row r="7" spans="1:8" x14ac:dyDescent="0.25">
      <c r="A7" s="22" t="s">
        <v>157</v>
      </c>
      <c r="B7" s="22">
        <v>18</v>
      </c>
      <c r="C7" s="22">
        <v>64</v>
      </c>
      <c r="D7" s="22">
        <f>C7*B7</f>
        <v>1152</v>
      </c>
      <c r="E7" s="22"/>
      <c r="F7" s="22">
        <f t="shared" si="0"/>
        <v>29952</v>
      </c>
      <c r="G7" s="22">
        <f>F7*0.07</f>
        <v>2096.6400000000003</v>
      </c>
      <c r="H7" s="32">
        <f>F7-G7</f>
        <v>27855.360000000001</v>
      </c>
    </row>
    <row r="8" spans="1:8" x14ac:dyDescent="0.25">
      <c r="A8" s="22" t="s">
        <v>158</v>
      </c>
      <c r="B8" s="22">
        <v>17</v>
      </c>
      <c r="C8" s="22">
        <v>64</v>
      </c>
      <c r="D8" s="22">
        <v>1080</v>
      </c>
      <c r="E8" s="22"/>
      <c r="F8" s="22">
        <f t="shared" si="0"/>
        <v>28080</v>
      </c>
      <c r="G8" s="22">
        <f t="shared" ref="G8" si="1">F8*0.07</f>
        <v>1965.6000000000001</v>
      </c>
      <c r="H8" s="32">
        <f t="shared" ref="H8" si="2">F8-G8</f>
        <v>26114.400000000001</v>
      </c>
    </row>
    <row r="9" spans="1:8" x14ac:dyDescent="0.25">
      <c r="A9" s="27" t="s">
        <v>159</v>
      </c>
      <c r="B9" s="22">
        <v>18</v>
      </c>
      <c r="C9" s="22">
        <v>32</v>
      </c>
      <c r="D9" s="22">
        <f>C9*B9</f>
        <v>576</v>
      </c>
      <c r="E9" s="22"/>
      <c r="F9" s="22">
        <f t="shared" si="0"/>
        <v>14976</v>
      </c>
      <c r="G9" s="22">
        <f>F9*0.07</f>
        <v>1048.3200000000002</v>
      </c>
      <c r="H9" s="32">
        <f>F9-G9</f>
        <v>13927.68</v>
      </c>
    </row>
    <row r="10" spans="1:8" x14ac:dyDescent="0.25">
      <c r="A10" s="33"/>
      <c r="B10" s="33"/>
      <c r="C10" s="33"/>
      <c r="D10" s="33"/>
      <c r="E10" s="33"/>
      <c r="F10" s="22"/>
      <c r="G10" s="22"/>
      <c r="H10" s="32"/>
    </row>
    <row r="11" spans="1:8" x14ac:dyDescent="0.25">
      <c r="A11" s="34" t="s">
        <v>160</v>
      </c>
      <c r="B11" s="33"/>
      <c r="C11" s="33"/>
      <c r="D11" s="33"/>
      <c r="E11" s="33"/>
      <c r="F11" s="22"/>
      <c r="G11" s="22"/>
      <c r="H11" s="32">
        <v>7000</v>
      </c>
    </row>
    <row r="12" spans="1:8" x14ac:dyDescent="0.25">
      <c r="A12" s="22" t="s">
        <v>161</v>
      </c>
      <c r="B12" s="22"/>
      <c r="C12" s="22"/>
      <c r="D12" s="22">
        <f>SUM(D4:D10)</f>
        <v>6424</v>
      </c>
      <c r="E12" s="22"/>
      <c r="F12" s="22">
        <f>SUM(F4:F10)</f>
        <v>167024</v>
      </c>
      <c r="G12" s="22">
        <f>SUM(G4:G11)</f>
        <v>11691.680000000002</v>
      </c>
      <c r="H12" s="32">
        <f>SUM(H4:H10)</f>
        <v>155332.32</v>
      </c>
    </row>
    <row r="13" spans="1:8" x14ac:dyDescent="0.25">
      <c r="E13">
        <v>6071</v>
      </c>
    </row>
    <row r="14" spans="1:8" ht="15.75" thickBot="1" x14ac:dyDescent="0.3">
      <c r="C14" s="21" t="s">
        <v>162</v>
      </c>
    </row>
    <row r="15" spans="1:8" ht="15.75" thickBot="1" x14ac:dyDescent="0.3">
      <c r="C15" s="28" t="s">
        <v>163</v>
      </c>
      <c r="D15" s="22"/>
      <c r="E15" s="22"/>
      <c r="F15" s="22"/>
      <c r="G15" s="22"/>
      <c r="H15" s="22"/>
    </row>
    <row r="16" spans="1:8" ht="45.75" x14ac:dyDescent="0.3">
      <c r="A16" s="30" t="s">
        <v>149</v>
      </c>
      <c r="B16" s="23" t="s">
        <v>150</v>
      </c>
      <c r="C16" s="25" t="s">
        <v>122</v>
      </c>
      <c r="D16" s="25" t="s">
        <v>151</v>
      </c>
      <c r="E16" s="25"/>
      <c r="F16" s="25" t="s">
        <v>152</v>
      </c>
      <c r="G16" s="25" t="s">
        <v>125</v>
      </c>
      <c r="H16" s="25" t="s">
        <v>153</v>
      </c>
    </row>
    <row r="17" spans="1:8" x14ac:dyDescent="0.25">
      <c r="A17" s="22" t="s">
        <v>154</v>
      </c>
      <c r="B17" s="22">
        <v>20</v>
      </c>
      <c r="C17" s="22">
        <v>64</v>
      </c>
      <c r="D17" s="22">
        <f>B17*C17</f>
        <v>1280</v>
      </c>
      <c r="E17" s="22"/>
      <c r="F17" s="22">
        <f t="shared" ref="F17:F22" si="3">D17*26</f>
        <v>33280</v>
      </c>
      <c r="G17" s="29">
        <f>F17*0.07</f>
        <v>2329.6000000000004</v>
      </c>
      <c r="H17" s="31">
        <f>F17-G17</f>
        <v>30950.400000000001</v>
      </c>
    </row>
    <row r="18" spans="1:8" x14ac:dyDescent="0.25">
      <c r="A18" s="22" t="s">
        <v>155</v>
      </c>
      <c r="B18" s="22">
        <v>18</v>
      </c>
      <c r="C18" s="22">
        <v>64</v>
      </c>
      <c r="D18" s="22">
        <f>C18*B18</f>
        <v>1152</v>
      </c>
      <c r="E18" s="22"/>
      <c r="F18" s="22">
        <f t="shared" si="3"/>
        <v>29952</v>
      </c>
      <c r="G18" s="22">
        <f>F18*0.07</f>
        <v>2096.6400000000003</v>
      </c>
      <c r="H18" s="32">
        <f>F18-G18</f>
        <v>27855.360000000001</v>
      </c>
    </row>
    <row r="19" spans="1:8" x14ac:dyDescent="0.25">
      <c r="A19" s="22" t="s">
        <v>156</v>
      </c>
      <c r="B19" s="22">
        <v>16</v>
      </c>
      <c r="C19" s="22">
        <v>64</v>
      </c>
      <c r="D19" s="22">
        <v>1024</v>
      </c>
      <c r="E19" s="22"/>
      <c r="F19" s="22">
        <f t="shared" si="3"/>
        <v>26624</v>
      </c>
      <c r="G19" s="29">
        <f>F19*0.07</f>
        <v>1863.6800000000003</v>
      </c>
      <c r="H19" s="31">
        <f>F19-G19</f>
        <v>24760.32</v>
      </c>
    </row>
    <row r="20" spans="1:8" x14ac:dyDescent="0.25">
      <c r="A20" s="22" t="s">
        <v>157</v>
      </c>
      <c r="B20" s="22">
        <v>16</v>
      </c>
      <c r="C20" s="22">
        <v>64</v>
      </c>
      <c r="D20" s="22">
        <f>C20*B20</f>
        <v>1024</v>
      </c>
      <c r="E20" s="22"/>
      <c r="F20" s="22">
        <f t="shared" si="3"/>
        <v>26624</v>
      </c>
      <c r="G20" s="22">
        <f>F20*0.07</f>
        <v>1863.6800000000003</v>
      </c>
      <c r="H20" s="32">
        <f>F20-G20</f>
        <v>24760.32</v>
      </c>
    </row>
    <row r="21" spans="1:8" x14ac:dyDescent="0.25">
      <c r="A21" s="22" t="s">
        <v>158</v>
      </c>
      <c r="B21" s="22">
        <v>17</v>
      </c>
      <c r="C21" s="22">
        <v>64</v>
      </c>
      <c r="D21" s="22">
        <v>1080</v>
      </c>
      <c r="E21" s="22"/>
      <c r="F21" s="22">
        <f t="shared" si="3"/>
        <v>28080</v>
      </c>
      <c r="G21" s="22">
        <f t="shared" ref="G21" si="4">F21*0.07</f>
        <v>1965.6000000000001</v>
      </c>
      <c r="H21" s="32">
        <f t="shared" ref="H21" si="5">F21-G21</f>
        <v>26114.400000000001</v>
      </c>
    </row>
    <row r="22" spans="1:8" x14ac:dyDescent="0.25">
      <c r="A22" s="27" t="s">
        <v>159</v>
      </c>
      <c r="B22" s="22">
        <v>18</v>
      </c>
      <c r="C22" s="22">
        <v>32</v>
      </c>
      <c r="D22" s="22">
        <f>C22*B22</f>
        <v>576</v>
      </c>
      <c r="E22" s="22"/>
      <c r="F22" s="22">
        <f t="shared" si="3"/>
        <v>14976</v>
      </c>
      <c r="G22" s="22">
        <f>F22*0.07</f>
        <v>1048.3200000000002</v>
      </c>
      <c r="H22" s="32">
        <f>F22-G22</f>
        <v>13927.68</v>
      </c>
    </row>
    <row r="23" spans="1:8" x14ac:dyDescent="0.25">
      <c r="A23" s="33"/>
      <c r="B23" s="33"/>
      <c r="C23" s="33"/>
      <c r="D23" s="33"/>
      <c r="E23" s="33"/>
      <c r="F23" s="22"/>
      <c r="G23" s="22"/>
      <c r="H23" s="32"/>
    </row>
    <row r="24" spans="1:8" x14ac:dyDescent="0.25">
      <c r="A24" s="34" t="s">
        <v>160</v>
      </c>
      <c r="B24" s="33"/>
      <c r="C24" s="33"/>
      <c r="D24" s="33"/>
      <c r="E24" s="33"/>
      <c r="F24" s="22"/>
      <c r="G24" s="22"/>
      <c r="H24" s="32">
        <v>0</v>
      </c>
    </row>
    <row r="25" spans="1:8" x14ac:dyDescent="0.25">
      <c r="A25" s="22" t="s">
        <v>161</v>
      </c>
      <c r="B25" s="22"/>
      <c r="C25" s="22"/>
      <c r="D25" s="22">
        <f>SUM(D17:D23)</f>
        <v>6136</v>
      </c>
      <c r="E25" s="22"/>
      <c r="F25" s="22">
        <f>SUM(F17:F23)</f>
        <v>159536</v>
      </c>
      <c r="G25" s="22">
        <f>SUM(G17:G24)</f>
        <v>11167.52</v>
      </c>
      <c r="H25" s="32">
        <f>SUM(H17:H23)</f>
        <v>148368.47999999998</v>
      </c>
    </row>
    <row r="26" spans="1:8" x14ac:dyDescent="0.25">
      <c r="B26" s="33"/>
      <c r="C26" s="33"/>
      <c r="D26" s="33"/>
      <c r="E26" s="33"/>
      <c r="F26" s="33"/>
      <c r="G26" s="33"/>
      <c r="H26" s="35"/>
    </row>
    <row r="28" spans="1:8" ht="15.75" thickBot="1" x14ac:dyDescent="0.3"/>
    <row r="29" spans="1:8" ht="15.75" thickBot="1" x14ac:dyDescent="0.3">
      <c r="A29" s="36" t="s">
        <v>164</v>
      </c>
      <c r="B29" s="37"/>
      <c r="C29" s="37"/>
      <c r="D29" s="37"/>
      <c r="E29" s="37"/>
      <c r="F29" s="38"/>
      <c r="G29" s="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E0034-1B51-456E-ABA1-D448E1A2EFD9}">
  <dimension ref="A1:F29"/>
  <sheetViews>
    <sheetView workbookViewId="0">
      <selection activeCell="I17" sqref="I17"/>
    </sheetView>
  </sheetViews>
  <sheetFormatPr defaultRowHeight="15" x14ac:dyDescent="0.25"/>
  <sheetData>
    <row r="1" spans="1:6" ht="30.75" x14ac:dyDescent="0.3">
      <c r="A1" s="39" t="s">
        <v>149</v>
      </c>
      <c r="B1" s="40" t="s">
        <v>150</v>
      </c>
      <c r="C1" s="40" t="s">
        <v>122</v>
      </c>
      <c r="D1" s="40" t="s">
        <v>165</v>
      </c>
      <c r="E1" s="41" t="s">
        <v>166</v>
      </c>
      <c r="F1" s="23" t="s">
        <v>167</v>
      </c>
    </row>
    <row r="2" spans="1:6" x14ac:dyDescent="0.25">
      <c r="A2" s="42" t="s">
        <v>168</v>
      </c>
      <c r="B2" s="22">
        <v>25</v>
      </c>
      <c r="C2" s="22">
        <v>40</v>
      </c>
      <c r="D2" s="22">
        <f>B2*C2</f>
        <v>1000</v>
      </c>
      <c r="E2" s="43">
        <f>D2*2</f>
        <v>2000</v>
      </c>
      <c r="F2" s="22">
        <f>E2*26</f>
        <v>52000</v>
      </c>
    </row>
    <row r="3" spans="1:6" x14ac:dyDescent="0.25">
      <c r="A3" s="42" t="s">
        <v>169</v>
      </c>
      <c r="B3" s="22">
        <v>24</v>
      </c>
      <c r="C3" s="22">
        <v>40</v>
      </c>
      <c r="D3" s="22">
        <f>B3*C3</f>
        <v>960</v>
      </c>
      <c r="E3" s="43">
        <f>D3*2</f>
        <v>1920</v>
      </c>
      <c r="F3" s="22">
        <f>E3*26</f>
        <v>49920</v>
      </c>
    </row>
    <row r="4" spans="1:6" x14ac:dyDescent="0.25">
      <c r="A4" s="42" t="s">
        <v>170</v>
      </c>
      <c r="B4" s="22">
        <v>24</v>
      </c>
      <c r="C4" s="22">
        <v>40</v>
      </c>
      <c r="D4" s="22">
        <f>B4*C4</f>
        <v>960</v>
      </c>
      <c r="E4" s="43">
        <f>D4*2</f>
        <v>1920</v>
      </c>
      <c r="F4" s="22">
        <f>E4*26</f>
        <v>49920</v>
      </c>
    </row>
    <row r="5" spans="1:6" x14ac:dyDescent="0.25">
      <c r="A5" s="42" t="s">
        <v>159</v>
      </c>
      <c r="B5" s="22">
        <v>20</v>
      </c>
      <c r="C5" s="22">
        <v>32</v>
      </c>
      <c r="D5" s="22">
        <f>B5*C5</f>
        <v>640</v>
      </c>
      <c r="E5" s="43">
        <f>D5*2</f>
        <v>1280</v>
      </c>
      <c r="F5" s="22">
        <f>E5*26</f>
        <v>33280</v>
      </c>
    </row>
    <row r="6" spans="1:6" x14ac:dyDescent="0.25">
      <c r="A6" s="42"/>
      <c r="B6" s="22">
        <v>0</v>
      </c>
      <c r="C6" s="22">
        <v>0</v>
      </c>
      <c r="D6" s="22">
        <f>B6*C6</f>
        <v>0</v>
      </c>
      <c r="E6" s="43">
        <f>D6*2</f>
        <v>0</v>
      </c>
      <c r="F6" s="22">
        <v>0</v>
      </c>
    </row>
    <row r="7" spans="1:6" x14ac:dyDescent="0.25">
      <c r="A7" s="44"/>
      <c r="F7" s="45">
        <f>SUM(F2:F5)</f>
        <v>185120</v>
      </c>
    </row>
    <row r="8" spans="1:6" x14ac:dyDescent="0.25">
      <c r="A8" s="44"/>
      <c r="E8" s="43" t="s">
        <v>171</v>
      </c>
      <c r="F8" s="45">
        <f>F7*0.07</f>
        <v>12958.400000000001</v>
      </c>
    </row>
    <row r="9" spans="1:6" ht="15.75" thickBot="1" x14ac:dyDescent="0.3">
      <c r="A9" s="46"/>
      <c r="B9" s="47"/>
      <c r="C9" s="47"/>
      <c r="D9" s="47"/>
      <c r="E9" s="47"/>
      <c r="F9" s="45">
        <f>SUM(F7:F8)</f>
        <v>198078.4</v>
      </c>
    </row>
    <row r="10" spans="1:6" x14ac:dyDescent="0.25">
      <c r="A10" s="44"/>
      <c r="F10" s="22"/>
    </row>
    <row r="11" spans="1:6" x14ac:dyDescent="0.25">
      <c r="A11" s="44"/>
      <c r="B11">
        <v>2026</v>
      </c>
      <c r="F11" s="22"/>
    </row>
    <row r="12" spans="1:6" x14ac:dyDescent="0.25">
      <c r="A12" s="42" t="s">
        <v>168</v>
      </c>
      <c r="B12" s="22">
        <v>25</v>
      </c>
      <c r="C12" s="22">
        <v>40</v>
      </c>
      <c r="D12" s="22">
        <f>B12*C12</f>
        <v>1000</v>
      </c>
      <c r="E12" s="43">
        <f>D12*2</f>
        <v>2000</v>
      </c>
      <c r="F12" s="22">
        <f>E12*26</f>
        <v>52000</v>
      </c>
    </row>
    <row r="13" spans="1:6" x14ac:dyDescent="0.25">
      <c r="A13" s="42" t="s">
        <v>172</v>
      </c>
      <c r="B13" s="22">
        <v>20</v>
      </c>
      <c r="C13" s="22">
        <v>0</v>
      </c>
      <c r="D13" s="22">
        <f>B13*C13</f>
        <v>0</v>
      </c>
      <c r="E13" s="43">
        <f>D13*2</f>
        <v>0</v>
      </c>
      <c r="F13" s="22">
        <v>6000</v>
      </c>
    </row>
    <row r="14" spans="1:6" x14ac:dyDescent="0.25">
      <c r="A14" s="42" t="s">
        <v>169</v>
      </c>
      <c r="B14" s="22">
        <v>24</v>
      </c>
      <c r="C14" s="22">
        <v>40</v>
      </c>
      <c r="D14" s="22">
        <f>B14*C14</f>
        <v>960</v>
      </c>
      <c r="E14" s="43">
        <f>D14*2</f>
        <v>1920</v>
      </c>
      <c r="F14" s="22">
        <f>E14*26</f>
        <v>49920</v>
      </c>
    </row>
    <row r="15" spans="1:6" x14ac:dyDescent="0.25">
      <c r="A15" s="42" t="s">
        <v>159</v>
      </c>
      <c r="B15" s="22">
        <v>24</v>
      </c>
      <c r="C15" s="22">
        <v>40</v>
      </c>
      <c r="D15" s="22">
        <f>B15*C15</f>
        <v>960</v>
      </c>
      <c r="E15" s="43">
        <f>D15*2</f>
        <v>1920</v>
      </c>
      <c r="F15" s="22">
        <f>E15*26</f>
        <v>49920</v>
      </c>
    </row>
    <row r="16" spans="1:6" x14ac:dyDescent="0.25">
      <c r="A16" s="42"/>
      <c r="B16" s="22">
        <v>0</v>
      </c>
      <c r="C16" s="22">
        <v>0</v>
      </c>
      <c r="D16" s="22">
        <f>B16*C16</f>
        <v>0</v>
      </c>
      <c r="E16" s="43">
        <f>D16*2</f>
        <v>0</v>
      </c>
      <c r="F16" s="22">
        <v>0</v>
      </c>
    </row>
    <row r="17" spans="1:6" x14ac:dyDescent="0.25">
      <c r="A17" s="44"/>
      <c r="F17" s="22">
        <f>SUM(F12:F15)</f>
        <v>157840</v>
      </c>
    </row>
    <row r="18" spans="1:6" x14ac:dyDescent="0.25">
      <c r="A18" s="44"/>
      <c r="E18" s="43" t="s">
        <v>171</v>
      </c>
      <c r="F18" s="22">
        <f>F17*0.07</f>
        <v>11048.800000000001</v>
      </c>
    </row>
    <row r="19" spans="1:6" ht="15.75" thickBot="1" x14ac:dyDescent="0.3">
      <c r="A19" s="46"/>
      <c r="B19" s="47"/>
      <c r="C19" s="47"/>
      <c r="D19" s="47"/>
      <c r="E19" s="47"/>
      <c r="F19" s="22">
        <f>SUM(F17:F18)</f>
        <v>168888.8</v>
      </c>
    </row>
    <row r="21" spans="1:6" x14ac:dyDescent="0.25">
      <c r="B21">
        <v>2025</v>
      </c>
    </row>
    <row r="22" spans="1:6" ht="31.5" x14ac:dyDescent="0.25">
      <c r="A22" s="48" t="s">
        <v>173</v>
      </c>
      <c r="B22" s="23" t="s">
        <v>150</v>
      </c>
      <c r="C22" s="23" t="s">
        <v>122</v>
      </c>
      <c r="D22" s="23" t="s">
        <v>165</v>
      </c>
      <c r="E22" s="49" t="s">
        <v>166</v>
      </c>
      <c r="F22" s="23" t="s">
        <v>167</v>
      </c>
    </row>
    <row r="23" spans="1:6" x14ac:dyDescent="0.25">
      <c r="A23" s="22" t="s">
        <v>168</v>
      </c>
      <c r="B23" s="22">
        <v>24</v>
      </c>
      <c r="C23" s="22">
        <v>36</v>
      </c>
      <c r="D23" s="22">
        <f>B23*C23</f>
        <v>864</v>
      </c>
      <c r="E23" s="43">
        <f>D23*2</f>
        <v>1728</v>
      </c>
      <c r="F23" s="22">
        <f>E23*26</f>
        <v>44928</v>
      </c>
    </row>
    <row r="24" spans="1:6" x14ac:dyDescent="0.25">
      <c r="A24" s="22" t="s">
        <v>174</v>
      </c>
      <c r="B24" s="22">
        <v>21</v>
      </c>
      <c r="C24" s="22">
        <v>36</v>
      </c>
      <c r="D24" s="22">
        <f>B24*C24</f>
        <v>756</v>
      </c>
      <c r="E24" s="43">
        <f>D24*2</f>
        <v>1512</v>
      </c>
      <c r="F24" s="22">
        <f>E24*26</f>
        <v>39312</v>
      </c>
    </row>
    <row r="25" spans="1:6" x14ac:dyDescent="0.25">
      <c r="A25" s="22" t="s">
        <v>175</v>
      </c>
      <c r="B25" s="22">
        <v>21</v>
      </c>
      <c r="C25" s="22">
        <v>36</v>
      </c>
      <c r="D25" s="22">
        <f>B25*C25</f>
        <v>756</v>
      </c>
      <c r="E25" s="43">
        <f>D25*2</f>
        <v>1512</v>
      </c>
      <c r="F25" s="22">
        <f>E25*26</f>
        <v>39312</v>
      </c>
    </row>
    <row r="26" spans="1:6" x14ac:dyDescent="0.25">
      <c r="A26" s="22" t="s">
        <v>176</v>
      </c>
      <c r="B26" s="22">
        <v>20</v>
      </c>
      <c r="C26" s="22">
        <v>32</v>
      </c>
      <c r="D26" s="22">
        <f>B26*C26</f>
        <v>640</v>
      </c>
      <c r="E26" s="43">
        <f>D26*2</f>
        <v>1280</v>
      </c>
      <c r="F26" s="22">
        <f>E26*26</f>
        <v>33280</v>
      </c>
    </row>
    <row r="27" spans="1:6" x14ac:dyDescent="0.25">
      <c r="F27" s="22">
        <f>SUM(F23:F26)</f>
        <v>156832</v>
      </c>
    </row>
    <row r="28" spans="1:6" x14ac:dyDescent="0.25">
      <c r="E28" s="43" t="s">
        <v>171</v>
      </c>
      <c r="F28" s="22">
        <v>13811</v>
      </c>
    </row>
    <row r="29" spans="1:6" x14ac:dyDescent="0.25">
      <c r="F29" s="22">
        <f>SUM(F27:F28)</f>
        <v>170643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 Overview</vt:lpstr>
      <vt:lpstr>Admin WS 6065</vt:lpstr>
      <vt:lpstr>Public Wks WS 6071</vt:lpstr>
      <vt:lpstr>IPD WS 6075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City of Ivanhoe</cp:lastModifiedBy>
  <cp:lastPrinted>2026-08-17T21:05:34Z</cp:lastPrinted>
  <dcterms:created xsi:type="dcterms:W3CDTF">2021-07-19T20:01:20Z</dcterms:created>
  <dcterms:modified xsi:type="dcterms:W3CDTF">2026-08-27T20:58:43Z</dcterms:modified>
</cp:coreProperties>
</file>