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ivanhoetx-my.sharepoint.com/personal/cityofivanhoe_cityofivanhoe_texas_gov/Documents/Documents/Budget &amp; Expense/FY-2023/"/>
    </mc:Choice>
  </mc:AlternateContent>
  <xr:revisionPtr revIDLastSave="28" documentId="8_{5CCB85E7-108C-4EA0-A241-701E4D5C1F3F}" xr6:coauthVersionLast="47" xr6:coauthVersionMax="47" xr10:uidLastSave="{B2A759F4-3B2B-4A56-937F-D50E90DB642E}"/>
  <bookViews>
    <workbookView xWindow="1950" yWindow="840" windowWidth="23535" windowHeight="14760" xr2:uid="{00000000-000D-0000-FFFF-FFFF00000000}"/>
  </bookViews>
  <sheets>
    <sheet name="Budget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3" i="1" l="1"/>
  <c r="N52" i="1"/>
  <c r="N108" i="1"/>
  <c r="N37" i="1"/>
  <c r="N123" i="1"/>
  <c r="N133" i="1"/>
  <c r="N140" i="1"/>
  <c r="N119" i="1"/>
  <c r="N72" i="1"/>
  <c r="N6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92" i="1"/>
  <c r="L92" i="1"/>
  <c r="K92" i="1"/>
  <c r="J92" i="1"/>
  <c r="I92" i="1"/>
  <c r="H92" i="1"/>
  <c r="G92" i="1"/>
  <c r="F92" i="1"/>
  <c r="E92" i="1"/>
  <c r="D92" i="1"/>
  <c r="C92" i="1"/>
  <c r="B92" i="1"/>
  <c r="M88" i="1"/>
  <c r="L88" i="1"/>
  <c r="K88" i="1"/>
  <c r="J88" i="1"/>
  <c r="I88" i="1"/>
  <c r="H88" i="1"/>
  <c r="G88" i="1"/>
  <c r="F88" i="1"/>
  <c r="E88" i="1"/>
  <c r="D88" i="1"/>
  <c r="C88" i="1"/>
  <c r="B88" i="1"/>
  <c r="M80" i="1"/>
  <c r="L80" i="1"/>
  <c r="K80" i="1"/>
  <c r="J80" i="1"/>
  <c r="I80" i="1"/>
  <c r="H80" i="1"/>
  <c r="G80" i="1"/>
  <c r="F80" i="1"/>
  <c r="E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  <c r="M77" i="1"/>
  <c r="L77" i="1"/>
  <c r="K77" i="1"/>
  <c r="J77" i="1"/>
  <c r="I77" i="1"/>
  <c r="H77" i="1"/>
  <c r="G77" i="1"/>
  <c r="F77" i="1"/>
  <c r="E77" i="1"/>
  <c r="D77" i="1"/>
  <c r="C77" i="1"/>
  <c r="B77" i="1"/>
  <c r="M75" i="1"/>
  <c r="L75" i="1"/>
  <c r="K75" i="1"/>
  <c r="J75" i="1"/>
  <c r="I75" i="1"/>
  <c r="H75" i="1"/>
  <c r="G75" i="1"/>
  <c r="F75" i="1"/>
  <c r="E75" i="1"/>
  <c r="D75" i="1"/>
  <c r="C75" i="1"/>
  <c r="B75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5" i="1"/>
  <c r="L55" i="1"/>
  <c r="K55" i="1"/>
  <c r="J55" i="1"/>
  <c r="I55" i="1"/>
  <c r="H55" i="1"/>
  <c r="G55" i="1"/>
  <c r="F55" i="1"/>
  <c r="E55" i="1"/>
  <c r="D55" i="1"/>
  <c r="C55" i="1"/>
  <c r="B55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N95" i="1" l="1"/>
  <c r="N142" i="1" s="1"/>
  <c r="E108" i="1"/>
  <c r="M108" i="1"/>
  <c r="F108" i="1"/>
  <c r="D140" i="1"/>
  <c r="L140" i="1"/>
  <c r="E140" i="1"/>
  <c r="K108" i="1"/>
  <c r="G140" i="1"/>
  <c r="F62" i="1"/>
  <c r="C62" i="1"/>
  <c r="B52" i="1"/>
  <c r="D62" i="1"/>
  <c r="B140" i="1"/>
  <c r="J140" i="1"/>
  <c r="G108" i="1"/>
  <c r="J62" i="1"/>
  <c r="H108" i="1"/>
  <c r="D108" i="1"/>
  <c r="L108" i="1"/>
  <c r="K62" i="1"/>
  <c r="G62" i="1"/>
  <c r="I108" i="1"/>
  <c r="I140" i="1"/>
  <c r="M140" i="1"/>
  <c r="J52" i="1"/>
  <c r="L62" i="1"/>
  <c r="C108" i="1"/>
  <c r="C140" i="1"/>
  <c r="K140" i="1"/>
  <c r="C52" i="1"/>
  <c r="K52" i="1"/>
  <c r="M62" i="1"/>
  <c r="H140" i="1"/>
  <c r="E52" i="1"/>
  <c r="I52" i="1"/>
  <c r="E62" i="1"/>
  <c r="F52" i="1"/>
  <c r="B108" i="1"/>
  <c r="J108" i="1"/>
  <c r="M52" i="1"/>
  <c r="I62" i="1"/>
  <c r="G52" i="1"/>
  <c r="F140" i="1"/>
  <c r="D52" i="1"/>
  <c r="L52" i="1"/>
  <c r="H62" i="1"/>
  <c r="B62" i="1"/>
  <c r="H52" i="1"/>
</calcChain>
</file>

<file path=xl/sharedStrings.xml><?xml version="1.0" encoding="utf-8"?>
<sst xmlns="http://schemas.openxmlformats.org/spreadsheetml/2006/main" count="144" uniqueCount="144">
  <si>
    <t xml:space="preserve">   4000.10 Current Year Tax</t>
  </si>
  <si>
    <t xml:space="preserve">   4000.11 Current Year Tax Penalty</t>
  </si>
  <si>
    <t xml:space="preserve">   4000.12 Current Year Tax Interest</t>
  </si>
  <si>
    <t xml:space="preserve">   4000.15 Delinquent Tax</t>
  </si>
  <si>
    <t xml:space="preserve">   4000.16 Delinquent Tax Penalty</t>
  </si>
  <si>
    <t xml:space="preserve">   4000.17 Delinquent Tax Interest</t>
  </si>
  <si>
    <t xml:space="preserve">   4000.30 Office Receipts</t>
  </si>
  <si>
    <t xml:space="preserve">   4000.32 On-Site Septic Facility permit</t>
  </si>
  <si>
    <t xml:space="preserve">   4000.40 Interest Income</t>
  </si>
  <si>
    <t xml:space="preserve">   4000.50 Elec. Franchise Fee</t>
  </si>
  <si>
    <t xml:space="preserve">   4000.51 Garbage Franchise Fee</t>
  </si>
  <si>
    <t xml:space="preserve">   4000.55 Phone Franchise Fee</t>
  </si>
  <si>
    <t xml:space="preserve">   4000.60 General Sales Tax</t>
  </si>
  <si>
    <t xml:space="preserve">      6045.04 Appraisals</t>
  </si>
  <si>
    <t xml:space="preserve">      6060.02 Consumables</t>
  </si>
  <si>
    <t xml:space="preserve">      6060.03 Copier/Printer</t>
  </si>
  <si>
    <t xml:space="preserve">      6060.05 Postage</t>
  </si>
  <si>
    <t xml:space="preserve">      6060.07 Contingency/Misc</t>
  </si>
  <si>
    <t xml:space="preserve">      6060.08 Public Notice</t>
  </si>
  <si>
    <t xml:space="preserve">         6085.05 Training and Education mileage</t>
  </si>
  <si>
    <t xml:space="preserve">      6071.03 Street Signs</t>
  </si>
  <si>
    <t xml:space="preserve">      6071.06 Street Maintenance Labor</t>
  </si>
  <si>
    <t xml:space="preserve">      6076.01 City Property Maintenance</t>
  </si>
  <si>
    <t xml:space="preserve">      6076.02 Telephone</t>
  </si>
  <si>
    <t xml:space="preserve">      6076.03 Water</t>
  </si>
  <si>
    <t xml:space="preserve">      6076.04 Electricity</t>
  </si>
  <si>
    <t>City of Ivanhoe</t>
  </si>
  <si>
    <t xml:space="preserve">   4000.35 Culvert and Road Material</t>
  </si>
  <si>
    <t xml:space="preserve">   4000.31 Community Center Rental</t>
  </si>
  <si>
    <t xml:space="preserve">      6075.02 Marshal Vehicle Repair</t>
  </si>
  <si>
    <t xml:space="preserve">      6075.07 Fuel</t>
  </si>
  <si>
    <t xml:space="preserve">         6077.10 Municipal Judge Payroll</t>
  </si>
  <si>
    <t xml:space="preserve">      6045.01 Accountant Auditor</t>
  </si>
  <si>
    <t xml:space="preserve">      6045.05 Tax Collection</t>
  </si>
  <si>
    <t>6075 City Marshal Dept</t>
  </si>
  <si>
    <t>TOTAL 6076 BUILDING AND GROUNDS</t>
  </si>
  <si>
    <t>TOTAL 6075 CITY MARSHAL DEPT EXPENSES</t>
  </si>
  <si>
    <t>TOTAL 6071.00 PUBLIC WORKS DEPT EXPENSES</t>
  </si>
  <si>
    <t>TOTAL ADMINISTRATION EXPENSE</t>
  </si>
  <si>
    <t xml:space="preserve">          6065.02 Council</t>
  </si>
  <si>
    <t xml:space="preserve">          6065.01 City Administrator</t>
  </si>
  <si>
    <t xml:space="preserve">          6050.00 Vehicle &amp; travel reimbursement</t>
  </si>
  <si>
    <t xml:space="preserve">          6046.10 Website</t>
  </si>
  <si>
    <t xml:space="preserve">          6046.30 City Attorney</t>
  </si>
  <si>
    <t xml:space="preserve">          6046.40 OSSF Inspections</t>
  </si>
  <si>
    <t xml:space="preserve">          6046.50 Lease</t>
  </si>
  <si>
    <t xml:space="preserve">          6046.70 Alarm System</t>
  </si>
  <si>
    <t>TOTAL 6045 OPERATIONS</t>
  </si>
  <si>
    <t xml:space="preserve">          6065.05 Supervisor of Dams</t>
  </si>
  <si>
    <t>October 2022- September 2023</t>
  </si>
  <si>
    <t xml:space="preserve">                           Value $97,282,498</t>
  </si>
  <si>
    <t xml:space="preserve">   89% Collection Rate</t>
  </si>
  <si>
    <t xml:space="preserve">   4000.25 Permits</t>
  </si>
  <si>
    <t xml:space="preserve">   4000.20 Donations</t>
  </si>
  <si>
    <t>TOTAL INCOME</t>
  </si>
  <si>
    <t xml:space="preserve">      6045.07 Legal and professional</t>
  </si>
  <si>
    <t xml:space="preserve">      6060.01 IT - Mr IT</t>
  </si>
  <si>
    <r>
      <t xml:space="preserve">          6065.09 </t>
    </r>
    <r>
      <rPr>
        <b/>
        <sz val="8"/>
        <rFont val="Arial"/>
        <family val="2"/>
      </rPr>
      <t>Part Time Clerk</t>
    </r>
  </si>
  <si>
    <t>6071.00 PUBLIC WORKS</t>
  </si>
  <si>
    <t xml:space="preserve">      6075.01 Marshal's Dept Payroll</t>
  </si>
  <si>
    <t xml:space="preserve">          6077.30 Technology - Utility Data</t>
  </si>
  <si>
    <t>6076 BUILDING AND GROUNDS</t>
  </si>
  <si>
    <t>TOTAL EXPENSES</t>
  </si>
  <si>
    <t xml:space="preserve">         6085.03 Conference Fee</t>
  </si>
  <si>
    <t xml:space="preserve">         6085.04 Meals - DETCOG, etc</t>
  </si>
  <si>
    <t>ARPA expenses</t>
  </si>
  <si>
    <t xml:space="preserve">                Auditor</t>
  </si>
  <si>
    <r>
      <t xml:space="preserve">                </t>
    </r>
    <r>
      <rPr>
        <b/>
        <sz val="8"/>
        <color rgb="FFFF0000"/>
        <rFont val="Arial"/>
        <family val="2"/>
      </rPr>
      <t>GLO Match</t>
    </r>
  </si>
  <si>
    <r>
      <t xml:space="preserve">                </t>
    </r>
    <r>
      <rPr>
        <b/>
        <sz val="8"/>
        <color rgb="FFFF0000"/>
        <rFont val="Arial"/>
        <family val="2"/>
      </rPr>
      <t>IT Software</t>
    </r>
  </si>
  <si>
    <r>
      <t xml:space="preserve">                </t>
    </r>
    <r>
      <rPr>
        <b/>
        <sz val="8"/>
        <color rgb="FFFF0000"/>
        <rFont val="Arial"/>
        <family val="2"/>
      </rPr>
      <t>Code Enforcement</t>
    </r>
  </si>
  <si>
    <t>ARPA REMAINING BALANCE</t>
  </si>
  <si>
    <t>2023 Tax Rate .755</t>
  </si>
  <si>
    <t xml:space="preserve">Adopted Budget  FY-2023 </t>
  </si>
  <si>
    <r>
      <t xml:space="preserve">        </t>
    </r>
    <r>
      <rPr>
        <b/>
        <sz val="8"/>
        <color rgb="FFFF0000"/>
        <rFont val="Arial"/>
        <family val="2"/>
      </rPr>
      <t xml:space="preserve"> </t>
    </r>
    <r>
      <rPr>
        <b/>
        <sz val="8"/>
        <rFont val="Arial"/>
        <family val="2"/>
      </rPr>
      <t xml:space="preserve"> 6046.80 Accountant</t>
    </r>
  </si>
  <si>
    <t xml:space="preserve">          6065.08 Executive Administrator</t>
  </si>
  <si>
    <t>Code Enf,Clerk,Dispatch,Flood Plain</t>
  </si>
  <si>
    <t>ARPA Beginning Balance</t>
  </si>
  <si>
    <t xml:space="preserve">                Administrator</t>
  </si>
  <si>
    <t>TOTAL Expenditures</t>
  </si>
  <si>
    <t xml:space="preserve">                CDBG Match</t>
  </si>
  <si>
    <t xml:space="preserve">                Building Improvements</t>
  </si>
  <si>
    <t>Utilize ARPA funds</t>
  </si>
  <si>
    <t xml:space="preserve">      6075.03 Supplies &amp; Equipment</t>
  </si>
  <si>
    <t xml:space="preserve">      6075.11 Marshal's Dept Payroll Tax</t>
  </si>
  <si>
    <r>
      <t xml:space="preserve">      6075.04 </t>
    </r>
    <r>
      <rPr>
        <b/>
        <sz val="8"/>
        <rFont val="Arial"/>
        <family val="2"/>
      </rPr>
      <t>Training</t>
    </r>
  </si>
  <si>
    <t xml:space="preserve">      6071.07 Street Maintenance Labor Payroll Tax</t>
  </si>
  <si>
    <t xml:space="preserve">          6065.88 Exec Secty Payroll Tax</t>
  </si>
  <si>
    <t xml:space="preserve">          6065.011 City Administrator Payroll tax</t>
  </si>
  <si>
    <t>Charged to ARPA</t>
  </si>
  <si>
    <t xml:space="preserve">      6060.011 I WORQS Software &amp; IT</t>
  </si>
  <si>
    <t>Total 6060 OFFICE/ADMINISTRATION GENERAL</t>
  </si>
  <si>
    <t>Paid from ARPA funds.</t>
  </si>
  <si>
    <t>5000 MUNICIPAL COURT</t>
  </si>
  <si>
    <t xml:space="preserve">     5000.35 Truancy P &amp; D Fund</t>
  </si>
  <si>
    <t xml:space="preserve">     5000.33 Local Traffic</t>
  </si>
  <si>
    <t xml:space="preserve">     5000.30 Municipal Jury Fee</t>
  </si>
  <si>
    <t xml:space="preserve">     5000.29Court Technology Fund</t>
  </si>
  <si>
    <t xml:space="preserve">     5000.27 Court Building Security</t>
  </si>
  <si>
    <t xml:space="preserve">     5000.25 Local Truancy P &amp; D</t>
  </si>
  <si>
    <t xml:space="preserve">     5000.23 Court Law Enforcement Fee</t>
  </si>
  <si>
    <t xml:space="preserve">     5000.20 Arrest</t>
  </si>
  <si>
    <t xml:space="preserve">     5000.19 Judicial Fund</t>
  </si>
  <si>
    <t xml:space="preserve">     5000.17 Capias Warrant Fee</t>
  </si>
  <si>
    <t xml:space="preserve">     5000.15 Court Fine(lodcal)</t>
  </si>
  <si>
    <t xml:space="preserve">     5000.13 Dismissal Fee</t>
  </si>
  <si>
    <t xml:space="preserve">     5000.10 Court Administration</t>
  </si>
  <si>
    <t>M &amp; O .605</t>
  </si>
  <si>
    <t>I &amp; S .150</t>
  </si>
  <si>
    <t>6045 Operations</t>
  </si>
  <si>
    <t>6060 OFFICE/ADMINISTRATION GENERAL</t>
  </si>
  <si>
    <r>
      <t xml:space="preserve">          6046.03 </t>
    </r>
    <r>
      <rPr>
        <b/>
        <sz val="8"/>
        <rFont val="Arial"/>
        <family val="2"/>
      </rPr>
      <t>Flood Plain</t>
    </r>
  </si>
  <si>
    <t xml:space="preserve"> 6065.00 PAYROLL EXPENSES</t>
  </si>
  <si>
    <t xml:space="preserve">          6065.091 Part Time Clerk Payroll Tax</t>
  </si>
  <si>
    <t>TOTAL 6065 PAYROLL EXPENSES ADMINISTRATION</t>
  </si>
  <si>
    <t xml:space="preserve">         6085.10 Training Exec Admin</t>
  </si>
  <si>
    <t xml:space="preserve">         6085.40 Training Council </t>
  </si>
  <si>
    <t>6085 TRAINING ADMINISTRATION</t>
  </si>
  <si>
    <t>TOTAL 6085 TRAINING ADMINISTRATION</t>
  </si>
  <si>
    <t>Reduced due to free material</t>
  </si>
  <si>
    <t xml:space="preserve">      6071.20 Supplies</t>
  </si>
  <si>
    <t xml:space="preserve">      6071.15 Equipment Repair</t>
  </si>
  <si>
    <t xml:space="preserve">      6071.14 Equipment Fuel</t>
  </si>
  <si>
    <t xml:space="preserve">      6071.11 Road Material</t>
  </si>
  <si>
    <t>6072 DAM REPAIR AND MAINTENANCE TOTAL</t>
  </si>
  <si>
    <r>
      <t xml:space="preserve">          6077.70 </t>
    </r>
    <r>
      <rPr>
        <b/>
        <sz val="8"/>
        <rFont val="Arial"/>
        <family val="2"/>
      </rPr>
      <t>Training</t>
    </r>
  </si>
  <si>
    <t>6078 CODE ENFORCEMENT</t>
  </si>
  <si>
    <t>TOTAL 6078 CODE INFORCEMENT</t>
  </si>
  <si>
    <t>6077 MUNICIPAL COURT</t>
  </si>
  <si>
    <t>TOTAL 6077 MUNICIPAL COURT EXPENSES</t>
  </si>
  <si>
    <t xml:space="preserve">         6077.11 Municipal Judge Payroll Tax</t>
  </si>
  <si>
    <t xml:space="preserve">          6077.20 Court Supplies and Equipment</t>
  </si>
  <si>
    <t xml:space="preserve">          6077.60 Collections</t>
  </si>
  <si>
    <t xml:space="preserve">          6077.50 Technology-Court Synch</t>
  </si>
  <si>
    <t xml:space="preserve">      6045.06 TCEQ OSSF Fee</t>
  </si>
  <si>
    <t xml:space="preserve">      6045.03 Insurance</t>
  </si>
  <si>
    <t xml:space="preserve">      6045.09 Dues/Fees</t>
  </si>
  <si>
    <r>
      <t xml:space="preserve">     6045.10 </t>
    </r>
    <r>
      <rPr>
        <b/>
        <sz val="8"/>
        <rFont val="Arial"/>
        <family val="2"/>
      </rPr>
      <t>Lobbying</t>
    </r>
  </si>
  <si>
    <t xml:space="preserve">      6045.08 Election Expense</t>
  </si>
  <si>
    <t xml:space="preserve">         6085.11 Per Diem</t>
  </si>
  <si>
    <t>TOTAL 6046.00 CONTRACTS ADMINISTRATION</t>
  </si>
  <si>
    <t>6046 ADMINISTRATION CONTRACTS</t>
  </si>
  <si>
    <t xml:space="preserve">      6078.10 Code Enforcement</t>
  </si>
  <si>
    <t>INCOME</t>
  </si>
  <si>
    <t>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</si>
</sst>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14" x14ac:knownFonts="1"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5" fontId="1" fillId="0" borderId="0" xfId="0" applyNumberFormat="1" applyFont="1" applyAlignment="1">
      <alignment horizontal="right" wrapText="1"/>
    </xf>
    <xf numFmtId="3" fontId="7" fillId="0" borderId="0" xfId="0" applyNumberFormat="1" applyFont="1"/>
    <xf numFmtId="3" fontId="7" fillId="0" borderId="2" xfId="0" applyNumberFormat="1" applyFont="1" applyBorder="1"/>
    <xf numFmtId="3" fontId="8" fillId="0" borderId="0" xfId="0" applyNumberFormat="1" applyFont="1"/>
    <xf numFmtId="3" fontId="7" fillId="0" borderId="1" xfId="0" applyNumberFormat="1" applyFont="1" applyBorder="1"/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3" fontId="0" fillId="0" borderId="1" xfId="0" applyNumberFormat="1" applyBorder="1"/>
    <xf numFmtId="3" fontId="7" fillId="0" borderId="3" xfId="0" applyNumberFormat="1" applyFont="1" applyBorder="1"/>
    <xf numFmtId="0" fontId="5" fillId="0" borderId="0" xfId="0" applyFont="1" applyAlignment="1">
      <alignment horizontal="left" vertical="center" wrapText="1"/>
    </xf>
    <xf numFmtId="3" fontId="11" fillId="0" borderId="0" xfId="0" applyNumberFormat="1" applyFont="1"/>
    <xf numFmtId="3" fontId="1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7" fillId="0" borderId="0" xfId="0" applyNumberFormat="1" applyFont="1" applyBorder="1"/>
    <xf numFmtId="0" fontId="1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1"/>
  <sheetViews>
    <sheetView tabSelected="1" view="pageLayout" topLeftCell="A138" zoomScaleNormal="100" workbookViewId="0">
      <selection activeCell="O133" sqref="O133"/>
    </sheetView>
  </sheetViews>
  <sheetFormatPr defaultRowHeight="15" x14ac:dyDescent="0.25"/>
  <cols>
    <col min="1" max="1" width="41.28515625" customWidth="1"/>
    <col min="2" max="12" width="10.28515625" hidden="1" customWidth="1"/>
    <col min="13" max="13" width="1.42578125" hidden="1" customWidth="1"/>
    <col min="14" max="14" width="19.85546875" customWidth="1"/>
    <col min="15" max="15" width="33.85546875" customWidth="1"/>
  </cols>
  <sheetData>
    <row r="1" spans="1:14" ht="18" x14ac:dyDescent="0.25">
      <c r="A1" s="21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t="s">
        <v>106</v>
      </c>
    </row>
    <row r="2" spans="1:14" ht="15.75" x14ac:dyDescent="0.25">
      <c r="A2" s="22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t="s">
        <v>107</v>
      </c>
    </row>
    <row r="3" spans="1:14" x14ac:dyDescent="0.25">
      <c r="A3" s="23" t="s">
        <v>49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 t="s">
        <v>71</v>
      </c>
    </row>
    <row r="4" spans="1:14" x14ac:dyDescent="0.25">
      <c r="A4" t="s">
        <v>50</v>
      </c>
      <c r="N4" t="s">
        <v>51</v>
      </c>
    </row>
    <row r="5" spans="1:14" x14ac:dyDescent="0.25">
      <c r="A5" s="25" t="s">
        <v>142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x14ac:dyDescent="0.25">
      <c r="A6" s="8" t="s">
        <v>0</v>
      </c>
      <c r="B6" s="10">
        <f>38616.16</f>
        <v>38616.160000000003</v>
      </c>
      <c r="C6" s="10">
        <f>38616.16</f>
        <v>38616.160000000003</v>
      </c>
      <c r="D6" s="10">
        <f>38616.17</f>
        <v>38616.17</v>
      </c>
      <c r="E6" s="10">
        <f>38616.16</f>
        <v>38616.160000000003</v>
      </c>
      <c r="F6" s="10">
        <f>38616.16</f>
        <v>38616.160000000003</v>
      </c>
      <c r="G6" s="10">
        <f t="shared" ref="G6:M6" si="0">38616.17</f>
        <v>38616.17</v>
      </c>
      <c r="H6" s="10">
        <f t="shared" si="0"/>
        <v>38616.17</v>
      </c>
      <c r="I6" s="10">
        <f t="shared" si="0"/>
        <v>38616.17</v>
      </c>
      <c r="J6" s="10">
        <f t="shared" si="0"/>
        <v>38616.17</v>
      </c>
      <c r="K6" s="10">
        <f t="shared" si="0"/>
        <v>38616.17</v>
      </c>
      <c r="L6" s="10">
        <f t="shared" si="0"/>
        <v>38616.17</v>
      </c>
      <c r="M6" s="10">
        <f t="shared" si="0"/>
        <v>38616.17</v>
      </c>
      <c r="N6" s="2">
        <v>523991</v>
      </c>
    </row>
    <row r="7" spans="1:14" x14ac:dyDescent="0.25">
      <c r="A7" s="8" t="s">
        <v>1</v>
      </c>
      <c r="B7" s="10">
        <f>250</f>
        <v>250</v>
      </c>
      <c r="C7" s="10">
        <f>250</f>
        <v>250</v>
      </c>
      <c r="D7" s="10">
        <f>250</f>
        <v>250</v>
      </c>
      <c r="E7" s="10">
        <f>250</f>
        <v>250</v>
      </c>
      <c r="F7" s="10">
        <f>250</f>
        <v>250</v>
      </c>
      <c r="G7" s="10">
        <f>250</f>
        <v>250</v>
      </c>
      <c r="H7" s="10">
        <f>250</f>
        <v>250</v>
      </c>
      <c r="I7" s="10">
        <f>250</f>
        <v>250</v>
      </c>
      <c r="J7" s="10">
        <f>250</f>
        <v>250</v>
      </c>
      <c r="K7" s="10">
        <f>250</f>
        <v>250</v>
      </c>
      <c r="L7" s="10">
        <f>250</f>
        <v>250</v>
      </c>
      <c r="M7" s="10">
        <f>250</f>
        <v>250</v>
      </c>
      <c r="N7" s="2">
        <v>3000</v>
      </c>
    </row>
    <row r="8" spans="1:14" x14ac:dyDescent="0.25">
      <c r="A8" s="8" t="s">
        <v>2</v>
      </c>
      <c r="B8" s="10">
        <f>75</f>
        <v>75</v>
      </c>
      <c r="C8" s="10">
        <f>75</f>
        <v>75</v>
      </c>
      <c r="D8" s="10">
        <f>75</f>
        <v>75</v>
      </c>
      <c r="E8" s="10">
        <f>75</f>
        <v>75</v>
      </c>
      <c r="F8" s="10">
        <f>75</f>
        <v>75</v>
      </c>
      <c r="G8" s="10">
        <f>75</f>
        <v>75</v>
      </c>
      <c r="H8" s="10">
        <f>75</f>
        <v>75</v>
      </c>
      <c r="I8" s="10">
        <f>75</f>
        <v>75</v>
      </c>
      <c r="J8" s="10">
        <f>75</f>
        <v>75</v>
      </c>
      <c r="K8" s="10">
        <f>75</f>
        <v>75</v>
      </c>
      <c r="L8" s="10">
        <f>75</f>
        <v>75</v>
      </c>
      <c r="M8" s="10">
        <f>75</f>
        <v>75</v>
      </c>
      <c r="N8" s="2">
        <v>1000</v>
      </c>
    </row>
    <row r="9" spans="1:14" x14ac:dyDescent="0.25">
      <c r="A9" s="8" t="s">
        <v>3</v>
      </c>
      <c r="B9" s="10">
        <f>1666.66</f>
        <v>1666.66</v>
      </c>
      <c r="C9" s="10">
        <f>1666.66</f>
        <v>1666.66</v>
      </c>
      <c r="D9" s="10">
        <f>1666.66</f>
        <v>1666.66</v>
      </c>
      <c r="E9" s="10">
        <f>1666.66</f>
        <v>1666.66</v>
      </c>
      <c r="F9" s="10">
        <f t="shared" ref="F9:M9" si="1">1666.67</f>
        <v>1666.67</v>
      </c>
      <c r="G9" s="10">
        <f t="shared" si="1"/>
        <v>1666.67</v>
      </c>
      <c r="H9" s="10">
        <f t="shared" si="1"/>
        <v>1666.67</v>
      </c>
      <c r="I9" s="10">
        <f t="shared" si="1"/>
        <v>1666.67</v>
      </c>
      <c r="J9" s="10">
        <f t="shared" si="1"/>
        <v>1666.67</v>
      </c>
      <c r="K9" s="10">
        <f t="shared" si="1"/>
        <v>1666.67</v>
      </c>
      <c r="L9" s="10">
        <f t="shared" si="1"/>
        <v>1666.67</v>
      </c>
      <c r="M9" s="10">
        <f t="shared" si="1"/>
        <v>1666.67</v>
      </c>
      <c r="N9" s="2">
        <v>32000</v>
      </c>
    </row>
    <row r="10" spans="1:14" x14ac:dyDescent="0.25">
      <c r="A10" s="8" t="s">
        <v>4</v>
      </c>
      <c r="B10" s="10">
        <f>208.34</f>
        <v>208.34</v>
      </c>
      <c r="C10" s="10">
        <f>208.34</f>
        <v>208.34</v>
      </c>
      <c r="D10" s="10">
        <f>208.34</f>
        <v>208.34</v>
      </c>
      <c r="E10" s="10">
        <f>208.34</f>
        <v>208.34</v>
      </c>
      <c r="F10" s="10">
        <f t="shared" ref="F10:M10" si="2">208.33</f>
        <v>208.33</v>
      </c>
      <c r="G10" s="10">
        <f t="shared" si="2"/>
        <v>208.33</v>
      </c>
      <c r="H10" s="10">
        <f t="shared" si="2"/>
        <v>208.33</v>
      </c>
      <c r="I10" s="10">
        <f t="shared" si="2"/>
        <v>208.33</v>
      </c>
      <c r="J10" s="10">
        <f t="shared" si="2"/>
        <v>208.33</v>
      </c>
      <c r="K10" s="10">
        <f t="shared" si="2"/>
        <v>208.33</v>
      </c>
      <c r="L10" s="10">
        <f t="shared" si="2"/>
        <v>208.33</v>
      </c>
      <c r="M10" s="10">
        <f t="shared" si="2"/>
        <v>208.33</v>
      </c>
      <c r="N10" s="2">
        <v>3500</v>
      </c>
    </row>
    <row r="11" spans="1:14" x14ac:dyDescent="0.25">
      <c r="A11" s="8" t="s">
        <v>5</v>
      </c>
      <c r="B11" s="10">
        <f t="shared" ref="B11:E12" si="3">291.66</f>
        <v>291.66000000000003</v>
      </c>
      <c r="C11" s="10">
        <f t="shared" si="3"/>
        <v>291.66000000000003</v>
      </c>
      <c r="D11" s="10">
        <f t="shared" si="3"/>
        <v>291.66000000000003</v>
      </c>
      <c r="E11" s="10">
        <f t="shared" si="3"/>
        <v>291.66000000000003</v>
      </c>
      <c r="F11" s="10">
        <f t="shared" ref="F11:M12" si="4">291.67</f>
        <v>291.67</v>
      </c>
      <c r="G11" s="10">
        <f t="shared" si="4"/>
        <v>291.67</v>
      </c>
      <c r="H11" s="10">
        <f t="shared" si="4"/>
        <v>291.67</v>
      </c>
      <c r="I11" s="10">
        <f t="shared" si="4"/>
        <v>291.67</v>
      </c>
      <c r="J11" s="10">
        <f t="shared" si="4"/>
        <v>291.67</v>
      </c>
      <c r="K11" s="10">
        <f t="shared" si="4"/>
        <v>291.67</v>
      </c>
      <c r="L11" s="10">
        <f t="shared" si="4"/>
        <v>291.67</v>
      </c>
      <c r="M11" s="10">
        <f t="shared" si="4"/>
        <v>291.67</v>
      </c>
      <c r="N11" s="2">
        <v>7000</v>
      </c>
    </row>
    <row r="12" spans="1:14" x14ac:dyDescent="0.25">
      <c r="A12" s="8" t="s">
        <v>6</v>
      </c>
      <c r="B12" s="10">
        <f t="shared" si="3"/>
        <v>291.66000000000003</v>
      </c>
      <c r="C12" s="10">
        <f t="shared" si="3"/>
        <v>291.66000000000003</v>
      </c>
      <c r="D12" s="10">
        <f t="shared" si="3"/>
        <v>291.66000000000003</v>
      </c>
      <c r="E12" s="10">
        <f t="shared" si="3"/>
        <v>291.66000000000003</v>
      </c>
      <c r="F12" s="10">
        <f t="shared" si="4"/>
        <v>291.67</v>
      </c>
      <c r="G12" s="10">
        <f t="shared" si="4"/>
        <v>291.67</v>
      </c>
      <c r="H12" s="10">
        <f t="shared" si="4"/>
        <v>291.67</v>
      </c>
      <c r="I12" s="10">
        <f t="shared" si="4"/>
        <v>291.67</v>
      </c>
      <c r="J12" s="10">
        <f t="shared" si="4"/>
        <v>291.67</v>
      </c>
      <c r="K12" s="10">
        <f t="shared" si="4"/>
        <v>291.67</v>
      </c>
      <c r="L12" s="10">
        <f t="shared" si="4"/>
        <v>291.67</v>
      </c>
      <c r="M12" s="10">
        <f t="shared" si="4"/>
        <v>291.67</v>
      </c>
      <c r="N12" s="2">
        <v>800</v>
      </c>
    </row>
    <row r="13" spans="1:14" x14ac:dyDescent="0.25">
      <c r="A13" s="8" t="s">
        <v>53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">
        <v>800</v>
      </c>
    </row>
    <row r="14" spans="1:14" x14ac:dyDescent="0.25">
      <c r="A14" s="8" t="s">
        <v>28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">
        <v>2000</v>
      </c>
    </row>
    <row r="15" spans="1:14" x14ac:dyDescent="0.25">
      <c r="A15" s="8" t="s">
        <v>27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">
        <v>5000</v>
      </c>
    </row>
    <row r="16" spans="1:14" x14ac:dyDescent="0.25">
      <c r="A16" s="8" t="s">
        <v>52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">
        <v>4000</v>
      </c>
    </row>
    <row r="17" spans="1:14" x14ac:dyDescent="0.25">
      <c r="A17" s="8" t="s">
        <v>7</v>
      </c>
      <c r="B17" s="10">
        <f>208.34</f>
        <v>208.34</v>
      </c>
      <c r="C17" s="10">
        <f>208.34</f>
        <v>208.34</v>
      </c>
      <c r="D17" s="10">
        <f>208.34</f>
        <v>208.34</v>
      </c>
      <c r="E17" s="10">
        <f>208.34</f>
        <v>208.34</v>
      </c>
      <c r="F17" s="10">
        <f t="shared" ref="F17:M17" si="5">208.33</f>
        <v>208.33</v>
      </c>
      <c r="G17" s="10">
        <f t="shared" si="5"/>
        <v>208.33</v>
      </c>
      <c r="H17" s="10">
        <f t="shared" si="5"/>
        <v>208.33</v>
      </c>
      <c r="I17" s="10">
        <f t="shared" si="5"/>
        <v>208.33</v>
      </c>
      <c r="J17" s="10">
        <f t="shared" si="5"/>
        <v>208.33</v>
      </c>
      <c r="K17" s="10">
        <f t="shared" si="5"/>
        <v>208.33</v>
      </c>
      <c r="L17" s="10">
        <f t="shared" si="5"/>
        <v>208.33</v>
      </c>
      <c r="M17" s="10">
        <f t="shared" si="5"/>
        <v>208.33</v>
      </c>
      <c r="N17" s="2">
        <v>4500</v>
      </c>
    </row>
    <row r="18" spans="1:14" x14ac:dyDescent="0.25">
      <c r="A18" s="8" t="s">
        <v>8</v>
      </c>
      <c r="B18" s="10">
        <f>41.66</f>
        <v>41.66</v>
      </c>
      <c r="C18" s="10">
        <f>41.66</f>
        <v>41.66</v>
      </c>
      <c r="D18" s="10">
        <f>41.66</f>
        <v>41.66</v>
      </c>
      <c r="E18" s="10">
        <f>41.66</f>
        <v>41.66</v>
      </c>
      <c r="F18" s="10">
        <f t="shared" ref="F18:M18" si="6">41.67</f>
        <v>41.67</v>
      </c>
      <c r="G18" s="10">
        <f t="shared" si="6"/>
        <v>41.67</v>
      </c>
      <c r="H18" s="10">
        <f t="shared" si="6"/>
        <v>41.67</v>
      </c>
      <c r="I18" s="10">
        <f t="shared" si="6"/>
        <v>41.67</v>
      </c>
      <c r="J18" s="10">
        <f t="shared" si="6"/>
        <v>41.67</v>
      </c>
      <c r="K18" s="10">
        <f t="shared" si="6"/>
        <v>41.67</v>
      </c>
      <c r="L18" s="10">
        <f t="shared" si="6"/>
        <v>41.67</v>
      </c>
      <c r="M18" s="10">
        <f t="shared" si="6"/>
        <v>41.67</v>
      </c>
      <c r="N18" s="2">
        <v>500</v>
      </c>
    </row>
    <row r="19" spans="1:14" x14ac:dyDescent="0.25">
      <c r="A19" s="8" t="s">
        <v>9</v>
      </c>
      <c r="B19" s="10">
        <f>2250</f>
        <v>2250</v>
      </c>
      <c r="C19" s="10">
        <f>2250</f>
        <v>2250</v>
      </c>
      <c r="D19" s="10">
        <f>2250</f>
        <v>2250</v>
      </c>
      <c r="E19" s="10">
        <f>2250</f>
        <v>2250</v>
      </c>
      <c r="F19" s="10">
        <f>2250</f>
        <v>2250</v>
      </c>
      <c r="G19" s="10">
        <f>2250</f>
        <v>2250</v>
      </c>
      <c r="H19" s="10">
        <f>2250</f>
        <v>2250</v>
      </c>
      <c r="I19" s="10">
        <f>2250</f>
        <v>2250</v>
      </c>
      <c r="J19" s="10">
        <f>2250</f>
        <v>2250</v>
      </c>
      <c r="K19" s="10">
        <f>2250</f>
        <v>2250</v>
      </c>
      <c r="L19" s="10">
        <f>2250</f>
        <v>2250</v>
      </c>
      <c r="M19" s="10">
        <f>2250</f>
        <v>2250</v>
      </c>
      <c r="N19" s="2">
        <v>30000</v>
      </c>
    </row>
    <row r="20" spans="1:14" x14ac:dyDescent="0.25">
      <c r="A20" s="8" t="s">
        <v>10</v>
      </c>
      <c r="B20" s="10">
        <f>700</f>
        <v>700</v>
      </c>
      <c r="C20" s="10">
        <f>700</f>
        <v>700</v>
      </c>
      <c r="D20" s="10">
        <f>700</f>
        <v>700</v>
      </c>
      <c r="E20" s="10">
        <f>700</f>
        <v>700</v>
      </c>
      <c r="F20" s="10">
        <f>700</f>
        <v>700</v>
      </c>
      <c r="G20" s="10">
        <f>700</f>
        <v>700</v>
      </c>
      <c r="H20" s="10">
        <f>700</f>
        <v>700</v>
      </c>
      <c r="I20" s="10">
        <f>700</f>
        <v>700</v>
      </c>
      <c r="J20" s="10">
        <f>700</f>
        <v>700</v>
      </c>
      <c r="K20" s="10">
        <f>700</f>
        <v>700</v>
      </c>
      <c r="L20" s="10">
        <f>700</f>
        <v>700</v>
      </c>
      <c r="M20" s="10">
        <f>700</f>
        <v>700</v>
      </c>
      <c r="N20" s="2">
        <v>12000</v>
      </c>
    </row>
    <row r="21" spans="1:14" x14ac:dyDescent="0.25">
      <c r="A21" s="8" t="s">
        <v>11</v>
      </c>
      <c r="B21" s="10">
        <f>41.66</f>
        <v>41.66</v>
      </c>
      <c r="C21" s="10">
        <f>41.66</f>
        <v>41.66</v>
      </c>
      <c r="D21" s="10">
        <f>41.66</f>
        <v>41.66</v>
      </c>
      <c r="E21" s="10">
        <f>41.66</f>
        <v>41.66</v>
      </c>
      <c r="F21" s="10">
        <f t="shared" ref="F21:M21" si="7">41.67</f>
        <v>41.67</v>
      </c>
      <c r="G21" s="10">
        <f t="shared" si="7"/>
        <v>41.67</v>
      </c>
      <c r="H21" s="10">
        <f t="shared" si="7"/>
        <v>41.67</v>
      </c>
      <c r="I21" s="10">
        <f t="shared" si="7"/>
        <v>41.67</v>
      </c>
      <c r="J21" s="10">
        <f t="shared" si="7"/>
        <v>41.67</v>
      </c>
      <c r="K21" s="10">
        <f t="shared" si="7"/>
        <v>41.67</v>
      </c>
      <c r="L21" s="10">
        <f t="shared" si="7"/>
        <v>41.67</v>
      </c>
      <c r="M21" s="10">
        <f t="shared" si="7"/>
        <v>41.67</v>
      </c>
      <c r="N21">
        <v>200</v>
      </c>
    </row>
    <row r="22" spans="1:14" x14ac:dyDescent="0.25">
      <c r="A22" s="8" t="s">
        <v>12</v>
      </c>
      <c r="B22" s="10">
        <f>4583.34</f>
        <v>4583.34</v>
      </c>
      <c r="C22" s="10">
        <f>4583.34</f>
        <v>4583.34</v>
      </c>
      <c r="D22" s="10">
        <f>4583.34</f>
        <v>4583.34</v>
      </c>
      <c r="E22" s="10">
        <f>4583.34</f>
        <v>4583.34</v>
      </c>
      <c r="F22" s="10">
        <f t="shared" ref="F22:M22" si="8">4583.33</f>
        <v>4583.33</v>
      </c>
      <c r="G22" s="10">
        <f t="shared" si="8"/>
        <v>4583.33</v>
      </c>
      <c r="H22" s="10">
        <f t="shared" si="8"/>
        <v>4583.33</v>
      </c>
      <c r="I22" s="10">
        <f t="shared" si="8"/>
        <v>4583.33</v>
      </c>
      <c r="J22" s="10">
        <f t="shared" si="8"/>
        <v>4583.33</v>
      </c>
      <c r="K22" s="10">
        <f t="shared" si="8"/>
        <v>4583.33</v>
      </c>
      <c r="L22" s="10">
        <f t="shared" si="8"/>
        <v>4583.33</v>
      </c>
      <c r="M22" s="10">
        <f t="shared" si="8"/>
        <v>4583.33</v>
      </c>
      <c r="N22" s="2">
        <v>85000</v>
      </c>
    </row>
    <row r="23" spans="1:14" x14ac:dyDescent="0.25">
      <c r="A23" s="8" t="s">
        <v>92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</row>
    <row r="24" spans="1:14" x14ac:dyDescent="0.25">
      <c r="A24" s="8" t="s">
        <v>105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">
        <v>1000</v>
      </c>
    </row>
    <row r="25" spans="1:14" x14ac:dyDescent="0.25">
      <c r="A25" s="8" t="s">
        <v>104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">
        <v>50</v>
      </c>
    </row>
    <row r="26" spans="1:14" x14ac:dyDescent="0.25">
      <c r="A26" s="8" t="s">
        <v>103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">
        <v>3000</v>
      </c>
    </row>
    <row r="27" spans="1:14" x14ac:dyDescent="0.25">
      <c r="A27" s="8" t="s">
        <v>102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">
        <v>100</v>
      </c>
    </row>
    <row r="28" spans="1:14" x14ac:dyDescent="0.25">
      <c r="A28" s="8" t="s">
        <v>101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">
        <v>0</v>
      </c>
    </row>
    <row r="29" spans="1:14" x14ac:dyDescent="0.25">
      <c r="A29" s="8" t="s">
        <v>100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">
        <v>350</v>
      </c>
    </row>
    <row r="30" spans="1:14" x14ac:dyDescent="0.25">
      <c r="A30" s="8" t="s">
        <v>99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">
        <v>150</v>
      </c>
    </row>
    <row r="31" spans="1:14" x14ac:dyDescent="0.25">
      <c r="A31" s="8" t="s">
        <v>98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">
        <v>100</v>
      </c>
    </row>
    <row r="32" spans="1:14" x14ac:dyDescent="0.25">
      <c r="A32" s="8" t="s">
        <v>97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">
        <v>125</v>
      </c>
    </row>
    <row r="33" spans="1:15" x14ac:dyDescent="0.25">
      <c r="A33" s="8" t="s">
        <v>96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">
        <v>125</v>
      </c>
    </row>
    <row r="34" spans="1:15" x14ac:dyDescent="0.25">
      <c r="A34" s="8" t="s">
        <v>95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">
        <v>0</v>
      </c>
    </row>
    <row r="35" spans="1:15" x14ac:dyDescent="0.25">
      <c r="A35" s="8" t="s">
        <v>94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">
        <v>50</v>
      </c>
    </row>
    <row r="36" spans="1:15" x14ac:dyDescent="0.25">
      <c r="A36" s="8" t="s">
        <v>93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">
        <v>25</v>
      </c>
    </row>
    <row r="37" spans="1:15" ht="15.75" thickBot="1" x14ac:dyDescent="0.3">
      <c r="A37" s="25" t="s">
        <v>54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5">
        <f>+SUM(N6:N36)</f>
        <v>720366</v>
      </c>
    </row>
    <row r="38" spans="1:15" ht="15.75" thickTop="1" x14ac:dyDescent="0.25">
      <c r="A38" s="8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"/>
    </row>
    <row r="39" spans="1:15" x14ac:dyDescent="0.25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"/>
    </row>
    <row r="40" spans="1:15" x14ac:dyDescent="0.25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5" x14ac:dyDescent="0.25">
      <c r="A41" s="25" t="s">
        <v>143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5" x14ac:dyDescent="0.25">
      <c r="A42" s="8" t="s">
        <v>108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5" x14ac:dyDescent="0.25">
      <c r="A43" s="8" t="s">
        <v>133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>
        <v>200</v>
      </c>
    </row>
    <row r="44" spans="1:15" x14ac:dyDescent="0.25">
      <c r="A44" s="8" t="s">
        <v>137</v>
      </c>
      <c r="B44" s="10">
        <f>291.66</f>
        <v>291.66000000000003</v>
      </c>
      <c r="C44" s="10">
        <f>291.66</f>
        <v>291.66000000000003</v>
      </c>
      <c r="D44" s="10">
        <f>291.66</f>
        <v>291.66000000000003</v>
      </c>
      <c r="E44" s="10">
        <f>291.66</f>
        <v>291.66000000000003</v>
      </c>
      <c r="F44" s="10">
        <f t="shared" ref="F44:M44" si="9">291.67</f>
        <v>291.67</v>
      </c>
      <c r="G44" s="10">
        <f t="shared" si="9"/>
        <v>291.67</v>
      </c>
      <c r="H44" s="10">
        <f t="shared" si="9"/>
        <v>291.67</v>
      </c>
      <c r="I44" s="10">
        <f t="shared" si="9"/>
        <v>291.67</v>
      </c>
      <c r="J44" s="10">
        <f t="shared" si="9"/>
        <v>291.67</v>
      </c>
      <c r="K44" s="10">
        <f t="shared" si="9"/>
        <v>291.67</v>
      </c>
      <c r="L44" s="10">
        <f t="shared" si="9"/>
        <v>291.67</v>
      </c>
      <c r="M44" s="10">
        <f t="shared" si="9"/>
        <v>291.67</v>
      </c>
      <c r="N44" s="2">
        <v>5500</v>
      </c>
    </row>
    <row r="45" spans="1:15" x14ac:dyDescent="0.25">
      <c r="A45" s="11" t="s">
        <v>32</v>
      </c>
      <c r="B45" s="10">
        <f>1333.34</f>
        <v>1333.34</v>
      </c>
      <c r="C45" s="10">
        <f>1333.34</f>
        <v>1333.34</v>
      </c>
      <c r="D45" s="10">
        <f>1333.34</f>
        <v>1333.34</v>
      </c>
      <c r="E45" s="10">
        <f>1333.34</f>
        <v>1333.34</v>
      </c>
      <c r="F45" s="10">
        <f t="shared" ref="F45:M45" si="10">1333.33</f>
        <v>1333.33</v>
      </c>
      <c r="G45" s="10">
        <f t="shared" si="10"/>
        <v>1333.33</v>
      </c>
      <c r="H45" s="10">
        <f t="shared" si="10"/>
        <v>1333.33</v>
      </c>
      <c r="I45" s="10">
        <f t="shared" si="10"/>
        <v>1333.33</v>
      </c>
      <c r="J45" s="10">
        <f t="shared" si="10"/>
        <v>1333.33</v>
      </c>
      <c r="K45" s="10">
        <f t="shared" si="10"/>
        <v>1333.33</v>
      </c>
      <c r="L45" s="10">
        <f t="shared" si="10"/>
        <v>1333.33</v>
      </c>
      <c r="M45" s="10">
        <f t="shared" si="10"/>
        <v>1333.33</v>
      </c>
      <c r="N45" s="2">
        <v>0</v>
      </c>
      <c r="O45" t="s">
        <v>91</v>
      </c>
    </row>
    <row r="46" spans="1:15" x14ac:dyDescent="0.25">
      <c r="A46" s="8" t="s">
        <v>13</v>
      </c>
      <c r="B46" s="10">
        <f>2041.66</f>
        <v>2041.66</v>
      </c>
      <c r="C46" s="10">
        <f>2041.66</f>
        <v>2041.66</v>
      </c>
      <c r="D46" s="10">
        <f>2041.66</f>
        <v>2041.66</v>
      </c>
      <c r="E46" s="10">
        <f>2041.66</f>
        <v>2041.66</v>
      </c>
      <c r="F46" s="10">
        <f t="shared" ref="F46:M46" si="11">2041.67</f>
        <v>2041.67</v>
      </c>
      <c r="G46" s="10">
        <f t="shared" si="11"/>
        <v>2041.67</v>
      </c>
      <c r="H46" s="10">
        <f t="shared" si="11"/>
        <v>2041.67</v>
      </c>
      <c r="I46" s="10">
        <f t="shared" si="11"/>
        <v>2041.67</v>
      </c>
      <c r="J46" s="10">
        <f t="shared" si="11"/>
        <v>2041.67</v>
      </c>
      <c r="K46" s="10">
        <f t="shared" si="11"/>
        <v>2041.67</v>
      </c>
      <c r="L46" s="10">
        <f t="shared" si="11"/>
        <v>2041.67</v>
      </c>
      <c r="M46" s="10">
        <f t="shared" si="11"/>
        <v>2041.67</v>
      </c>
      <c r="N46" s="2">
        <v>31849</v>
      </c>
    </row>
    <row r="47" spans="1:15" x14ac:dyDescent="0.25">
      <c r="A47" s="11" t="s">
        <v>33</v>
      </c>
      <c r="B47" s="10">
        <f>291.66</f>
        <v>291.66000000000003</v>
      </c>
      <c r="C47" s="10">
        <f>291.66</f>
        <v>291.66000000000003</v>
      </c>
      <c r="D47" s="10">
        <f>291.66</f>
        <v>291.66000000000003</v>
      </c>
      <c r="E47" s="10">
        <f>291.66</f>
        <v>291.66000000000003</v>
      </c>
      <c r="F47" s="10">
        <f t="shared" ref="F47:M47" si="12">291.67</f>
        <v>291.67</v>
      </c>
      <c r="G47" s="10">
        <f t="shared" si="12"/>
        <v>291.67</v>
      </c>
      <c r="H47" s="10">
        <f t="shared" si="12"/>
        <v>291.67</v>
      </c>
      <c r="I47" s="10">
        <f t="shared" si="12"/>
        <v>291.67</v>
      </c>
      <c r="J47" s="10">
        <f t="shared" si="12"/>
        <v>291.67</v>
      </c>
      <c r="K47" s="10">
        <f t="shared" si="12"/>
        <v>291.67</v>
      </c>
      <c r="L47" s="10">
        <f t="shared" si="12"/>
        <v>291.67</v>
      </c>
      <c r="M47" s="10">
        <f t="shared" si="12"/>
        <v>291.67</v>
      </c>
      <c r="N47" s="2">
        <v>4500</v>
      </c>
    </row>
    <row r="48" spans="1:15" x14ac:dyDescent="0.25">
      <c r="A48" s="8" t="s">
        <v>55</v>
      </c>
      <c r="B48" s="10">
        <f>833.34</f>
        <v>833.34</v>
      </c>
      <c r="C48" s="10">
        <f>833.34</f>
        <v>833.34</v>
      </c>
      <c r="D48" s="10">
        <f>833.34</f>
        <v>833.34</v>
      </c>
      <c r="E48" s="10">
        <f>833.34</f>
        <v>833.34</v>
      </c>
      <c r="F48" s="10">
        <f t="shared" ref="F48:M48" si="13">833.33</f>
        <v>833.33</v>
      </c>
      <c r="G48" s="10">
        <f t="shared" si="13"/>
        <v>833.33</v>
      </c>
      <c r="H48" s="10">
        <f t="shared" si="13"/>
        <v>833.33</v>
      </c>
      <c r="I48" s="10">
        <f t="shared" si="13"/>
        <v>833.33</v>
      </c>
      <c r="J48" s="10">
        <f t="shared" si="13"/>
        <v>833.33</v>
      </c>
      <c r="K48" s="10">
        <f t="shared" si="13"/>
        <v>833.33</v>
      </c>
      <c r="L48" s="10">
        <f t="shared" si="13"/>
        <v>833.33</v>
      </c>
      <c r="M48" s="10">
        <f t="shared" si="13"/>
        <v>833.33</v>
      </c>
      <c r="N48" s="2">
        <v>1200</v>
      </c>
    </row>
    <row r="49" spans="1:15" x14ac:dyDescent="0.25">
      <c r="A49" s="8" t="s">
        <v>134</v>
      </c>
      <c r="B49" s="10">
        <f>1666.66</f>
        <v>1666.66</v>
      </c>
      <c r="C49" s="10">
        <f>1666.66</f>
        <v>1666.66</v>
      </c>
      <c r="D49" s="10">
        <f>1666.66</f>
        <v>1666.66</v>
      </c>
      <c r="E49" s="10">
        <f>1666.66</f>
        <v>1666.66</v>
      </c>
      <c r="F49" s="10">
        <f t="shared" ref="F49:M49" si="14">1666.67</f>
        <v>1666.67</v>
      </c>
      <c r="G49" s="10">
        <f t="shared" si="14"/>
        <v>1666.67</v>
      </c>
      <c r="H49" s="10">
        <f t="shared" si="14"/>
        <v>1666.67</v>
      </c>
      <c r="I49" s="10">
        <f t="shared" si="14"/>
        <v>1666.67</v>
      </c>
      <c r="J49" s="10">
        <f t="shared" si="14"/>
        <v>1666.67</v>
      </c>
      <c r="K49" s="10">
        <f t="shared" si="14"/>
        <v>1666.67</v>
      </c>
      <c r="L49" s="10">
        <f t="shared" si="14"/>
        <v>1666.67</v>
      </c>
      <c r="M49" s="10">
        <f t="shared" si="14"/>
        <v>1666.67</v>
      </c>
      <c r="N49" s="2">
        <v>26000</v>
      </c>
    </row>
    <row r="50" spans="1:15" x14ac:dyDescent="0.25">
      <c r="A50" s="8" t="s">
        <v>135</v>
      </c>
      <c r="B50" s="10">
        <f>166.66</f>
        <v>166.66</v>
      </c>
      <c r="C50" s="10">
        <f>166.66</f>
        <v>166.66</v>
      </c>
      <c r="D50" s="10">
        <f>166.66</f>
        <v>166.66</v>
      </c>
      <c r="E50" s="10">
        <f>166.66</f>
        <v>166.66</v>
      </c>
      <c r="F50" s="10">
        <f t="shared" ref="F50:M50" si="15">166.67</f>
        <v>166.67</v>
      </c>
      <c r="G50" s="10">
        <f t="shared" si="15"/>
        <v>166.67</v>
      </c>
      <c r="H50" s="10">
        <f t="shared" si="15"/>
        <v>166.67</v>
      </c>
      <c r="I50" s="10">
        <f t="shared" si="15"/>
        <v>166.67</v>
      </c>
      <c r="J50" s="10">
        <f t="shared" si="15"/>
        <v>166.67</v>
      </c>
      <c r="K50" s="10">
        <f t="shared" si="15"/>
        <v>166.67</v>
      </c>
      <c r="L50" s="10">
        <f t="shared" si="15"/>
        <v>166.67</v>
      </c>
      <c r="M50" s="10">
        <f t="shared" si="15"/>
        <v>166.67</v>
      </c>
      <c r="N50" s="2">
        <v>2000</v>
      </c>
    </row>
    <row r="51" spans="1:15" x14ac:dyDescent="0.25">
      <c r="A51" s="8" t="s">
        <v>136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">
        <v>0</v>
      </c>
    </row>
    <row r="52" spans="1:15" x14ac:dyDescent="0.25">
      <c r="A52" s="8" t="s">
        <v>47</v>
      </c>
      <c r="B52" s="3">
        <f t="shared" ref="B52:M52" si="16">(((((((B42)+(B44))+(B45))+(B46))+(B47))+(B48))+(B49))+(B50)</f>
        <v>6624.98</v>
      </c>
      <c r="C52" s="3">
        <f t="shared" si="16"/>
        <v>6624.98</v>
      </c>
      <c r="D52" s="3">
        <f t="shared" si="16"/>
        <v>6624.98</v>
      </c>
      <c r="E52" s="3">
        <f t="shared" si="16"/>
        <v>6624.98</v>
      </c>
      <c r="F52" s="3">
        <f t="shared" si="16"/>
        <v>6625.01</v>
      </c>
      <c r="G52" s="3">
        <f t="shared" si="16"/>
        <v>6625.01</v>
      </c>
      <c r="H52" s="3">
        <f t="shared" si="16"/>
        <v>6625.01</v>
      </c>
      <c r="I52" s="3">
        <f t="shared" si="16"/>
        <v>6625.01</v>
      </c>
      <c r="J52" s="3">
        <f t="shared" si="16"/>
        <v>6625.01</v>
      </c>
      <c r="K52" s="3">
        <f t="shared" si="16"/>
        <v>6625.01</v>
      </c>
      <c r="L52" s="3">
        <f t="shared" si="16"/>
        <v>6625.01</v>
      </c>
      <c r="M52" s="3">
        <f t="shared" si="16"/>
        <v>6625.01</v>
      </c>
      <c r="N52" s="7">
        <f>+SUM(N43:N51)</f>
        <v>71249</v>
      </c>
    </row>
    <row r="53" spans="1:15" x14ac:dyDescent="0.25">
      <c r="A53" s="1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5" x14ac:dyDescent="0.25">
      <c r="A54" s="8" t="s">
        <v>109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5" x14ac:dyDescent="0.25">
      <c r="A55" s="8" t="s">
        <v>56</v>
      </c>
      <c r="B55" s="10">
        <f>1000</f>
        <v>1000</v>
      </c>
      <c r="C55" s="10">
        <f>1000</f>
        <v>1000</v>
      </c>
      <c r="D55" s="10">
        <f>1000</f>
        <v>1000</v>
      </c>
      <c r="E55" s="10">
        <f>1000</f>
        <v>1000</v>
      </c>
      <c r="F55" s="10">
        <f>1000</f>
        <v>1000</v>
      </c>
      <c r="G55" s="10">
        <f>1000</f>
        <v>1000</v>
      </c>
      <c r="H55" s="10">
        <f>1000</f>
        <v>1000</v>
      </c>
      <c r="I55" s="10">
        <f>1000</f>
        <v>1000</v>
      </c>
      <c r="J55" s="10">
        <f>1000</f>
        <v>1000</v>
      </c>
      <c r="K55" s="10">
        <f>1000</f>
        <v>1000</v>
      </c>
      <c r="L55" s="10">
        <f>1000</f>
        <v>1000</v>
      </c>
      <c r="M55" s="10">
        <f>1000</f>
        <v>1000</v>
      </c>
      <c r="N55" s="2">
        <v>14400</v>
      </c>
    </row>
    <row r="56" spans="1:15" x14ac:dyDescent="0.25">
      <c r="A56" s="8" t="s">
        <v>89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2">
        <v>4500</v>
      </c>
      <c r="O56" t="s">
        <v>88</v>
      </c>
    </row>
    <row r="57" spans="1:15" x14ac:dyDescent="0.25">
      <c r="A57" s="8" t="s">
        <v>14</v>
      </c>
      <c r="B57" s="10">
        <f>166.66</f>
        <v>166.66</v>
      </c>
      <c r="C57" s="10">
        <f>166.66</f>
        <v>166.66</v>
      </c>
      <c r="D57" s="10">
        <f>166.66</f>
        <v>166.66</v>
      </c>
      <c r="E57" s="10">
        <f>166.66</f>
        <v>166.66</v>
      </c>
      <c r="F57" s="10">
        <f t="shared" ref="F57:M57" si="17">166.67</f>
        <v>166.67</v>
      </c>
      <c r="G57" s="10">
        <f t="shared" si="17"/>
        <v>166.67</v>
      </c>
      <c r="H57" s="10">
        <f t="shared" si="17"/>
        <v>166.67</v>
      </c>
      <c r="I57" s="10">
        <f t="shared" si="17"/>
        <v>166.67</v>
      </c>
      <c r="J57" s="10">
        <f t="shared" si="17"/>
        <v>166.67</v>
      </c>
      <c r="K57" s="10">
        <f t="shared" si="17"/>
        <v>166.67</v>
      </c>
      <c r="L57" s="10">
        <f t="shared" si="17"/>
        <v>166.67</v>
      </c>
      <c r="M57" s="10">
        <f t="shared" si="17"/>
        <v>166.67</v>
      </c>
      <c r="N57" s="2">
        <v>1500</v>
      </c>
    </row>
    <row r="58" spans="1:15" x14ac:dyDescent="0.25">
      <c r="A58" s="8" t="s">
        <v>15</v>
      </c>
      <c r="B58" s="10">
        <f>125</f>
        <v>125</v>
      </c>
      <c r="C58" s="10">
        <f>125</f>
        <v>125</v>
      </c>
      <c r="D58" s="10">
        <f>125</f>
        <v>125</v>
      </c>
      <c r="E58" s="10">
        <f>125</f>
        <v>125</v>
      </c>
      <c r="F58" s="10">
        <f>125</f>
        <v>125</v>
      </c>
      <c r="G58" s="10">
        <f>125</f>
        <v>125</v>
      </c>
      <c r="H58" s="10">
        <f>125</f>
        <v>125</v>
      </c>
      <c r="I58" s="10">
        <f>125</f>
        <v>125</v>
      </c>
      <c r="J58" s="10">
        <f>125</f>
        <v>125</v>
      </c>
      <c r="K58" s="10">
        <f>125</f>
        <v>125</v>
      </c>
      <c r="L58" s="10">
        <f>125</f>
        <v>125</v>
      </c>
      <c r="M58" s="10">
        <f>125</f>
        <v>125</v>
      </c>
      <c r="N58" s="2">
        <v>3500</v>
      </c>
    </row>
    <row r="59" spans="1:15" x14ac:dyDescent="0.25">
      <c r="A59" s="8" t="s">
        <v>16</v>
      </c>
      <c r="B59" s="10">
        <f>83.34</f>
        <v>83.34</v>
      </c>
      <c r="C59" s="10">
        <f>83.34</f>
        <v>83.34</v>
      </c>
      <c r="D59" s="10">
        <f>83.34</f>
        <v>83.34</v>
      </c>
      <c r="E59" s="10">
        <f>83.34</f>
        <v>83.34</v>
      </c>
      <c r="F59" s="10">
        <f t="shared" ref="F59:M59" si="18">83.33</f>
        <v>83.33</v>
      </c>
      <c r="G59" s="10">
        <f t="shared" si="18"/>
        <v>83.33</v>
      </c>
      <c r="H59" s="10">
        <f t="shared" si="18"/>
        <v>83.33</v>
      </c>
      <c r="I59" s="10">
        <f t="shared" si="18"/>
        <v>83.33</v>
      </c>
      <c r="J59" s="10">
        <f t="shared" si="18"/>
        <v>83.33</v>
      </c>
      <c r="K59" s="10">
        <f t="shared" si="18"/>
        <v>83.33</v>
      </c>
      <c r="L59" s="10">
        <f t="shared" si="18"/>
        <v>83.33</v>
      </c>
      <c r="M59" s="10">
        <f t="shared" si="18"/>
        <v>83.33</v>
      </c>
      <c r="N59" s="2">
        <v>2000</v>
      </c>
    </row>
    <row r="60" spans="1:15" x14ac:dyDescent="0.25">
      <c r="A60" s="8" t="s">
        <v>17</v>
      </c>
      <c r="B60" s="10">
        <f>666.66</f>
        <v>666.66</v>
      </c>
      <c r="C60" s="10">
        <f>666.66</f>
        <v>666.66</v>
      </c>
      <c r="D60" s="10">
        <f>666.66</f>
        <v>666.66</v>
      </c>
      <c r="E60" s="10">
        <f>666.66</f>
        <v>666.66</v>
      </c>
      <c r="F60" s="10">
        <f t="shared" ref="F60:M60" si="19">666.67</f>
        <v>666.67</v>
      </c>
      <c r="G60" s="10">
        <f t="shared" si="19"/>
        <v>666.67</v>
      </c>
      <c r="H60" s="10">
        <f t="shared" si="19"/>
        <v>666.67</v>
      </c>
      <c r="I60" s="10">
        <f t="shared" si="19"/>
        <v>666.67</v>
      </c>
      <c r="J60" s="10">
        <f t="shared" si="19"/>
        <v>666.67</v>
      </c>
      <c r="K60" s="10">
        <f t="shared" si="19"/>
        <v>666.67</v>
      </c>
      <c r="L60" s="10">
        <f t="shared" si="19"/>
        <v>666.67</v>
      </c>
      <c r="M60" s="10">
        <f t="shared" si="19"/>
        <v>666.67</v>
      </c>
      <c r="N60" s="2">
        <v>2500</v>
      </c>
    </row>
    <row r="61" spans="1:15" x14ac:dyDescent="0.25">
      <c r="A61" s="8" t="s">
        <v>18</v>
      </c>
      <c r="B61" s="10">
        <f>208.34</f>
        <v>208.34</v>
      </c>
      <c r="C61" s="10">
        <f>208.34</f>
        <v>208.34</v>
      </c>
      <c r="D61" s="10">
        <f>208.34</f>
        <v>208.34</v>
      </c>
      <c r="E61" s="10">
        <f>208.34</f>
        <v>208.34</v>
      </c>
      <c r="F61" s="10">
        <f t="shared" ref="F61:M61" si="20">208.33</f>
        <v>208.33</v>
      </c>
      <c r="G61" s="10">
        <f t="shared" si="20"/>
        <v>208.33</v>
      </c>
      <c r="H61" s="10">
        <f t="shared" si="20"/>
        <v>208.33</v>
      </c>
      <c r="I61" s="10">
        <f t="shared" si="20"/>
        <v>208.33</v>
      </c>
      <c r="J61" s="10">
        <f t="shared" si="20"/>
        <v>208.33</v>
      </c>
      <c r="K61" s="10">
        <f t="shared" si="20"/>
        <v>208.33</v>
      </c>
      <c r="L61" s="10">
        <f t="shared" si="20"/>
        <v>208.33</v>
      </c>
      <c r="M61" s="10">
        <f t="shared" si="20"/>
        <v>208.33</v>
      </c>
      <c r="N61" s="2">
        <v>2500</v>
      </c>
    </row>
    <row r="62" spans="1:15" x14ac:dyDescent="0.25">
      <c r="A62" s="8" t="s">
        <v>90</v>
      </c>
      <c r="B62" s="3">
        <f t="shared" ref="B62:M62" si="21">((((((B54)+(B55))+(B57))+(B58))+(B59))+(B60))+(B61)</f>
        <v>2250</v>
      </c>
      <c r="C62" s="3">
        <f t="shared" si="21"/>
        <v>2250</v>
      </c>
      <c r="D62" s="3">
        <f t="shared" si="21"/>
        <v>2250</v>
      </c>
      <c r="E62" s="3">
        <f t="shared" si="21"/>
        <v>2250</v>
      </c>
      <c r="F62" s="3">
        <f t="shared" si="21"/>
        <v>2250</v>
      </c>
      <c r="G62" s="3">
        <f t="shared" si="21"/>
        <v>2250</v>
      </c>
      <c r="H62" s="3">
        <f t="shared" si="21"/>
        <v>2250</v>
      </c>
      <c r="I62" s="3">
        <f t="shared" si="21"/>
        <v>2250</v>
      </c>
      <c r="J62" s="3">
        <f t="shared" si="21"/>
        <v>2250</v>
      </c>
      <c r="K62" s="3">
        <f t="shared" si="21"/>
        <v>2250</v>
      </c>
      <c r="L62" s="3">
        <f t="shared" si="21"/>
        <v>2250</v>
      </c>
      <c r="M62" s="3">
        <f t="shared" si="21"/>
        <v>2250</v>
      </c>
      <c r="N62" s="7">
        <f>SUM(N55:N61)</f>
        <v>30900</v>
      </c>
    </row>
    <row r="63" spans="1:15" x14ac:dyDescent="0.25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1:15" x14ac:dyDescent="0.25">
      <c r="A64" s="8" t="s">
        <v>140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4" x14ac:dyDescent="0.25">
      <c r="A65" s="8" t="s">
        <v>110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>
        <v>0</v>
      </c>
    </row>
    <row r="66" spans="1:14" x14ac:dyDescent="0.25">
      <c r="A66" s="8" t="s">
        <v>42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">
        <v>500</v>
      </c>
    </row>
    <row r="67" spans="1:14" x14ac:dyDescent="0.25">
      <c r="A67" s="8" t="s">
        <v>43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2">
        <v>3000</v>
      </c>
    </row>
    <row r="68" spans="1:14" x14ac:dyDescent="0.25">
      <c r="A68" s="8" t="s">
        <v>44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2">
        <v>3000</v>
      </c>
    </row>
    <row r="69" spans="1:14" x14ac:dyDescent="0.25">
      <c r="A69" s="8" t="s">
        <v>45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">
        <v>1500</v>
      </c>
    </row>
    <row r="70" spans="1:14" x14ac:dyDescent="0.25">
      <c r="A70" s="8" t="s">
        <v>46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">
        <v>520</v>
      </c>
    </row>
    <row r="71" spans="1:14" x14ac:dyDescent="0.25">
      <c r="A71" s="8" t="s">
        <v>73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">
        <v>10000</v>
      </c>
    </row>
    <row r="72" spans="1:14" x14ac:dyDescent="0.25">
      <c r="A72" s="8" t="s">
        <v>139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7">
        <f>SUM(N65:N71)</f>
        <v>18520</v>
      </c>
    </row>
    <row r="73" spans="1:14" x14ac:dyDescent="0.25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4"/>
    </row>
    <row r="74" spans="1:14" x14ac:dyDescent="0.25">
      <c r="A74" s="8" t="s">
        <v>111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4" x14ac:dyDescent="0.25">
      <c r="A75" s="8" t="s">
        <v>39</v>
      </c>
      <c r="B75" s="10">
        <f>208.34</f>
        <v>208.34</v>
      </c>
      <c r="C75" s="10">
        <f>208.34</f>
        <v>208.34</v>
      </c>
      <c r="D75" s="10">
        <f>208.34</f>
        <v>208.34</v>
      </c>
      <c r="E75" s="10">
        <f>208.34</f>
        <v>208.34</v>
      </c>
      <c r="F75" s="10">
        <f t="shared" ref="F75:M75" si="22">208.33</f>
        <v>208.33</v>
      </c>
      <c r="G75" s="10">
        <f t="shared" si="22"/>
        <v>208.33</v>
      </c>
      <c r="H75" s="10">
        <f t="shared" si="22"/>
        <v>208.33</v>
      </c>
      <c r="I75" s="10">
        <f t="shared" si="22"/>
        <v>208.33</v>
      </c>
      <c r="J75" s="10">
        <f t="shared" si="22"/>
        <v>208.33</v>
      </c>
      <c r="K75" s="10">
        <f t="shared" si="22"/>
        <v>208.33</v>
      </c>
      <c r="L75" s="10">
        <f t="shared" si="22"/>
        <v>208.33</v>
      </c>
      <c r="M75" s="10">
        <f t="shared" si="22"/>
        <v>208.33</v>
      </c>
      <c r="N75" s="2">
        <v>2500</v>
      </c>
    </row>
    <row r="76" spans="1:14" x14ac:dyDescent="0.25">
      <c r="A76" s="8" t="s">
        <v>48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2">
        <v>120</v>
      </c>
    </row>
    <row r="77" spans="1:14" x14ac:dyDescent="0.25">
      <c r="A77" s="8" t="s">
        <v>40</v>
      </c>
      <c r="B77" s="10">
        <f>3590.84</f>
        <v>3590.84</v>
      </c>
      <c r="C77" s="10">
        <f>3590.84</f>
        <v>3590.84</v>
      </c>
      <c r="D77" s="10">
        <f>3590.84</f>
        <v>3590.84</v>
      </c>
      <c r="E77" s="10">
        <f>3590.84</f>
        <v>3590.84</v>
      </c>
      <c r="F77" s="10">
        <f t="shared" ref="F77:M77" si="23">3590.83</f>
        <v>3590.83</v>
      </c>
      <c r="G77" s="10">
        <f t="shared" si="23"/>
        <v>3590.83</v>
      </c>
      <c r="H77" s="10">
        <f t="shared" si="23"/>
        <v>3590.83</v>
      </c>
      <c r="I77" s="10">
        <f t="shared" si="23"/>
        <v>3590.83</v>
      </c>
      <c r="J77" s="10">
        <f t="shared" si="23"/>
        <v>3590.83</v>
      </c>
      <c r="K77" s="10">
        <f t="shared" si="23"/>
        <v>3590.83</v>
      </c>
      <c r="L77" s="10">
        <f t="shared" si="23"/>
        <v>3590.83</v>
      </c>
      <c r="M77" s="10">
        <f t="shared" si="23"/>
        <v>3590.83</v>
      </c>
      <c r="N77" s="2">
        <v>46000</v>
      </c>
    </row>
    <row r="78" spans="1:14" x14ac:dyDescent="0.25">
      <c r="A78" s="8" t="s">
        <v>87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2">
        <v>3542</v>
      </c>
    </row>
    <row r="79" spans="1:14" x14ac:dyDescent="0.25">
      <c r="A79" s="8" t="s">
        <v>41</v>
      </c>
      <c r="B79" s="10">
        <f>600</f>
        <v>600</v>
      </c>
      <c r="C79" s="10">
        <f>600</f>
        <v>600</v>
      </c>
      <c r="D79" s="10">
        <f>600</f>
        <v>600</v>
      </c>
      <c r="E79" s="10">
        <f>600</f>
        <v>600</v>
      </c>
      <c r="F79" s="10">
        <f>600</f>
        <v>600</v>
      </c>
      <c r="G79" s="10">
        <f>600</f>
        <v>600</v>
      </c>
      <c r="H79" s="10">
        <f>600</f>
        <v>600</v>
      </c>
      <c r="I79" s="10">
        <f>600</f>
        <v>600</v>
      </c>
      <c r="J79" s="10">
        <f>600</f>
        <v>600</v>
      </c>
      <c r="K79" s="10">
        <f>600</f>
        <v>600</v>
      </c>
      <c r="L79" s="10">
        <f>600</f>
        <v>600</v>
      </c>
      <c r="M79" s="10">
        <f>600</f>
        <v>600</v>
      </c>
      <c r="N79" s="2">
        <v>8400</v>
      </c>
    </row>
    <row r="80" spans="1:14" x14ac:dyDescent="0.25">
      <c r="A80" s="8" t="s">
        <v>74</v>
      </c>
      <c r="B80" s="10">
        <f>2678.09</f>
        <v>2678.09</v>
      </c>
      <c r="C80" s="10">
        <f>2678.09</f>
        <v>2678.09</v>
      </c>
      <c r="D80" s="10">
        <f>2678.09</f>
        <v>2678.09</v>
      </c>
      <c r="E80" s="10">
        <f>2678.09</f>
        <v>2678.09</v>
      </c>
      <c r="F80" s="10">
        <f t="shared" ref="F80:M80" si="24">2678.08</f>
        <v>2678.08</v>
      </c>
      <c r="G80" s="10">
        <f t="shared" si="24"/>
        <v>2678.08</v>
      </c>
      <c r="H80" s="10">
        <f t="shared" si="24"/>
        <v>2678.08</v>
      </c>
      <c r="I80" s="10">
        <f t="shared" si="24"/>
        <v>2678.08</v>
      </c>
      <c r="J80" s="10">
        <f t="shared" si="24"/>
        <v>2678.08</v>
      </c>
      <c r="K80" s="10">
        <f t="shared" si="24"/>
        <v>2678.08</v>
      </c>
      <c r="L80" s="10">
        <f t="shared" si="24"/>
        <v>2678.08</v>
      </c>
      <c r="M80" s="10">
        <f t="shared" si="24"/>
        <v>2678.08</v>
      </c>
      <c r="N80" s="2">
        <v>26624</v>
      </c>
    </row>
    <row r="81" spans="1:15" x14ac:dyDescent="0.25">
      <c r="A81" s="8" t="s">
        <v>86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2">
        <v>2050</v>
      </c>
    </row>
    <row r="82" spans="1:15" x14ac:dyDescent="0.25">
      <c r="A82" s="8" t="s">
        <v>57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2">
        <v>15320</v>
      </c>
    </row>
    <row r="83" spans="1:15" x14ac:dyDescent="0.25">
      <c r="A83" s="8" t="s">
        <v>112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2">
        <v>1180</v>
      </c>
    </row>
    <row r="84" spans="1:15" x14ac:dyDescent="0.25">
      <c r="A84" s="8" t="s">
        <v>113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7">
        <v>105736</v>
      </c>
    </row>
    <row r="85" spans="1:15" x14ac:dyDescent="0.25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4"/>
    </row>
    <row r="86" spans="1:15" x14ac:dyDescent="0.25">
      <c r="A86" s="8" t="s">
        <v>116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4"/>
    </row>
    <row r="87" spans="1:15" x14ac:dyDescent="0.25">
      <c r="A87" s="8" t="s">
        <v>114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2">
        <v>3000</v>
      </c>
      <c r="O87" t="s">
        <v>75</v>
      </c>
    </row>
    <row r="88" spans="1:15" x14ac:dyDescent="0.25">
      <c r="A88" s="8" t="s">
        <v>115</v>
      </c>
      <c r="B88" s="10">
        <f>500</f>
        <v>500</v>
      </c>
      <c r="C88" s="10">
        <f>500</f>
        <v>500</v>
      </c>
      <c r="D88" s="10">
        <f>500</f>
        <v>500</v>
      </c>
      <c r="E88" s="10">
        <f>500</f>
        <v>500</v>
      </c>
      <c r="F88" s="10">
        <f>500</f>
        <v>500</v>
      </c>
      <c r="G88" s="10">
        <f>500</f>
        <v>500</v>
      </c>
      <c r="H88" s="10">
        <f>500</f>
        <v>500</v>
      </c>
      <c r="I88" s="10">
        <f>500</f>
        <v>500</v>
      </c>
      <c r="J88" s="10">
        <f>500</f>
        <v>500</v>
      </c>
      <c r="K88" s="10">
        <f>500</f>
        <v>500</v>
      </c>
      <c r="L88" s="10">
        <f>500</f>
        <v>500</v>
      </c>
      <c r="M88" s="10">
        <f>500</f>
        <v>500</v>
      </c>
      <c r="N88" s="2">
        <v>1500</v>
      </c>
    </row>
    <row r="89" spans="1:15" x14ac:dyDescent="0.25">
      <c r="A89" s="8" t="s">
        <v>138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2">
        <v>800</v>
      </c>
    </row>
    <row r="90" spans="1:15" x14ac:dyDescent="0.25">
      <c r="A90" s="8" t="s">
        <v>63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2">
        <v>200</v>
      </c>
    </row>
    <row r="91" spans="1:15" x14ac:dyDescent="0.25">
      <c r="A91" s="8" t="s">
        <v>64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2">
        <v>500</v>
      </c>
    </row>
    <row r="92" spans="1:15" x14ac:dyDescent="0.25">
      <c r="A92" s="8" t="s">
        <v>19</v>
      </c>
      <c r="B92" s="10">
        <f>166.66</f>
        <v>166.66</v>
      </c>
      <c r="C92" s="10">
        <f>166.66</f>
        <v>166.66</v>
      </c>
      <c r="D92" s="10">
        <f>166.66</f>
        <v>166.66</v>
      </c>
      <c r="E92" s="10">
        <f>166.66</f>
        <v>166.66</v>
      </c>
      <c r="F92" s="10">
        <f t="shared" ref="F92:M92" si="25">166.67</f>
        <v>166.67</v>
      </c>
      <c r="G92" s="10">
        <f t="shared" si="25"/>
        <v>166.67</v>
      </c>
      <c r="H92" s="10">
        <f t="shared" si="25"/>
        <v>166.67</v>
      </c>
      <c r="I92" s="10">
        <f t="shared" si="25"/>
        <v>166.67</v>
      </c>
      <c r="J92" s="10">
        <f t="shared" si="25"/>
        <v>166.67</v>
      </c>
      <c r="K92" s="10">
        <f t="shared" si="25"/>
        <v>166.67</v>
      </c>
      <c r="L92" s="10">
        <f t="shared" si="25"/>
        <v>166.67</v>
      </c>
      <c r="M92" s="10">
        <f t="shared" si="25"/>
        <v>166.67</v>
      </c>
    </row>
    <row r="93" spans="1:15" x14ac:dyDescent="0.25">
      <c r="A93" s="8" t="s">
        <v>117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7">
        <f>+SUM(N87:N92)</f>
        <v>6000</v>
      </c>
    </row>
    <row r="94" spans="1:15" x14ac:dyDescent="0.25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4"/>
    </row>
    <row r="95" spans="1:15" ht="15.75" thickBot="1" x14ac:dyDescent="0.3">
      <c r="A95" s="25" t="s">
        <v>38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">
        <f>+N52+N62+N72+N84+N93</f>
        <v>232405</v>
      </c>
    </row>
    <row r="96" spans="1:15" ht="15.75" thickTop="1" x14ac:dyDescent="0.25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24"/>
    </row>
    <row r="97" spans="1:15" x14ac:dyDescent="0.25">
      <c r="A97" s="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24"/>
    </row>
    <row r="98" spans="1:15" x14ac:dyDescent="0.25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5" x14ac:dyDescent="0.25">
      <c r="A99" s="8" t="s">
        <v>58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5" x14ac:dyDescent="0.25">
      <c r="A100" s="8" t="s">
        <v>122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2">
        <v>91194</v>
      </c>
      <c r="O100" t="s">
        <v>118</v>
      </c>
    </row>
    <row r="101" spans="1:15" x14ac:dyDescent="0.25">
      <c r="A101" s="8" t="s">
        <v>121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2">
        <v>8500</v>
      </c>
    </row>
    <row r="102" spans="1:15" x14ac:dyDescent="0.25">
      <c r="A102" s="8" t="s">
        <v>120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2">
        <v>10000</v>
      </c>
    </row>
    <row r="103" spans="1:15" x14ac:dyDescent="0.25">
      <c r="A103" s="8" t="s">
        <v>119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2">
        <v>5000</v>
      </c>
    </row>
    <row r="104" spans="1:15" x14ac:dyDescent="0.25">
      <c r="A104" s="8" t="s">
        <v>20</v>
      </c>
      <c r="B104" s="10">
        <f>666.66</f>
        <v>666.66</v>
      </c>
      <c r="C104" s="10">
        <f>666.66</f>
        <v>666.66</v>
      </c>
      <c r="D104" s="10">
        <f>666.66</f>
        <v>666.66</v>
      </c>
      <c r="E104" s="10">
        <f>666.66</f>
        <v>666.66</v>
      </c>
      <c r="F104" s="10">
        <f t="shared" ref="F104:M104" si="26">666.67</f>
        <v>666.67</v>
      </c>
      <c r="G104" s="10">
        <f t="shared" si="26"/>
        <v>666.67</v>
      </c>
      <c r="H104" s="10">
        <f t="shared" si="26"/>
        <v>666.67</v>
      </c>
      <c r="I104" s="10">
        <f t="shared" si="26"/>
        <v>666.67</v>
      </c>
      <c r="J104" s="10">
        <f t="shared" si="26"/>
        <v>666.67</v>
      </c>
      <c r="K104" s="10">
        <f t="shared" si="26"/>
        <v>666.67</v>
      </c>
      <c r="L104" s="10">
        <f t="shared" si="26"/>
        <v>666.67</v>
      </c>
      <c r="M104" s="10">
        <f t="shared" si="26"/>
        <v>666.67</v>
      </c>
      <c r="N104" s="6">
        <v>6000</v>
      </c>
    </row>
    <row r="106" spans="1:15" x14ac:dyDescent="0.25">
      <c r="A106" s="8" t="s">
        <v>21</v>
      </c>
      <c r="B106" s="10">
        <f>9664.34</f>
        <v>9664.34</v>
      </c>
      <c r="C106" s="10">
        <f>9664.34</f>
        <v>9664.34</v>
      </c>
      <c r="D106" s="10">
        <f>9664.34</f>
        <v>9664.34</v>
      </c>
      <c r="E106" s="10">
        <f>9664.34</f>
        <v>9664.34</v>
      </c>
      <c r="F106" s="10">
        <f t="shared" ref="F106:M106" si="27">9664.33</f>
        <v>9664.33</v>
      </c>
      <c r="G106" s="10">
        <f t="shared" si="27"/>
        <v>9664.33</v>
      </c>
      <c r="H106" s="10">
        <f t="shared" si="27"/>
        <v>9664.33</v>
      </c>
      <c r="I106" s="10">
        <f t="shared" si="27"/>
        <v>9664.33</v>
      </c>
      <c r="J106" s="10">
        <f t="shared" si="27"/>
        <v>9664.33</v>
      </c>
      <c r="K106" s="10">
        <f t="shared" si="27"/>
        <v>9664.33</v>
      </c>
      <c r="L106" s="10">
        <f t="shared" si="27"/>
        <v>9664.33</v>
      </c>
      <c r="M106" s="10">
        <f t="shared" si="27"/>
        <v>9664.33</v>
      </c>
      <c r="N106" s="2">
        <v>128032</v>
      </c>
    </row>
    <row r="107" spans="1:15" x14ac:dyDescent="0.25">
      <c r="A107" s="8" t="s">
        <v>85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2">
        <v>9795</v>
      </c>
    </row>
    <row r="108" spans="1:15" x14ac:dyDescent="0.25">
      <c r="A108" s="8" t="s">
        <v>37</v>
      </c>
      <c r="B108" s="3" t="e">
        <f>((((B99)+(#REF!))+(B104))+(B110))+(B106)</f>
        <v>#REF!</v>
      </c>
      <c r="C108" s="3" t="e">
        <f>((((C99)+(#REF!))+(C104))+(C110))+(C106)</f>
        <v>#REF!</v>
      </c>
      <c r="D108" s="3" t="e">
        <f>((((D99)+(#REF!))+(D104))+(D110))+(D106)</f>
        <v>#REF!</v>
      </c>
      <c r="E108" s="3" t="e">
        <f>((((E99)+(#REF!))+(E104))+(E110))+(E106)</f>
        <v>#REF!</v>
      </c>
      <c r="F108" s="3" t="e">
        <f>((((F99)+(#REF!))+(F104))+(F110))+(F106)</f>
        <v>#REF!</v>
      </c>
      <c r="G108" s="3" t="e">
        <f>((((G99)+(#REF!))+(G104))+(G110))+(G106)</f>
        <v>#REF!</v>
      </c>
      <c r="H108" s="3" t="e">
        <f>((((H99)+(#REF!))+(H104))+(H110))+(H106)</f>
        <v>#REF!</v>
      </c>
      <c r="I108" s="3" t="e">
        <f>((((I99)+(#REF!))+(I104))+(I110))+(I106)</f>
        <v>#REF!</v>
      </c>
      <c r="J108" s="3" t="e">
        <f>((((J99)+(#REF!))+(J104))+(J110))+(J106)</f>
        <v>#REF!</v>
      </c>
      <c r="K108" s="3" t="e">
        <f>((((K99)+(#REF!))+(K104))+(K110))+(K106)</f>
        <v>#REF!</v>
      </c>
      <c r="L108" s="3" t="e">
        <f>((((L99)+(#REF!))+(L104))+(L110))+(L106)</f>
        <v>#REF!</v>
      </c>
      <c r="M108" s="3" t="e">
        <f>((((M99)+(#REF!))+(M104))+(M110))+(M106)</f>
        <v>#REF!</v>
      </c>
      <c r="N108" s="7">
        <f>SUM(N100:N107)</f>
        <v>258521</v>
      </c>
    </row>
    <row r="109" spans="1:15" x14ac:dyDescent="0.25">
      <c r="A109" s="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2"/>
    </row>
    <row r="110" spans="1:15" x14ac:dyDescent="0.25">
      <c r="A110" s="8" t="s">
        <v>123</v>
      </c>
      <c r="B110" s="10">
        <f>4166.66</f>
        <v>4166.66</v>
      </c>
      <c r="C110" s="10">
        <f>4166.66</f>
        <v>4166.66</v>
      </c>
      <c r="D110" s="10">
        <f>4166.66</f>
        <v>4166.66</v>
      </c>
      <c r="E110" s="10">
        <f>4166.66</f>
        <v>4166.66</v>
      </c>
      <c r="F110" s="10">
        <f t="shared" ref="F110:M110" si="28">4166.67</f>
        <v>4166.67</v>
      </c>
      <c r="G110" s="10">
        <f t="shared" si="28"/>
        <v>4166.67</v>
      </c>
      <c r="H110" s="10">
        <f t="shared" si="28"/>
        <v>4166.67</v>
      </c>
      <c r="I110" s="10">
        <f t="shared" si="28"/>
        <v>4166.67</v>
      </c>
      <c r="J110" s="10">
        <f t="shared" si="28"/>
        <v>4166.67</v>
      </c>
      <c r="K110" s="10">
        <f t="shared" si="28"/>
        <v>4166.67</v>
      </c>
      <c r="L110" s="10">
        <f t="shared" si="28"/>
        <v>4166.67</v>
      </c>
      <c r="M110" s="10">
        <f t="shared" si="28"/>
        <v>4166.67</v>
      </c>
      <c r="N110" s="4">
        <v>25000</v>
      </c>
    </row>
    <row r="111" spans="1:15" x14ac:dyDescent="0.25">
      <c r="A111" s="8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2"/>
    </row>
    <row r="112" spans="1:15" x14ac:dyDescent="0.25">
      <c r="A112" s="8" t="s">
        <v>34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5" x14ac:dyDescent="0.25">
      <c r="A113" s="8" t="s">
        <v>59</v>
      </c>
      <c r="B113" s="10">
        <f>4858.34</f>
        <v>4858.34</v>
      </c>
      <c r="C113" s="10">
        <f>4858.34</f>
        <v>4858.34</v>
      </c>
      <c r="D113" s="10">
        <f>4858.34</f>
        <v>4858.34</v>
      </c>
      <c r="E113" s="10">
        <f>4858.34</f>
        <v>4858.34</v>
      </c>
      <c r="F113" s="10">
        <f t="shared" ref="F113:M113" si="29">4858.33</f>
        <v>4858.33</v>
      </c>
      <c r="G113" s="10">
        <f t="shared" si="29"/>
        <v>4858.33</v>
      </c>
      <c r="H113" s="10">
        <f t="shared" si="29"/>
        <v>4858.33</v>
      </c>
      <c r="I113" s="10">
        <f t="shared" si="29"/>
        <v>4858.33</v>
      </c>
      <c r="J113" s="10">
        <f t="shared" si="29"/>
        <v>4858.33</v>
      </c>
      <c r="K113" s="10">
        <f t="shared" si="29"/>
        <v>4858.33</v>
      </c>
      <c r="L113" s="10">
        <f t="shared" si="29"/>
        <v>4858.33</v>
      </c>
      <c r="M113" s="10">
        <f t="shared" si="29"/>
        <v>4858.33</v>
      </c>
      <c r="N113" s="2">
        <v>109000</v>
      </c>
    </row>
    <row r="114" spans="1:15" x14ac:dyDescent="0.25">
      <c r="A114" s="8" t="s">
        <v>83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2">
        <v>8339</v>
      </c>
    </row>
    <row r="115" spans="1:15" x14ac:dyDescent="0.25">
      <c r="A115" s="11" t="s">
        <v>29</v>
      </c>
      <c r="B115" s="10">
        <f>500</f>
        <v>500</v>
      </c>
      <c r="C115" s="10">
        <f>500</f>
        <v>500</v>
      </c>
      <c r="D115" s="10">
        <f>500</f>
        <v>500</v>
      </c>
      <c r="E115" s="10">
        <f>500</f>
        <v>500</v>
      </c>
      <c r="F115" s="10">
        <f>500</f>
        <v>500</v>
      </c>
      <c r="G115" s="10">
        <f>500</f>
        <v>500</v>
      </c>
      <c r="H115" s="10">
        <f>500</f>
        <v>500</v>
      </c>
      <c r="I115" s="10">
        <f>500</f>
        <v>500</v>
      </c>
      <c r="J115" s="10">
        <f>500</f>
        <v>500</v>
      </c>
      <c r="K115" s="10">
        <f>500</f>
        <v>500</v>
      </c>
      <c r="L115" s="10">
        <f>500</f>
        <v>500</v>
      </c>
      <c r="M115" s="10">
        <f>500</f>
        <v>500</v>
      </c>
      <c r="N115" s="2">
        <v>12000</v>
      </c>
    </row>
    <row r="116" spans="1:15" x14ac:dyDescent="0.25">
      <c r="A116" s="11" t="s">
        <v>30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2">
        <v>12000</v>
      </c>
    </row>
    <row r="117" spans="1:15" x14ac:dyDescent="0.25">
      <c r="A117" s="8" t="s">
        <v>82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2">
        <v>10000</v>
      </c>
    </row>
    <row r="118" spans="1:15" x14ac:dyDescent="0.25">
      <c r="A118" s="8" t="s">
        <v>84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2">
        <v>2500</v>
      </c>
    </row>
    <row r="119" spans="1:15" x14ac:dyDescent="0.25">
      <c r="A119" s="8" t="s">
        <v>36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7">
        <f>SUM(N113:N118)</f>
        <v>153839</v>
      </c>
    </row>
    <row r="120" spans="1:15" x14ac:dyDescent="0.25">
      <c r="A120" s="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2"/>
    </row>
    <row r="121" spans="1:15" x14ac:dyDescent="0.25">
      <c r="A121" s="8" t="s">
        <v>125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2"/>
    </row>
    <row r="122" spans="1:15" x14ac:dyDescent="0.25">
      <c r="A122" s="8" t="s">
        <v>141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2">
        <v>0</v>
      </c>
      <c r="O122" t="s">
        <v>81</v>
      </c>
    </row>
    <row r="123" spans="1:15" x14ac:dyDescent="0.25">
      <c r="A123" s="8" t="s">
        <v>126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4">
        <f>+N122</f>
        <v>0</v>
      </c>
    </row>
    <row r="124" spans="1:15" x14ac:dyDescent="0.25">
      <c r="A124" s="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2"/>
    </row>
    <row r="125" spans="1:15" x14ac:dyDescent="0.25">
      <c r="A125" s="8" t="s">
        <v>127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5" x14ac:dyDescent="0.25">
      <c r="A126" s="11" t="s">
        <v>31</v>
      </c>
      <c r="B126" s="10">
        <f>1923.91</f>
        <v>1923.91</v>
      </c>
      <c r="C126" s="10">
        <f>1923.91</f>
        <v>1923.91</v>
      </c>
      <c r="D126" s="10">
        <f>1923.91</f>
        <v>1923.91</v>
      </c>
      <c r="E126" s="10">
        <f>1923.91</f>
        <v>1923.91</v>
      </c>
      <c r="F126" s="10">
        <f t="shared" ref="F126:M126" si="30">1923.92</f>
        <v>1923.92</v>
      </c>
      <c r="G126" s="10">
        <f t="shared" si="30"/>
        <v>1923.92</v>
      </c>
      <c r="H126" s="10">
        <f t="shared" si="30"/>
        <v>1923.92</v>
      </c>
      <c r="I126" s="10">
        <f t="shared" si="30"/>
        <v>1923.92</v>
      </c>
      <c r="J126" s="10">
        <f t="shared" si="30"/>
        <v>1923.92</v>
      </c>
      <c r="K126" s="10">
        <f t="shared" si="30"/>
        <v>1923.92</v>
      </c>
      <c r="L126" s="10">
        <f t="shared" si="30"/>
        <v>1923.92</v>
      </c>
      <c r="M126" s="10">
        <f t="shared" si="30"/>
        <v>1923.92</v>
      </c>
      <c r="N126" s="2">
        <v>17680</v>
      </c>
    </row>
    <row r="127" spans="1:15" x14ac:dyDescent="0.25">
      <c r="A127" s="8" t="s">
        <v>129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2">
        <v>1361</v>
      </c>
    </row>
    <row r="128" spans="1:15" x14ac:dyDescent="0.25">
      <c r="A128" s="8" t="s">
        <v>130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2">
        <v>1000</v>
      </c>
    </row>
    <row r="129" spans="1:14" x14ac:dyDescent="0.25">
      <c r="A129" s="8" t="s">
        <v>60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2">
        <v>2160</v>
      </c>
    </row>
    <row r="130" spans="1:14" x14ac:dyDescent="0.25">
      <c r="A130" s="8" t="s">
        <v>132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2"/>
    </row>
    <row r="131" spans="1:14" x14ac:dyDescent="0.25">
      <c r="A131" s="8" t="s">
        <v>131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2">
        <v>1200</v>
      </c>
    </row>
    <row r="132" spans="1:14" x14ac:dyDescent="0.25">
      <c r="A132" s="8" t="s">
        <v>124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2">
        <v>2000</v>
      </c>
    </row>
    <row r="133" spans="1:14" x14ac:dyDescent="0.25">
      <c r="A133" s="8" t="s">
        <v>128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7">
        <f>SUM(N126:N132)</f>
        <v>25401</v>
      </c>
    </row>
    <row r="134" spans="1:14" x14ac:dyDescent="0.25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4" x14ac:dyDescent="0.25">
      <c r="A135" s="8" t="s">
        <v>61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4" x14ac:dyDescent="0.25">
      <c r="A136" s="12" t="s">
        <v>22</v>
      </c>
      <c r="B136" s="10">
        <f>1166.66</f>
        <v>1166.6600000000001</v>
      </c>
      <c r="C136" s="10">
        <f>1166.66</f>
        <v>1166.6600000000001</v>
      </c>
      <c r="D136" s="10">
        <f>1166.66</f>
        <v>1166.6600000000001</v>
      </c>
      <c r="E136" s="10">
        <f>1166.66</f>
        <v>1166.6600000000001</v>
      </c>
      <c r="F136" s="10">
        <f t="shared" ref="F136:M136" si="31">1166.67</f>
        <v>1166.67</v>
      </c>
      <c r="G136" s="10">
        <f t="shared" si="31"/>
        <v>1166.67</v>
      </c>
      <c r="H136" s="10">
        <f t="shared" si="31"/>
        <v>1166.67</v>
      </c>
      <c r="I136" s="10">
        <f t="shared" si="31"/>
        <v>1166.67</v>
      </c>
      <c r="J136" s="10">
        <f t="shared" si="31"/>
        <v>1166.67</v>
      </c>
      <c r="K136" s="10">
        <f t="shared" si="31"/>
        <v>1166.67</v>
      </c>
      <c r="L136" s="10">
        <f t="shared" si="31"/>
        <v>1166.67</v>
      </c>
      <c r="M136" s="10">
        <f t="shared" si="31"/>
        <v>1166.67</v>
      </c>
      <c r="N136" s="2">
        <v>14000</v>
      </c>
    </row>
    <row r="137" spans="1:14" x14ac:dyDescent="0.25">
      <c r="A137" s="8" t="s">
        <v>23</v>
      </c>
      <c r="B137" s="10">
        <f>125</f>
        <v>125</v>
      </c>
      <c r="C137" s="10">
        <f>125</f>
        <v>125</v>
      </c>
      <c r="D137" s="10">
        <f>125</f>
        <v>125</v>
      </c>
      <c r="E137" s="10">
        <f>125</f>
        <v>125</v>
      </c>
      <c r="F137" s="10">
        <f>125</f>
        <v>125</v>
      </c>
      <c r="G137" s="10">
        <f>125</f>
        <v>125</v>
      </c>
      <c r="H137" s="10">
        <f>125</f>
        <v>125</v>
      </c>
      <c r="I137" s="10">
        <f>125</f>
        <v>125</v>
      </c>
      <c r="J137" s="10">
        <f>125</f>
        <v>125</v>
      </c>
      <c r="K137" s="10">
        <f>125</f>
        <v>125</v>
      </c>
      <c r="L137" s="10">
        <f>125</f>
        <v>125</v>
      </c>
      <c r="M137" s="10">
        <f>125</f>
        <v>125</v>
      </c>
      <c r="N137" s="2">
        <v>1700</v>
      </c>
    </row>
    <row r="138" spans="1:14" x14ac:dyDescent="0.25">
      <c r="A138" s="8" t="s">
        <v>24</v>
      </c>
      <c r="B138" s="10">
        <f>125</f>
        <v>125</v>
      </c>
      <c r="C138" s="10">
        <f>125</f>
        <v>125</v>
      </c>
      <c r="D138" s="10">
        <f>125</f>
        <v>125</v>
      </c>
      <c r="E138" s="10">
        <f>125</f>
        <v>125</v>
      </c>
      <c r="F138" s="10">
        <f>125</f>
        <v>125</v>
      </c>
      <c r="G138" s="10">
        <f>125</f>
        <v>125</v>
      </c>
      <c r="H138" s="10">
        <f>125</f>
        <v>125</v>
      </c>
      <c r="I138" s="10">
        <f>125</f>
        <v>125</v>
      </c>
      <c r="J138" s="10">
        <f>125</f>
        <v>125</v>
      </c>
      <c r="K138" s="10">
        <f>125</f>
        <v>125</v>
      </c>
      <c r="L138" s="10">
        <f>125</f>
        <v>125</v>
      </c>
      <c r="M138" s="10">
        <f>125</f>
        <v>125</v>
      </c>
      <c r="N138" s="2">
        <v>1500</v>
      </c>
    </row>
    <row r="139" spans="1:14" x14ac:dyDescent="0.25">
      <c r="A139" s="8" t="s">
        <v>25</v>
      </c>
      <c r="B139" s="10">
        <f>625</f>
        <v>625</v>
      </c>
      <c r="C139" s="10">
        <f>625</f>
        <v>625</v>
      </c>
      <c r="D139" s="10">
        <f>625</f>
        <v>625</v>
      </c>
      <c r="E139" s="10">
        <f>625</f>
        <v>625</v>
      </c>
      <c r="F139" s="10">
        <f>625</f>
        <v>625</v>
      </c>
      <c r="G139" s="10">
        <f>625</f>
        <v>625</v>
      </c>
      <c r="H139" s="10">
        <f>625</f>
        <v>625</v>
      </c>
      <c r="I139" s="10">
        <f>625</f>
        <v>625</v>
      </c>
      <c r="J139" s="10">
        <f>625</f>
        <v>625</v>
      </c>
      <c r="K139" s="10">
        <f>625</f>
        <v>625</v>
      </c>
      <c r="L139" s="10">
        <f>625</f>
        <v>625</v>
      </c>
      <c r="M139" s="10">
        <f>625</f>
        <v>625</v>
      </c>
      <c r="N139" s="2">
        <v>8000</v>
      </c>
    </row>
    <row r="140" spans="1:14" x14ac:dyDescent="0.25">
      <c r="A140" s="8" t="s">
        <v>35</v>
      </c>
      <c r="B140" s="3">
        <f t="shared" ref="B140:M140" si="32">((((B135)+(B136))+(B137))+(B138))+(B139)</f>
        <v>2041.66</v>
      </c>
      <c r="C140" s="3">
        <f t="shared" si="32"/>
        <v>2041.66</v>
      </c>
      <c r="D140" s="3">
        <f t="shared" si="32"/>
        <v>2041.66</v>
      </c>
      <c r="E140" s="3">
        <f t="shared" si="32"/>
        <v>2041.66</v>
      </c>
      <c r="F140" s="3">
        <f t="shared" si="32"/>
        <v>2041.67</v>
      </c>
      <c r="G140" s="3">
        <f t="shared" si="32"/>
        <v>2041.67</v>
      </c>
      <c r="H140" s="3">
        <f t="shared" si="32"/>
        <v>2041.67</v>
      </c>
      <c r="I140" s="3">
        <f t="shared" si="32"/>
        <v>2041.67</v>
      </c>
      <c r="J140" s="3">
        <f t="shared" si="32"/>
        <v>2041.67</v>
      </c>
      <c r="K140" s="3">
        <f t="shared" si="32"/>
        <v>2041.67</v>
      </c>
      <c r="L140" s="3">
        <f t="shared" si="32"/>
        <v>2041.67</v>
      </c>
      <c r="M140" s="3">
        <f t="shared" si="32"/>
        <v>2041.67</v>
      </c>
      <c r="N140" s="7">
        <f>SUM(N136:N139)</f>
        <v>25200</v>
      </c>
    </row>
    <row r="141" spans="1:14" x14ac:dyDescent="0.25">
      <c r="A141" s="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</row>
    <row r="142" spans="1:14" ht="15.75" thickBot="1" x14ac:dyDescent="0.3">
      <c r="A142" s="25" t="s">
        <v>62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5">
        <f>+N95+N108+N119+N133+N140+N110</f>
        <v>720366</v>
      </c>
    </row>
    <row r="143" spans="1:14" ht="15.75" thickTop="1" x14ac:dyDescent="0.25">
      <c r="A143" s="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24"/>
    </row>
    <row r="144" spans="1:14" x14ac:dyDescent="0.25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4"/>
    </row>
    <row r="145" spans="1:14" x14ac:dyDescent="0.25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24"/>
    </row>
    <row r="146" spans="1:14" x14ac:dyDescent="0.25">
      <c r="A146" s="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24"/>
    </row>
    <row r="147" spans="1:14" x14ac:dyDescent="0.25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4" x14ac:dyDescent="0.25">
      <c r="A148" s="13" t="s">
        <v>76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7">
        <v>354710</v>
      </c>
    </row>
    <row r="149" spans="1:14" x14ac:dyDescent="0.25">
      <c r="A149" s="13" t="s">
        <v>65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8"/>
    </row>
    <row r="150" spans="1:14" x14ac:dyDescent="0.25">
      <c r="A150" s="13" t="s">
        <v>77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7">
        <v>17791</v>
      </c>
    </row>
    <row r="151" spans="1:14" x14ac:dyDescent="0.25">
      <c r="A151" s="13" t="s">
        <v>66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7">
        <v>16000</v>
      </c>
    </row>
    <row r="152" spans="1:14" x14ac:dyDescent="0.25">
      <c r="A152" s="8" t="s">
        <v>67</v>
      </c>
      <c r="B152" s="10">
        <f t="shared" ref="B152:I152" si="33">5833.33</f>
        <v>5833.33</v>
      </c>
      <c r="C152" s="10">
        <f t="shared" si="33"/>
        <v>5833.33</v>
      </c>
      <c r="D152" s="10">
        <f t="shared" si="33"/>
        <v>5833.33</v>
      </c>
      <c r="E152" s="10">
        <f t="shared" si="33"/>
        <v>5833.33</v>
      </c>
      <c r="F152" s="10">
        <f t="shared" si="33"/>
        <v>5833.33</v>
      </c>
      <c r="G152" s="10">
        <f t="shared" si="33"/>
        <v>5833.33</v>
      </c>
      <c r="H152" s="10">
        <f t="shared" si="33"/>
        <v>5833.33</v>
      </c>
      <c r="I152" s="10">
        <f t="shared" si="33"/>
        <v>5833.33</v>
      </c>
      <c r="J152" s="10">
        <f>5833.34</f>
        <v>5833.34</v>
      </c>
      <c r="K152" s="10">
        <f>5833.34</f>
        <v>5833.34</v>
      </c>
      <c r="L152" s="10">
        <f>5833.34</f>
        <v>5833.34</v>
      </c>
      <c r="M152" s="10">
        <f>5833.34</f>
        <v>5833.34</v>
      </c>
      <c r="N152" s="17">
        <v>114920</v>
      </c>
    </row>
    <row r="153" spans="1:14" x14ac:dyDescent="0.25">
      <c r="A153" s="8" t="s">
        <v>68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7">
        <v>4800</v>
      </c>
    </row>
    <row r="154" spans="1:14" x14ac:dyDescent="0.25">
      <c r="A154" s="16" t="s">
        <v>79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7">
        <v>35000</v>
      </c>
    </row>
    <row r="155" spans="1:14" x14ac:dyDescent="0.25">
      <c r="A155" s="8" t="s">
        <v>69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7">
        <v>40000</v>
      </c>
    </row>
    <row r="156" spans="1:14" x14ac:dyDescent="0.25">
      <c r="A156" s="13" t="s">
        <v>80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7">
        <v>126199</v>
      </c>
    </row>
    <row r="157" spans="1:14" x14ac:dyDescent="0.25">
      <c r="A157" s="13" t="s">
        <v>78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7">
        <v>354710</v>
      </c>
    </row>
    <row r="158" spans="1:14" x14ac:dyDescent="0.25">
      <c r="A158" s="13" t="s">
        <v>70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7">
        <v>0</v>
      </c>
    </row>
    <row r="161" spans="1:13" x14ac:dyDescent="0.25">
      <c r="A161" s="19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</sheetData>
  <mergeCells count="4">
    <mergeCell ref="A161:M161"/>
    <mergeCell ref="A1:M1"/>
    <mergeCell ref="A2:M2"/>
    <mergeCell ref="A3:M3"/>
  </mergeCells>
  <printOptions gridLines="1"/>
  <pageMargins left="0.7" right="0.7" top="0.75" bottom="0.75" header="0.3" footer="0.3"/>
  <pageSetup scale="95" fitToHeight="0" orientation="portrait" horizontalDpi="4294967293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C.D. Woodrome</cp:lastModifiedBy>
  <cp:lastPrinted>2022-10-06T18:29:03Z</cp:lastPrinted>
  <dcterms:created xsi:type="dcterms:W3CDTF">2021-07-19T20:01:20Z</dcterms:created>
  <dcterms:modified xsi:type="dcterms:W3CDTF">2022-10-06T18:30:12Z</dcterms:modified>
</cp:coreProperties>
</file>