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\\swh-muniserver\skenney\"/>
    </mc:Choice>
  </mc:AlternateContent>
  <xr:revisionPtr revIDLastSave="0" documentId="8_{5565784B-2FF5-4482-A3DA-04E35D7887E3}" xr6:coauthVersionLast="40" xr6:coauthVersionMax="40" xr10:uidLastSave="{00000000-0000-0000-0000-000000000000}"/>
  <bookViews>
    <workbookView xWindow="-120" yWindow="-120" windowWidth="19440" windowHeight="15000" tabRatio="708" activeTab="2" xr2:uid="{00000000-000D-0000-FFFF-FFFF00000000}"/>
  </bookViews>
  <sheets>
    <sheet name="Personnel 2019" sheetId="3" r:id="rId1"/>
    <sheet name="2019 Water" sheetId="2" r:id="rId2"/>
    <sheet name="2019 Sewer" sheetId="1" r:id="rId3"/>
    <sheet name="Water Summary" sheetId="6" r:id="rId4"/>
    <sheet name="Sewer Summary" sheetId="7" r:id="rId5"/>
    <sheet name="CIP 2018-23" sheetId="5" r:id="rId6"/>
    <sheet name="Do list" sheetId="4" r:id="rId7"/>
  </sheets>
  <definedNames>
    <definedName name="_xlnm.Print_Area" localSheetId="1">'2019 Water'!$A$1:$L$200</definedName>
    <definedName name="_xlnm.Print_Area" localSheetId="0">'Personnel 2019'!$A$1:$M$52</definedName>
    <definedName name="_xlnm.Print_Titles" localSheetId="2">'2019 Sewer'!$1:$1</definedName>
    <definedName name="_xlnm.Print_Titles" localSheetId="1">'2019 Water'!$1:$1</definedName>
    <definedName name="_xlnm.Print_Titles" localSheetId="5">'CIP 2018-23'!$4:$4</definedName>
    <definedName name="QB_COLUMN_59200" localSheetId="2" hidden="1">'2019 Sewer'!$H$1</definedName>
    <definedName name="QB_COLUMN_59200" localSheetId="1" hidden="1">'2019 Water'!$G$1</definedName>
    <definedName name="QB_COLUMN_63620" localSheetId="2" hidden="1">'2019 Sewer'!#REF!</definedName>
    <definedName name="QB_COLUMN_63620" localSheetId="1" hidden="1">'2019 Water'!#REF!</definedName>
    <definedName name="QB_COLUMN_64430" localSheetId="2" hidden="1">'2019 Sewer'!#REF!</definedName>
    <definedName name="QB_COLUMN_64430" localSheetId="1" hidden="1">'2019 Water'!#REF!</definedName>
    <definedName name="QB_COLUMN_76210" localSheetId="2" hidden="1">'2019 Sewer'!$I$1</definedName>
    <definedName name="QB_COLUMN_76210" localSheetId="1" hidden="1">'2019 Water'!$H$1</definedName>
    <definedName name="QB_DATA_0" localSheetId="2" hidden="1">'2019 Sewer'!$7:$7,'2019 Sewer'!$8:$8,'2019 Sewer'!$9:$9,'2019 Sewer'!#REF!,'2019 Sewer'!#REF!,'2019 Sewer'!#REF!,'2019 Sewer'!$20:$20,'2019 Sewer'!$21:$21,'2019 Sewer'!$22:$22,'2019 Sewer'!$25:$25,'2019 Sewer'!$28:$28,'2019 Sewer'!$32:$32,'2019 Sewer'!$33:$33,'2019 Sewer'!#REF!,'2019 Sewer'!$36:$36,'2019 Sewer'!$44:$44</definedName>
    <definedName name="QB_DATA_0" localSheetId="1" hidden="1">'2019 Water'!$8:$8,'2019 Water'!$9:$9,'2019 Water'!#REF!,'2019 Water'!$10:$10,'2019 Water'!$13:$13,'2019 Water'!$14:$14,'2019 Water'!#REF!,'2019 Water'!#REF!,'2019 Water'!#REF!,'2019 Water'!#REF!,'2019 Water'!#REF!,'2019 Water'!$26:$26,'2019 Water'!$27:$27,'2019 Water'!$28:$28,'2019 Water'!$31:$31,'2019 Water'!$32:$32</definedName>
    <definedName name="QB_DATA_1" localSheetId="2" hidden="1">'2019 Sewer'!$47:$47,'2019 Sewer'!$48:$48,'2019 Sewer'!$50:$50,'2019 Sewer'!$53:$53,'2019 Sewer'!$54:$54,'2019 Sewer'!$55:$55,'2019 Sewer'!$56:$56,'2019 Sewer'!$61:$61,'2019 Sewer'!$64:$64,'2019 Sewer'!#REF!,'2019 Sewer'!#REF!,'2019 Sewer'!#REF!,'2019 Sewer'!$67:$67,'2019 Sewer'!$68:$68,'2019 Sewer'!$69:$69,'2019 Sewer'!$72:$72</definedName>
    <definedName name="QB_DATA_1" localSheetId="1" hidden="1">'2019 Water'!$33:$33,'2019 Water'!$37:$37,'2019 Water'!$42:$42,'2019 Water'!$45:$45,'2019 Water'!$46:$46,'2019 Water'!$47:$47,'2019 Water'!$50:$50,'2019 Water'!$54:$54,'2019 Water'!$55:$55,'2019 Water'!$58:$58,'2019 Water'!$59:$59,'2019 Water'!$60:$60,'2019 Water'!$61:$61,'2019 Water'!$62:$62,'2019 Water'!$65:$65,'2019 Water'!$66:$66</definedName>
    <definedName name="QB_DATA_2" localSheetId="2" hidden="1">'2019 Sewer'!$75:$75,'2019 Sewer'!$76:$76,'2019 Sewer'!$77:$77,'2019 Sewer'!$81:$81,'2019 Sewer'!$84:$84,'2019 Sewer'!$85:$85,'2019 Sewer'!$86:$86,'2019 Sewer'!$87:$87,'2019 Sewer'!$88:$88,'2019 Sewer'!$91:$91,'2019 Sewer'!$92:$92,'2019 Sewer'!$95:$95,'2019 Sewer'!$98:$98,'2019 Sewer'!$101:$101,'2019 Sewer'!$104:$104,'2019 Sewer'!$105:$105</definedName>
    <definedName name="QB_DATA_2" localSheetId="1" hidden="1">'2019 Water'!$69:$69,'2019 Water'!$70:$70,'2019 Water'!$71:$71,'2019 Water'!$72:$72,'2019 Water'!$76:$76,'2019 Water'!$77:$77,'2019 Water'!$80:$80,'2019 Water'!$81:$81,'2019 Water'!$82:$82,'2019 Water'!$83:$83,'2019 Water'!$86:$86,'2019 Water'!$87:$87,'2019 Water'!$88:$88,'2019 Water'!$91:$91,'2019 Water'!$92:$92,'2019 Water'!$96:$96</definedName>
    <definedName name="QB_DATA_3" localSheetId="2" hidden="1">'2019 Sewer'!$106:$106,'2019 Sewer'!$109:$109,'2019 Sewer'!$112:$112,'2019 Sewer'!$115:$115,'2019 Sewer'!$118:$118,'2019 Sewer'!$119:$119,'2019 Sewer'!$122:$122,'2019 Sewer'!$126:$126,'2019 Sewer'!$127:$127,'2019 Sewer'!$128:$128,'2019 Sewer'!$129:$129,'2019 Sewer'!$131:$131</definedName>
    <definedName name="QB_DATA_3" localSheetId="1" hidden="1">'2019 Water'!$99:$99,'2019 Water'!$101:$101,'2019 Water'!$103:$103,'2019 Water'!$104:$104,'2019 Water'!$105:$105,'2019 Water'!$109:$109,'2019 Water'!$110:$110,'2019 Water'!$114:$114,'2019 Water'!$115:$115,'2019 Water'!$118:$118,'2019 Water'!$123:$123,'2019 Water'!$128:$128,'2019 Water'!$131:$131,'2019 Water'!$132:$132,'2019 Water'!$136:$136,'2019 Water'!$139:$139</definedName>
    <definedName name="QB_DATA_4" localSheetId="1" hidden="1">'2019 Water'!$140:$140,'2019 Water'!$143:$143,'2019 Water'!$146:$146,'2019 Water'!$149:$149,'2019 Water'!$152:$152,'2019 Water'!$155:$155,'2019 Water'!$158:$158,'2019 Water'!$159:$159,'2019 Water'!#REF!,'2019 Water'!$162:$162,'2019 Water'!#REF!,'2019 Water'!#REF!,'2019 Water'!#REF!,'2019 Water'!$164:$164,'2019 Water'!$165:$165,'2019 Water'!$166:$166</definedName>
    <definedName name="QB_FORMULA_0" localSheetId="2" hidden="1">'2019 Sewer'!$H$10,'2019 Sewer'!$H$11,'2019 Sewer'!#REF!,'2019 Sewer'!#REF!,'2019 Sewer'!$H$12,'2019 Sewer'!#REF!,'2019 Sewer'!#REF!,'2019 Sewer'!#REF!,'2019 Sewer'!#REF!,'2019 Sewer'!#REF!,'2019 Sewer'!#REF!,'2019 Sewer'!$H$23,'2019 Sewer'!$I$23,'2019 Sewer'!#REF!,'2019 Sewer'!#REF!,'2019 Sewer'!#REF!</definedName>
    <definedName name="QB_FORMULA_0" localSheetId="1" hidden="1">'2019 Water'!$G$11,'2019 Water'!$G$15,'2019 Water'!$G$16,'2019 Water'!#REF!,'2019 Water'!#REF!,'2019 Water'!$G$17,'2019 Water'!#REF!,'2019 Water'!#REF!,'2019 Water'!#REF!,'2019 Water'!#REF!,'2019 Water'!#REF!,'2019 Water'!#REF!,'2019 Water'!$G$29,'2019 Water'!$H$29,'2019 Water'!#REF!,'2019 Water'!#REF!</definedName>
    <definedName name="QB_FORMULA_1" localSheetId="2" hidden="1">'2019 Sewer'!#REF!,'2019 Sewer'!$H$26,'2019 Sewer'!$I$26,'2019 Sewer'!#REF!,'2019 Sewer'!#REF!,'2019 Sewer'!#REF!,'2019 Sewer'!#REF!,'2019 Sewer'!$H$29,'2019 Sewer'!$I$29,'2019 Sewer'!#REF!,'2019 Sewer'!#REF!,'2019 Sewer'!#REF!,'2019 Sewer'!#REF!,'2019 Sewer'!#REF!,'2019 Sewer'!#REF!,'2019 Sewer'!$H$34</definedName>
    <definedName name="QB_FORMULA_1" localSheetId="1" hidden="1">'2019 Water'!#REF!,'2019 Water'!#REF!,'2019 Water'!#REF!,'2019 Water'!#REF!,'2019 Water'!$G$34,'2019 Water'!$H$34,'2019 Water'!#REF!,'2019 Water'!#REF!,'2019 Water'!$G$35,'2019 Water'!$H$35,'2019 Water'!#REF!,'2019 Water'!#REF!,'2019 Water'!#REF!,'2019 Water'!#REF!,'2019 Water'!$G$38,'2019 Water'!$H$38</definedName>
    <definedName name="QB_FORMULA_10" localSheetId="2" hidden="1">'2019 Sewer'!$I$123,'2019 Sewer'!#REF!,'2019 Sewer'!#REF!,'2019 Sewer'!#REF!,'2019 Sewer'!#REF!,'2019 Sewer'!$H$130,'2019 Sewer'!$I$130,'2019 Sewer'!#REF!,'2019 Sewer'!#REF!,'2019 Sewer'!#REF!,'2019 Sewer'!#REF!,'2019 Sewer'!$H$132,'2019 Sewer'!$I$132,'2019 Sewer'!#REF!,'2019 Sewer'!#REF!,'2019 Sewer'!$H$133</definedName>
    <definedName name="QB_FORMULA_10" localSheetId="1" hidden="1">'2019 Water'!$H$137,'2019 Water'!#REF!,'2019 Water'!#REF!,'2019 Water'!#REF!,'2019 Water'!#REF!,'2019 Water'!#REF!,'2019 Water'!#REF!,'2019 Water'!$G$141,'2019 Water'!$H$141,'2019 Water'!#REF!,'2019 Water'!#REF!,'2019 Water'!#REF!,'2019 Water'!#REF!,'2019 Water'!$G$144,'2019 Water'!$H$144,'2019 Water'!#REF!</definedName>
    <definedName name="QB_FORMULA_11" localSheetId="2" hidden="1">'2019 Sewer'!$I$133,'2019 Sewer'!#REF!,'2019 Sewer'!#REF!,'2019 Sewer'!$H$134,'2019 Sewer'!$I$134,'2019 Sewer'!#REF!,'2019 Sewer'!#REF!,'2019 Sewer'!#REF!,'2019 Sewer'!#REF!,'2019 Sewer'!#REF!,'2019 Sewer'!#REF!</definedName>
    <definedName name="QB_FORMULA_11" localSheetId="1" hidden="1">'2019 Water'!#REF!,'2019 Water'!#REF!,'2019 Water'!#REF!,'2019 Water'!$G$147,'2019 Water'!$H$147,'2019 Water'!#REF!,'2019 Water'!#REF!,'2019 Water'!#REF!,'2019 Water'!#REF!,'2019 Water'!$G$150,'2019 Water'!$H$150,'2019 Water'!#REF!,'2019 Water'!#REF!,'2019 Water'!#REF!,'2019 Water'!#REF!,'2019 Water'!$G$153</definedName>
    <definedName name="QB_FORMULA_12" localSheetId="1" hidden="1">'2019 Water'!$H$153,'2019 Water'!#REF!,'2019 Water'!#REF!,'2019 Water'!#REF!,'2019 Water'!#REF!,'2019 Water'!$G$156,'2019 Water'!$H$156,'2019 Water'!#REF!,'2019 Water'!#REF!,'2019 Water'!#REF!,'2019 Water'!#REF!,'2019 Water'!$G$160,'2019 Water'!$H$160,'2019 Water'!#REF!,'2019 Water'!#REF!,'2019 Water'!#REF!</definedName>
    <definedName name="QB_FORMULA_13" localSheetId="1" hidden="1">'2019 Water'!#REF!,'2019 Water'!#REF!,'2019 Water'!#REF!,'2019 Water'!#REF!,'2019 Water'!#REF!,'2019 Water'!#REF!,'2019 Water'!#REF!,'2019 Water'!#REF!,'2019 Water'!#REF!,'2019 Water'!#REF!,'2019 Water'!#REF!,'2019 Water'!$G$167,'2019 Water'!$H$167,'2019 Water'!#REF!,'2019 Water'!#REF!,'2019 Water'!$G$168</definedName>
    <definedName name="QB_FORMULA_14" localSheetId="1" hidden="1">'2019 Water'!$H$168,'2019 Water'!#REF!,'2019 Water'!#REF!,'2019 Water'!$G$169,'2019 Water'!$H$169,'2019 Water'!#REF!,'2019 Water'!#REF!,'2019 Water'!$G$170,'2019 Water'!$H$170,'2019 Water'!#REF!,'2019 Water'!#REF!,'2019 Water'!$G$171,'2019 Water'!$H$171,'2019 Water'!#REF!,'2019 Water'!#REF!</definedName>
    <definedName name="QB_FORMULA_2" localSheetId="2" hidden="1">'2019 Sewer'!$I$34,'2019 Sewer'!#REF!,'2019 Sewer'!#REF!,'2019 Sewer'!#REF!,'2019 Sewer'!#REF!,'2019 Sewer'!$H$37,'2019 Sewer'!$I$37,'2019 Sewer'!#REF!,'2019 Sewer'!#REF!,'2019 Sewer'!$H$45,'2019 Sewer'!#REF!,'2019 Sewer'!#REF!,'2019 Sewer'!#REF!,'2019 Sewer'!#REF!,'2019 Sewer'!$H$51,'2019 Sewer'!$I$51</definedName>
    <definedName name="QB_FORMULA_2" localSheetId="1" hidden="1">'2019 Water'!#REF!,'2019 Water'!#REF!,'2019 Water'!#REF!,'2019 Water'!#REF!,'2019 Water'!$G$43,'2019 Water'!$H$43,'2019 Water'!#REF!,'2019 Water'!#REF!,'2019 Water'!#REF!,'2019 Water'!#REF!,'2019 Water'!#REF!,'2019 Water'!#REF!,'2019 Water'!$G$48,'2019 Water'!$H$48,'2019 Water'!#REF!,'2019 Water'!#REF!</definedName>
    <definedName name="QB_FORMULA_3" localSheetId="2" hidden="1">'2019 Sewer'!#REF!,'2019 Sewer'!#REF!,'2019 Sewer'!#REF!,'2019 Sewer'!#REF!,'2019 Sewer'!$H$62,'2019 Sewer'!$I$62,'2019 Sewer'!#REF!,'2019 Sewer'!#REF!,'2019 Sewer'!#REF!,'2019 Sewer'!#REF!,'2019 Sewer'!#REF!,'2019 Sewer'!#REF!,'2019 Sewer'!#REF!,'2019 Sewer'!#REF!,'2019 Sewer'!#REF!,'2019 Sewer'!#REF!</definedName>
    <definedName name="QB_FORMULA_3" localSheetId="1" hidden="1">'2019 Water'!$G$51,'2019 Water'!#REF!,'2019 Water'!#REF!,'2019 Water'!$G$56,'2019 Water'!$H$56,'2019 Water'!#REF!,'2019 Water'!#REF!,'2019 Water'!#REF!,'2019 Water'!#REF!,'2019 Water'!#REF!,'2019 Water'!#REF!,'2019 Water'!#REF!,'2019 Water'!#REF!,'2019 Water'!#REF!,'2019 Water'!#REF!,'2019 Water'!#REF!</definedName>
    <definedName name="QB_FORMULA_4" localSheetId="2" hidden="1">'2019 Sewer'!$H$65,'2019 Sewer'!$I$65,'2019 Sewer'!#REF!,'2019 Sewer'!#REF!,'2019 Sewer'!$H$70,'2019 Sewer'!#REF!,'2019 Sewer'!#REF!,'2019 Sewer'!$H$73,'2019 Sewer'!$I$73,'2019 Sewer'!#REF!,'2019 Sewer'!#REF!,'2019 Sewer'!#REF!,'2019 Sewer'!#REF!,'2019 Sewer'!#REF!,'2019 Sewer'!#REF!,'2019 Sewer'!#REF!</definedName>
    <definedName name="QB_FORMULA_4" localSheetId="1" hidden="1">'2019 Water'!#REF!,'2019 Water'!$G$63,'2019 Water'!$H$63,'2019 Water'!#REF!,'2019 Water'!#REF!,'2019 Water'!#REF!,'2019 Water'!#REF!,'2019 Water'!#REF!,'2019 Water'!#REF!,'2019 Water'!$G$67,'2019 Water'!$H$67,'2019 Water'!#REF!,'2019 Water'!#REF!,'2019 Water'!#REF!,'2019 Water'!#REF!,'2019 Water'!#REF!</definedName>
    <definedName name="QB_FORMULA_5" localSheetId="2" hidden="1">'2019 Sewer'!#REF!,'2019 Sewer'!$H$78,'2019 Sewer'!$I$78,'2019 Sewer'!#REF!,'2019 Sewer'!#REF!,'2019 Sewer'!$H$79,'2019 Sewer'!$I$79,'2019 Sewer'!#REF!,'2019 Sewer'!#REF!,'2019 Sewer'!#REF!,'2019 Sewer'!#REF!,'2019 Sewer'!$H$82,'2019 Sewer'!$I$82,'2019 Sewer'!#REF!,'2019 Sewer'!#REF!,'2019 Sewer'!#REF!</definedName>
    <definedName name="QB_FORMULA_5" localSheetId="1" hidden="1">'2019 Water'!#REF!,'2019 Water'!#REF!,'2019 Water'!#REF!,'2019 Water'!#REF!,'2019 Water'!#REF!,'2019 Water'!$G$73,'2019 Water'!$H$73,'2019 Water'!#REF!,'2019 Water'!#REF!,'2019 Water'!$G$78,'2019 Water'!#REF!,'2019 Water'!#REF!,'2019 Water'!#REF!,'2019 Water'!#REF!,'2019 Water'!#REF!,'2019 Water'!#REF!</definedName>
    <definedName name="QB_FORMULA_6" localSheetId="2" hidden="1">'2019 Sewer'!#REF!,'2019 Sewer'!#REF!,'2019 Sewer'!#REF!,'2019 Sewer'!#REF!,'2019 Sewer'!#REF!,'2019 Sewer'!#REF!,'2019 Sewer'!#REF!,'2019 Sewer'!$H$89,'2019 Sewer'!$I$89,'2019 Sewer'!#REF!,'2019 Sewer'!#REF!,'2019 Sewer'!#REF!,'2019 Sewer'!#REF!,'2019 Sewer'!#REF!,'2019 Sewer'!#REF!,'2019 Sewer'!$H$93</definedName>
    <definedName name="QB_FORMULA_6" localSheetId="1" hidden="1">'2019 Water'!#REF!,'2019 Water'!#REF!,'2019 Water'!$G$84,'2019 Water'!$H$84,'2019 Water'!#REF!,'2019 Water'!#REF!,'2019 Water'!#REF!,'2019 Water'!#REF!,'2019 Water'!$G$89,'2019 Water'!$H$89,'2019 Water'!#REF!,'2019 Water'!#REF!,'2019 Water'!#REF!,'2019 Water'!#REF!,'2019 Water'!$G$93,'2019 Water'!$H$93</definedName>
    <definedName name="QB_FORMULA_7" localSheetId="2" hidden="1">'2019 Sewer'!$I$93,'2019 Sewer'!#REF!,'2019 Sewer'!#REF!,'2019 Sewer'!$H$96,'2019 Sewer'!#REF!,'2019 Sewer'!#REF!,'2019 Sewer'!$H$99,'2019 Sewer'!$I$99,'2019 Sewer'!#REF!,'2019 Sewer'!#REF!,'2019 Sewer'!$H$102,'2019 Sewer'!#REF!,'2019 Sewer'!#REF!,'2019 Sewer'!#REF!,'2019 Sewer'!#REF!,'2019 Sewer'!#REF!</definedName>
    <definedName name="QB_FORMULA_7" localSheetId="1" hidden="1">'2019 Water'!#REF!,'2019 Water'!#REF!,'2019 Water'!$G$94,'2019 Water'!$H$94,'2019 Water'!#REF!,'2019 Water'!#REF!,'2019 Water'!#REF!,'2019 Water'!#REF!,'2019 Water'!$G$97,'2019 Water'!$H$97,'2019 Water'!#REF!,'2019 Water'!#REF!,'2019 Water'!#REF!,'2019 Water'!#REF!,'2019 Water'!#REF!,'2019 Water'!#REF!</definedName>
    <definedName name="QB_FORMULA_8" localSheetId="2" hidden="1">'2019 Sewer'!#REF!,'2019 Sewer'!$H$107,'2019 Sewer'!$I$107,'2019 Sewer'!#REF!,'2019 Sewer'!#REF!,'2019 Sewer'!#REF!,'2019 Sewer'!#REF!,'2019 Sewer'!$H$110,'2019 Sewer'!$I$110,'2019 Sewer'!#REF!,'2019 Sewer'!#REF!,'2019 Sewer'!#REF!,'2019 Sewer'!#REF!,'2019 Sewer'!$H$113,'2019 Sewer'!$I$113,'2019 Sewer'!#REF!</definedName>
    <definedName name="QB_FORMULA_8" localSheetId="1" hidden="1">'2019 Water'!$G$106,'2019 Water'!$G$107,'2019 Water'!$H$107,'2019 Water'!#REF!,'2019 Water'!#REF!,'2019 Water'!#REF!,'2019 Water'!#REF!,'2019 Water'!#REF!,'2019 Water'!#REF!,'2019 Water'!$G$111,'2019 Water'!$H$111,'2019 Water'!#REF!,'2019 Water'!#REF!,'2019 Water'!$G$116,'2019 Water'!$G$119,'2019 Water'!$G$126</definedName>
    <definedName name="QB_FORMULA_9" localSheetId="2" hidden="1">'2019 Sewer'!#REF!,'2019 Sewer'!#REF!,'2019 Sewer'!#REF!,'2019 Sewer'!$H$116,'2019 Sewer'!$I$116,'2019 Sewer'!#REF!,'2019 Sewer'!#REF!,'2019 Sewer'!#REF!,'2019 Sewer'!#REF!,'2019 Sewer'!$H$120,'2019 Sewer'!$I$120,'2019 Sewer'!#REF!,'2019 Sewer'!#REF!,'2019 Sewer'!#REF!,'2019 Sewer'!#REF!,'2019 Sewer'!$H$123</definedName>
    <definedName name="QB_FORMULA_9" localSheetId="1" hidden="1">'2019 Water'!$G$129,'2019 Water'!#REF!,'2019 Water'!#REF!,'2019 Water'!#REF!,'2019 Water'!#REF!,'2019 Water'!$G$133,'2019 Water'!$H$133,'2019 Water'!#REF!,'2019 Water'!#REF!,'2019 Water'!$G$134,'2019 Water'!$H$134,'2019 Water'!#REF!,'2019 Water'!#REF!,'2019 Water'!#REF!,'2019 Water'!#REF!,'2019 Water'!$G$137</definedName>
    <definedName name="QB_ROW_100050" localSheetId="1" hidden="1">'2019 Water'!$E$85</definedName>
    <definedName name="QB_ROW_100350" localSheetId="1" hidden="1">'2019 Water'!$E$89</definedName>
    <definedName name="QB_ROW_101050" localSheetId="1" hidden="1">'2019 Water'!$E$90</definedName>
    <definedName name="QB_ROW_101350" localSheetId="1" hidden="1">'2019 Water'!$E$93</definedName>
    <definedName name="QB_ROW_102040" localSheetId="1" hidden="1">'2019 Water'!$D$95</definedName>
    <definedName name="QB_ROW_102340" localSheetId="1" hidden="1">'2019 Water'!$D$97</definedName>
    <definedName name="QB_ROW_104250" localSheetId="1" hidden="1">'2019 Water'!$E$96</definedName>
    <definedName name="QB_ROW_106040" localSheetId="1" hidden="1">'2019 Water'!$D$98</definedName>
    <definedName name="QB_ROW_106340" localSheetId="1" hidden="1">'2019 Water'!$D$107</definedName>
    <definedName name="QB_ROW_107250" localSheetId="1" hidden="1">'2019 Water'!$E$99</definedName>
    <definedName name="QB_ROW_108040" localSheetId="1" hidden="1">'2019 Water'!$D$108</definedName>
    <definedName name="QB_ROW_108340" localSheetId="1" hidden="1">'2019 Water'!$D$111</definedName>
    <definedName name="QB_ROW_109250" localSheetId="1" hidden="1">'2019 Water'!$E$109</definedName>
    <definedName name="QB_ROW_112040" localSheetId="1" hidden="1">'2019 Water'!$D$112</definedName>
    <definedName name="QB_ROW_112340" localSheetId="1" hidden="1">'2019 Water'!$D$134</definedName>
    <definedName name="QB_ROW_113050" localSheetId="1" hidden="1">'2019 Water'!$E$113</definedName>
    <definedName name="QB_ROW_113350" localSheetId="1" hidden="1">'2019 Water'!$E$116</definedName>
    <definedName name="QB_ROW_114040" localSheetId="1" hidden="1">'2019 Water'!$D$135</definedName>
    <definedName name="QB_ROW_114340" localSheetId="1" hidden="1">'2019 Water'!$D$137</definedName>
    <definedName name="QB_ROW_115250" localSheetId="1" hidden="1">'2019 Water'!$E$136</definedName>
    <definedName name="QB_ROW_121040" localSheetId="1" hidden="1">'2019 Water'!$D$138</definedName>
    <definedName name="QB_ROW_121340" localSheetId="1" hidden="1">'2019 Water'!$D$141</definedName>
    <definedName name="QB_ROW_122250" localSheetId="1" hidden="1">'2019 Water'!$E$139</definedName>
    <definedName name="QB_ROW_123250" localSheetId="1" hidden="1">'2019 Water'!$E$140</definedName>
    <definedName name="QB_ROW_124040" localSheetId="1" hidden="1">'2019 Water'!$D$142</definedName>
    <definedName name="QB_ROW_124340" localSheetId="1" hidden="1">'2019 Water'!$D$144</definedName>
    <definedName name="QB_ROW_125250" localSheetId="1" hidden="1">'2019 Water'!$E$143</definedName>
    <definedName name="QB_ROW_126040" localSheetId="1" hidden="1">'2019 Water'!$D$145</definedName>
    <definedName name="QB_ROW_126340" localSheetId="1" hidden="1">'2019 Water'!$D$147</definedName>
    <definedName name="QB_ROW_127250" localSheetId="1" hidden="1">'2019 Water'!$E$146</definedName>
    <definedName name="QB_ROW_128040" localSheetId="1" hidden="1">'2019 Water'!$D$151</definedName>
    <definedName name="QB_ROW_128340" localSheetId="1" hidden="1">'2019 Water'!$D$153</definedName>
    <definedName name="QB_ROW_129250" localSheetId="1" hidden="1">'2019 Water'!$E$149</definedName>
    <definedName name="QB_ROW_130040" localSheetId="1" hidden="1">'2019 Water'!$D$154</definedName>
    <definedName name="QB_ROW_130340" localSheetId="1" hidden="1">'2019 Water'!$D$156</definedName>
    <definedName name="QB_ROW_131250" localSheetId="1" hidden="1">'2019 Water'!$E$155</definedName>
    <definedName name="QB_ROW_134040" localSheetId="1" hidden="1">'2019 Water'!$D$157</definedName>
    <definedName name="QB_ROW_134340" localSheetId="1" hidden="1">'2019 Water'!$D$160</definedName>
    <definedName name="QB_ROW_135250" localSheetId="1" hidden="1">'2019 Water'!$E$159</definedName>
    <definedName name="QB_ROW_138040" localSheetId="1" hidden="1">'2019 Water'!$D$161</definedName>
    <definedName name="QB_ROW_138340" localSheetId="1" hidden="1">'2019 Water'!$D$167</definedName>
    <definedName name="QB_ROW_139250" localSheetId="1" hidden="1">'2019 Water'!#REF!</definedName>
    <definedName name="QB_ROW_140250" localSheetId="1" hidden="1">'2019 Water'!$E$162</definedName>
    <definedName name="QB_ROW_141250" localSheetId="1" hidden="1">'2019 Water'!#REF!</definedName>
    <definedName name="QB_ROW_142250" localSheetId="1" hidden="1">'2019 Water'!#REF!</definedName>
    <definedName name="QB_ROW_143250" localSheetId="1" hidden="1">'2019 Water'!#REF!</definedName>
    <definedName name="QB_ROW_145250" localSheetId="1" hidden="1">'2019 Water'!$E$164</definedName>
    <definedName name="QB_ROW_146250" localSheetId="1" hidden="1">'2019 Water'!$E$165</definedName>
    <definedName name="QB_ROW_18301" localSheetId="2" hidden="1">'2019 Sewer'!$A$134</definedName>
    <definedName name="QB_ROW_18301" localSheetId="1" hidden="1">'2019 Water'!#REF!</definedName>
    <definedName name="QB_ROW_19011" localSheetId="2" hidden="1">'2019 Sewer'!$A$3</definedName>
    <definedName name="QB_ROW_19011" localSheetId="1" hidden="1">'2019 Water'!$A$3</definedName>
    <definedName name="QB_ROW_19311" localSheetId="2" hidden="1">'2019 Sewer'!#REF!</definedName>
    <definedName name="QB_ROW_19311" localSheetId="1" hidden="1">'2019 Water'!$A$170</definedName>
    <definedName name="QB_ROW_20021" localSheetId="2" hidden="1">'2019 Sewer'!$B$4</definedName>
    <definedName name="QB_ROW_20021" localSheetId="1" hidden="1">'2019 Water'!$B$4</definedName>
    <definedName name="QB_ROW_20321" localSheetId="2" hidden="1">'2019 Sewer'!$B$12</definedName>
    <definedName name="QB_ROW_20321" localSheetId="1" hidden="1">'2019 Water'!$B$17</definedName>
    <definedName name="QB_ROW_21021" localSheetId="2" hidden="1">'2019 Sewer'!$B$14</definedName>
    <definedName name="QB_ROW_21021" localSheetId="1" hidden="1">'2019 Water'!$B$18</definedName>
    <definedName name="QB_ROW_21321" localSheetId="2" hidden="1">'2019 Sewer'!$B$133</definedName>
    <definedName name="QB_ROW_21321" localSheetId="1" hidden="1">'2019 Water'!$B$169</definedName>
    <definedName name="QB_ROW_220030" localSheetId="1" hidden="1">'2019 Water'!$D$20</definedName>
    <definedName name="QB_ROW_220330" localSheetId="1" hidden="1">'2019 Water'!$D$23</definedName>
    <definedName name="QB_ROW_222240" localSheetId="1" hidden="1">'2019 Water'!$E$21</definedName>
    <definedName name="QB_ROW_250040" localSheetId="2" hidden="1">'2019 Sewer'!$D$19</definedName>
    <definedName name="QB_ROW_250340" localSheetId="2" hidden="1">'2019 Sewer'!$D$23</definedName>
    <definedName name="QB_ROW_251040" localSheetId="2" hidden="1">'2019 Sewer'!$D$24</definedName>
    <definedName name="QB_ROW_251340" localSheetId="2" hidden="1">'2019 Sewer'!$D$26</definedName>
    <definedName name="QB_ROW_282260" localSheetId="1" hidden="1">'2019 Water'!$F$54</definedName>
    <definedName name="QB_ROW_283260" localSheetId="1" hidden="1">'2019 Water'!$F$58</definedName>
    <definedName name="QB_ROW_284260" localSheetId="1" hidden="1">'2019 Water'!$F$59</definedName>
    <definedName name="QB_ROW_285260" localSheetId="1" hidden="1">'2019 Water'!$F$60</definedName>
    <definedName name="QB_ROW_286260" localSheetId="1" hidden="1">'2019 Water'!$F$61</definedName>
    <definedName name="QB_ROW_288260" localSheetId="1" hidden="1">'2019 Water'!$F$65</definedName>
    <definedName name="QB_ROW_289260" localSheetId="1" hidden="1">'2019 Water'!$F$69</definedName>
    <definedName name="QB_ROW_290260" localSheetId="1" hidden="1">'2019 Water'!$F$70</definedName>
    <definedName name="QB_ROW_291260" localSheetId="1" hidden="1">'2019 Water'!$F$66</definedName>
    <definedName name="QB_ROW_292260" localSheetId="1" hidden="1">'2019 Water'!$F$71</definedName>
    <definedName name="QB_ROW_294260" localSheetId="1" hidden="1">'2019 Water'!$F$76</definedName>
    <definedName name="QB_ROW_295260" localSheetId="1" hidden="1">'2019 Water'!$F$80</definedName>
    <definedName name="QB_ROW_296260" localSheetId="1" hidden="1">'2019 Water'!$F$81</definedName>
    <definedName name="QB_ROW_297260" localSheetId="1" hidden="1">'2019 Water'!$F$82</definedName>
    <definedName name="QB_ROW_301250" localSheetId="1" hidden="1">'2019 Water'!$E$101</definedName>
    <definedName name="QB_ROW_302050" localSheetId="1" hidden="1">'2019 Water'!$E$102</definedName>
    <definedName name="QB_ROW_302260" localSheetId="1" hidden="1">'2019 Water'!$F$105</definedName>
    <definedName name="QB_ROW_302350" localSheetId="1" hidden="1">'2019 Water'!$E$106</definedName>
    <definedName name="QB_ROW_303250" localSheetId="1" hidden="1">'2019 Water'!$E$110</definedName>
    <definedName name="QB_ROW_305260" localSheetId="1" hidden="1">'2019 Water'!$F$114</definedName>
    <definedName name="QB_ROW_306260" localSheetId="1" hidden="1">'2019 Water'!$F$115</definedName>
    <definedName name="QB_ROW_308050" localSheetId="1" hidden="1">'2019 Water'!$E$117</definedName>
    <definedName name="QB_ROW_308350" localSheetId="1" hidden="1">'2019 Water'!$E$119</definedName>
    <definedName name="QB_ROW_310260" localSheetId="1" hidden="1">'2019 Water'!$F$118</definedName>
    <definedName name="QB_ROW_31030" localSheetId="1" hidden="1">'2019 Water'!$C$5</definedName>
    <definedName name="QB_ROW_312050" localSheetId="1" hidden="1">'2019 Water'!$E$120</definedName>
    <definedName name="QB_ROW_312350" localSheetId="1" hidden="1">'2019 Water'!$E$126</definedName>
    <definedName name="QB_ROW_31330" localSheetId="1" hidden="1">'2019 Water'!$C$16</definedName>
    <definedName name="QB_ROW_315260" localSheetId="1" hidden="1">'2019 Water'!$F$123</definedName>
    <definedName name="QB_ROW_317050" localSheetId="1" hidden="1">'2019 Water'!$E$127</definedName>
    <definedName name="QB_ROW_317350" localSheetId="1" hidden="1">'2019 Water'!$E$129</definedName>
    <definedName name="QB_ROW_321260" localSheetId="1" hidden="1">'2019 Water'!$F$128</definedName>
    <definedName name="QB_ROW_332250" localSheetId="1" hidden="1">'2019 Water'!$E$152</definedName>
    <definedName name="QB_ROW_333040" localSheetId="1" hidden="1">'2019 Water'!$D$148</definedName>
    <definedName name="QB_ROW_333340" localSheetId="1" hidden="1">'2019 Water'!$D$150</definedName>
    <definedName name="QB_ROW_334250" localSheetId="1" hidden="1">'2019 Water'!$E$158</definedName>
    <definedName name="QB_ROW_340260" localSheetId="1" hidden="1">'2019 Water'!$F$62</definedName>
    <definedName name="QB_ROW_34040" localSheetId="1" hidden="1">'2019 Water'!$D$6</definedName>
    <definedName name="QB_ROW_341260" localSheetId="1" hidden="1">'2019 Water'!$F$72</definedName>
    <definedName name="QB_ROW_342260" localSheetId="1" hidden="1">'2019 Water'!$F$77</definedName>
    <definedName name="QB_ROW_34340" localSheetId="1" hidden="1">'2019 Water'!$D$11</definedName>
    <definedName name="QB_ROW_349050" localSheetId="1" hidden="1">'2019 Water'!$E$130</definedName>
    <definedName name="QB_ROW_349350" localSheetId="1" hidden="1">'2019 Water'!$E$133</definedName>
    <definedName name="QB_ROW_350260" localSheetId="1" hidden="1">'2019 Water'!$F$131</definedName>
    <definedName name="QB_ROW_351260" localSheetId="1" hidden="1">'2019 Water'!$F$132</definedName>
    <definedName name="QB_ROW_35250" localSheetId="1" hidden="1">'2019 Water'!$E$8</definedName>
    <definedName name="QB_ROW_360260" localSheetId="1" hidden="1">'2019 Water'!$F$83</definedName>
    <definedName name="QB_ROW_362250" localSheetId="1" hidden="1">'2019 Water'!$E$42</definedName>
    <definedName name="QB_ROW_36250" localSheetId="1" hidden="1">'2019 Water'!$E$9</definedName>
    <definedName name="QB_ROW_363030" localSheetId="2" hidden="1">'2019 Sewer'!$C$5</definedName>
    <definedName name="QB_ROW_363330" localSheetId="2" hidden="1">'2019 Sewer'!$C$11</definedName>
    <definedName name="QB_ROW_364030" localSheetId="2" hidden="1">'2019 Sewer'!$C$15</definedName>
    <definedName name="QB_ROW_364240" localSheetId="2" hidden="1">'2019 Sewer'!$D$131</definedName>
    <definedName name="QB_ROW_364330" localSheetId="2" hidden="1">'2019 Sewer'!$C$132</definedName>
    <definedName name="QB_ROW_365250" localSheetId="2" hidden="1">'2019 Sewer'!$E$20</definedName>
    <definedName name="QB_ROW_366250" localSheetId="2" hidden="1">'2019 Sewer'!$E$21</definedName>
    <definedName name="QB_ROW_367250" localSheetId="2" hidden="1">'2019 Sewer'!$E$22</definedName>
    <definedName name="QB_ROW_368040" localSheetId="2" hidden="1">'2019 Sewer'!$D$27</definedName>
    <definedName name="QB_ROW_368340" localSheetId="2" hidden="1">'2019 Sewer'!$D$29</definedName>
    <definedName name="QB_ROW_37250" localSheetId="1" hidden="1">'2019 Water'!#REF!</definedName>
    <definedName name="QB_ROW_377040" localSheetId="2" hidden="1">'2019 Sewer'!$D$31</definedName>
    <definedName name="QB_ROW_377340" localSheetId="2" hidden="1">'2019 Sewer'!$D$34</definedName>
    <definedName name="QB_ROW_378250" localSheetId="2" hidden="1">'2019 Sewer'!$E$32</definedName>
    <definedName name="QB_ROW_379250" localSheetId="2" hidden="1">'2019 Sewer'!$E$33</definedName>
    <definedName name="QB_ROW_380250" localSheetId="2" hidden="1">'2019 Sewer'!#REF!</definedName>
    <definedName name="QB_ROW_381040" localSheetId="2" hidden="1">'2019 Sewer'!$D$35</definedName>
    <definedName name="QB_ROW_381340" localSheetId="2" hidden="1">'2019 Sewer'!$D$37</definedName>
    <definedName name="QB_ROW_38250" localSheetId="1" hidden="1">'2019 Water'!$E$10</definedName>
    <definedName name="QB_ROW_384250" localSheetId="2" hidden="1">'2019 Sewer'!$E$36</definedName>
    <definedName name="QB_ROW_387040" localSheetId="2" hidden="1">'2019 Sewer'!$D$38</definedName>
    <definedName name="QB_ROW_387340" localSheetId="2" hidden="1">'2019 Sewer'!$D$79</definedName>
    <definedName name="QB_ROW_39040" localSheetId="1" hidden="1">'2019 Water'!$D$12</definedName>
    <definedName name="QB_ROW_391050" localSheetId="2" hidden="1">'2019 Sewer'!$E$43</definedName>
    <definedName name="QB_ROW_391350" localSheetId="2" hidden="1">'2019 Sewer'!$E$45</definedName>
    <definedName name="QB_ROW_39340" localSheetId="1" hidden="1">'2019 Water'!$D$15</definedName>
    <definedName name="QB_ROW_394050" localSheetId="2" hidden="1">'2019 Sewer'!$E$46</definedName>
    <definedName name="QB_ROW_394350" localSheetId="2" hidden="1">'2019 Sewer'!$E$51</definedName>
    <definedName name="QB_ROW_396260" localSheetId="2" hidden="1">'2019 Sewer'!$F$47</definedName>
    <definedName name="QB_ROW_397050" localSheetId="2" hidden="1">'2019 Sewer'!$E$52</definedName>
    <definedName name="QB_ROW_397350" localSheetId="2" hidden="1">'2019 Sewer'!$E$62</definedName>
    <definedName name="QB_ROW_400260" localSheetId="2" hidden="1">'2019 Sewer'!$F$53</definedName>
    <definedName name="QB_ROW_401260" localSheetId="2" hidden="1">'2019 Sewer'!$F$54</definedName>
    <definedName name="QB_ROW_402260" localSheetId="2" hidden="1">'2019 Sewer'!$F$55</definedName>
    <definedName name="QB_ROW_40250" localSheetId="1" hidden="1">'2019 Water'!$E$13</definedName>
    <definedName name="QB_ROW_403050" localSheetId="2" hidden="1">'2019 Sewer'!$E$63</definedName>
    <definedName name="QB_ROW_403350" localSheetId="2" hidden="1">'2019 Sewer'!$E$65</definedName>
    <definedName name="QB_ROW_406050" localSheetId="2" hidden="1">'2019 Sewer'!$E$66</definedName>
    <definedName name="QB_ROW_406350" localSheetId="2" hidden="1">'2019 Sewer'!$E$70</definedName>
    <definedName name="QB_ROW_409260" localSheetId="2" hidden="1">'2019 Sewer'!$F$67</definedName>
    <definedName name="QB_ROW_410260" localSheetId="2" hidden="1">'2019 Sewer'!$F$68</definedName>
    <definedName name="QB_ROW_411040" localSheetId="2" hidden="1">'2019 Sewer'!$D$80</definedName>
    <definedName name="QB_ROW_411340" localSheetId="2" hidden="1">'2019 Sewer'!$D$82</definedName>
    <definedName name="QB_ROW_41250" localSheetId="1" hidden="1">'2019 Water'!$E$14</definedName>
    <definedName name="QB_ROW_413250" localSheetId="2" hidden="1">'2019 Sewer'!$E$81</definedName>
    <definedName name="QB_ROW_415040" localSheetId="2" hidden="1">'2019 Sewer'!$D$83</definedName>
    <definedName name="QB_ROW_415340" localSheetId="2" hidden="1">'2019 Sewer'!$D$89</definedName>
    <definedName name="QB_ROW_416250" localSheetId="2" hidden="1">'2019 Sewer'!$E$84</definedName>
    <definedName name="QB_ROW_419250" localSheetId="2" hidden="1">'2019 Sewer'!$E$85</definedName>
    <definedName name="QB_ROW_421040" localSheetId="2" hidden="1">'2019 Sewer'!$D$90</definedName>
    <definedName name="QB_ROW_421340" localSheetId="2" hidden="1">'2019 Sewer'!$D$93</definedName>
    <definedName name="QB_ROW_422250" localSheetId="2" hidden="1">'2019 Sewer'!$E$91</definedName>
    <definedName name="QB_ROW_423250" localSheetId="2" hidden="1">'2019 Sewer'!$E$92</definedName>
    <definedName name="QB_ROW_427040" localSheetId="2" hidden="1">'2019 Sewer'!$D$94</definedName>
    <definedName name="QB_ROW_427340" localSheetId="2" hidden="1">'2019 Sewer'!$D$96</definedName>
    <definedName name="QB_ROW_429250" localSheetId="2" hidden="1">'2019 Sewer'!$E$95</definedName>
    <definedName name="QB_ROW_443040" localSheetId="2" hidden="1">'2019 Sewer'!$D$97</definedName>
    <definedName name="QB_ROW_443340" localSheetId="2" hidden="1">'2019 Sewer'!$D$99</definedName>
    <definedName name="QB_ROW_444040" localSheetId="2" hidden="1">'2019 Sewer'!$D$100</definedName>
    <definedName name="QB_ROW_444340" localSheetId="2" hidden="1">'2019 Sewer'!$D$102</definedName>
    <definedName name="QB_ROW_445040" localSheetId="2" hidden="1">'2019 Sewer'!$D$103</definedName>
    <definedName name="QB_ROW_445340" localSheetId="2" hidden="1">'2019 Sewer'!$D$107</definedName>
    <definedName name="QB_ROW_446250" localSheetId="2" hidden="1">'2019 Sewer'!$E$104</definedName>
    <definedName name="QB_ROW_447250" localSheetId="2" hidden="1">'2019 Sewer'!$E$105</definedName>
    <definedName name="QB_ROW_448250" localSheetId="2" hidden="1">'2019 Sewer'!$E$106</definedName>
    <definedName name="QB_ROW_449040" localSheetId="2" hidden="1">'2019 Sewer'!$D$108</definedName>
    <definedName name="QB_ROW_449340" localSheetId="2" hidden="1">'2019 Sewer'!$D$110</definedName>
    <definedName name="QB_ROW_450040" localSheetId="2" hidden="1">'2019 Sewer'!$D$111</definedName>
    <definedName name="QB_ROW_450340" localSheetId="2" hidden="1">'2019 Sewer'!$D$113</definedName>
    <definedName name="QB_ROW_451250" localSheetId="2" hidden="1">'2019 Sewer'!$E$112</definedName>
    <definedName name="QB_ROW_453040" localSheetId="2" hidden="1">'2019 Sewer'!$D$114</definedName>
    <definedName name="QB_ROW_453340" localSheetId="2" hidden="1">'2019 Sewer'!$D$116</definedName>
    <definedName name="QB_ROW_454040" localSheetId="2" hidden="1">'2019 Sewer'!$D$117</definedName>
    <definedName name="QB_ROW_454340" localSheetId="2" hidden="1">'2019 Sewer'!$D$120</definedName>
    <definedName name="QB_ROW_455040" localSheetId="2" hidden="1">'2019 Sewer'!$D$121</definedName>
    <definedName name="QB_ROW_455340" localSheetId="2" hidden="1">'2019 Sewer'!$D$123</definedName>
    <definedName name="QB_ROW_459040" localSheetId="2" hidden="1">'2019 Sewer'!$D$124</definedName>
    <definedName name="QB_ROW_459340" localSheetId="2" hidden="1">'2019 Sewer'!$D$130</definedName>
    <definedName name="QB_ROW_460260" localSheetId="2" hidden="1">'2019 Sewer'!$F$75</definedName>
    <definedName name="QB_ROW_461260" localSheetId="2" hidden="1">'2019 Sewer'!$F$76</definedName>
    <definedName name="QB_ROW_462260" localSheetId="2" hidden="1">'2019 Sewer'!$F$77</definedName>
    <definedName name="QB_ROW_465250" localSheetId="2" hidden="1">'2019 Sewer'!$E$126</definedName>
    <definedName name="QB_ROW_466250" localSheetId="2" hidden="1">'2019 Sewer'!$E$127</definedName>
    <definedName name="QB_ROW_467030" localSheetId="1" hidden="1">'2019 Water'!$C$19</definedName>
    <definedName name="QB_ROW_467330" localSheetId="1" hidden="1">'2019 Water'!$C$168</definedName>
    <definedName name="QB_ROW_468050" localSheetId="1" hidden="1">'2019 Water'!$E$25</definedName>
    <definedName name="QB_ROW_468350" localSheetId="1" hidden="1">'2019 Water'!$E$29</definedName>
    <definedName name="QB_ROW_469050" localSheetId="1" hidden="1">'2019 Water'!$E$30</definedName>
    <definedName name="QB_ROW_469350" localSheetId="1" hidden="1">'2019 Water'!$E$34</definedName>
    <definedName name="QB_ROW_470260" localSheetId="1" hidden="1">'2019 Water'!$F$31</definedName>
    <definedName name="QB_ROW_471260" localSheetId="1" hidden="1">'2019 Water'!$F$32</definedName>
    <definedName name="QB_ROW_472260" localSheetId="1" hidden="1">'2019 Water'!$F$26</definedName>
    <definedName name="QB_ROW_473260" localSheetId="1" hidden="1">'2019 Water'!$F$27</definedName>
    <definedName name="QB_ROW_474260" localSheetId="1" hidden="1">'2019 Water'!$F$28</definedName>
    <definedName name="QB_ROW_475260" localSheetId="1" hidden="1">'2019 Water'!$F$33</definedName>
    <definedName name="QB_ROW_476250" localSheetId="1" hidden="1">'2019 Water'!$E$37</definedName>
    <definedName name="QB_ROW_478260" localSheetId="1" hidden="1">'2019 Water'!$F$86</definedName>
    <definedName name="QB_ROW_479260" localSheetId="1" hidden="1">'2019 Water'!$F$87</definedName>
    <definedName name="QB_ROW_480260" localSheetId="1" hidden="1">'2019 Water'!$F$88</definedName>
    <definedName name="QB_ROW_483260" localSheetId="1" hidden="1">'2019 Water'!$F$91</definedName>
    <definedName name="QB_ROW_484260" localSheetId="1" hidden="1">'2019 Water'!$F$103</definedName>
    <definedName name="QB_ROW_485260" localSheetId="1" hidden="1">'2019 Water'!$F$104</definedName>
    <definedName name="QB_ROW_486230" localSheetId="1" hidden="1">'2019 Water'!#REF!</definedName>
    <definedName name="QB_ROW_487240" localSheetId="1" hidden="1">'2019 Water'!#REF!</definedName>
    <definedName name="QB_ROW_491240" localSheetId="1" hidden="1">'2019 Water'!#REF!</definedName>
    <definedName name="QB_ROW_494240" localSheetId="1" hidden="1">'2019 Water'!$E$22</definedName>
    <definedName name="QB_ROW_495260" localSheetId="1" hidden="1">'2019 Water'!$F$92</definedName>
    <definedName name="QB_ROW_496260" localSheetId="1" hidden="1">'2019 Water'!$F$55</definedName>
    <definedName name="QB_ROW_497250" localSheetId="2" hidden="1">'2019 Sewer'!$E$25</definedName>
    <definedName name="QB_ROW_498250" localSheetId="2" hidden="1">'2019 Sewer'!$E$28</definedName>
    <definedName name="QB_ROW_500260" localSheetId="2" hidden="1">'2019 Sewer'!$F$44</definedName>
    <definedName name="QB_ROW_501260" localSheetId="2" hidden="1">'2019 Sewer'!$F$48</definedName>
    <definedName name="QB_ROW_502260" localSheetId="2" hidden="1">'2019 Sewer'!$F$64</definedName>
    <definedName name="QB_ROW_503060" localSheetId="2" hidden="1">'2019 Sewer'!#REF!</definedName>
    <definedName name="QB_ROW_503270" localSheetId="2" hidden="1">'2019 Sewer'!#REF!</definedName>
    <definedName name="QB_ROW_503360" localSheetId="2" hidden="1">'2019 Sewer'!#REF!</definedName>
    <definedName name="QB_ROW_504270" localSheetId="2" hidden="1">'2019 Sewer'!#REF!</definedName>
    <definedName name="QB_ROW_505250" localSheetId="2" hidden="1">'2019 Sewer'!$E$86</definedName>
    <definedName name="QB_ROW_506250" localSheetId="2" hidden="1">'2019 Sewer'!$E$87</definedName>
    <definedName name="QB_ROW_507250" localSheetId="2" hidden="1">'2019 Sewer'!$E$98</definedName>
    <definedName name="QB_ROW_508250" localSheetId="2" hidden="1">'2019 Sewer'!$E$101</definedName>
    <definedName name="QB_ROW_510250" localSheetId="2" hidden="1">'2019 Sewer'!$E$109</definedName>
    <definedName name="QB_ROW_511250" localSheetId="2" hidden="1">'2019 Sewer'!$E$115</definedName>
    <definedName name="QB_ROW_512250" localSheetId="2" hidden="1">'2019 Sewer'!$E$118</definedName>
    <definedName name="QB_ROW_513250" localSheetId="2" hidden="1">'2019 Sewer'!$E$119</definedName>
    <definedName name="QB_ROW_514250" localSheetId="2" hidden="1">'2019 Sewer'!$E$122</definedName>
    <definedName name="QB_ROW_515050" localSheetId="2" hidden="1">'2019 Sewer'!$E$74</definedName>
    <definedName name="QB_ROW_515350" localSheetId="2" hidden="1">'2019 Sewer'!$E$78</definedName>
    <definedName name="QB_ROW_53030" localSheetId="1" hidden="1">'2019 Water'!#REF!</definedName>
    <definedName name="QB_ROW_53330" localSheetId="1" hidden="1">'2019 Water'!#REF!</definedName>
    <definedName name="QB_ROW_535260" localSheetId="2" hidden="1">'2019 Sewer'!$F$56</definedName>
    <definedName name="QB_ROW_536260" localSheetId="2" hidden="1">'2019 Sewer'!$F$69</definedName>
    <definedName name="QB_ROW_537270" localSheetId="2" hidden="1">'2019 Sewer'!#REF!</definedName>
    <definedName name="QB_ROW_538050" localSheetId="2" hidden="1">'2019 Sewer'!$E$71</definedName>
    <definedName name="QB_ROW_538350" localSheetId="2" hidden="1">'2019 Sewer'!$E$73</definedName>
    <definedName name="QB_ROW_539260" localSheetId="2" hidden="1">'2019 Sewer'!$F$72</definedName>
    <definedName name="QB_ROW_545250" localSheetId="2" hidden="1">'2019 Sewer'!$E$88</definedName>
    <definedName name="QB_ROW_546260" localSheetId="2" hidden="1">'2019 Sewer'!$F$61</definedName>
    <definedName name="QB_ROW_547030" localSheetId="2" hidden="1">'2019 Sewer'!#REF!</definedName>
    <definedName name="QB_ROW_547330" localSheetId="2" hidden="1">'2019 Sewer'!#REF!</definedName>
    <definedName name="QB_ROW_548240" localSheetId="2" hidden="1">'2019 Sewer'!#REF!</definedName>
    <definedName name="QB_ROW_549250" localSheetId="2" hidden="1">'2019 Sewer'!$E$128</definedName>
    <definedName name="QB_ROW_550250" localSheetId="2" hidden="1">'2019 Sewer'!$E$129</definedName>
    <definedName name="QB_ROW_551260" localSheetId="2" hidden="1">'2019 Sewer'!$F$50</definedName>
    <definedName name="QB_ROW_552040" localSheetId="2" hidden="1">'2019 Sewer'!$D$6</definedName>
    <definedName name="QB_ROW_552340" localSheetId="2" hidden="1">'2019 Sewer'!$D$10</definedName>
    <definedName name="QB_ROW_553250" localSheetId="2" hidden="1">'2019 Sewer'!$E$7</definedName>
    <definedName name="QB_ROW_554250" localSheetId="2" hidden="1">'2019 Sewer'!$E$8</definedName>
    <definedName name="QB_ROW_555250" localSheetId="2" hidden="1">'2019 Sewer'!$E$9</definedName>
    <definedName name="QB_ROW_556230" localSheetId="2" hidden="1">'2019 Sewer'!#REF!</definedName>
    <definedName name="QB_ROW_576030" localSheetId="2" hidden="1">'2019 Sewer'!#REF!</definedName>
    <definedName name="QB_ROW_576330" localSheetId="2" hidden="1">'2019 Sewer'!#REF!</definedName>
    <definedName name="QB_ROW_577240" localSheetId="2" hidden="1">'2019 Sewer'!#REF!</definedName>
    <definedName name="QB_ROW_590250" localSheetId="1" hidden="1">'2019 Water'!$E$166</definedName>
    <definedName name="QB_ROW_59040" localSheetId="1" hidden="1">'2019 Water'!$D$24</definedName>
    <definedName name="QB_ROW_59340" localSheetId="1" hidden="1">'2019 Water'!$D$35</definedName>
    <definedName name="QB_ROW_68040" localSheetId="1" hidden="1">'2019 Water'!$D$36</definedName>
    <definedName name="QB_ROW_68340" localSheetId="1" hidden="1">'2019 Water'!$D$38</definedName>
    <definedName name="QB_ROW_70040" localSheetId="1" hidden="1">'2019 Water'!$D$39</definedName>
    <definedName name="QB_ROW_70340" localSheetId="1" hidden="1">'2019 Water'!$D$43</definedName>
    <definedName name="QB_ROW_81040" localSheetId="1" hidden="1">'2019 Water'!$D$44</definedName>
    <definedName name="QB_ROW_81340" localSheetId="1" hidden="1">'2019 Water'!$D$48</definedName>
    <definedName name="QB_ROW_82250" localSheetId="1" hidden="1">'2019 Water'!$E$45</definedName>
    <definedName name="QB_ROW_83250" localSheetId="1" hidden="1">'2019 Water'!$E$46</definedName>
    <definedName name="QB_ROW_84250" localSheetId="1" hidden="1">'2019 Water'!$E$47</definedName>
    <definedName name="QB_ROW_86040" localSheetId="1" hidden="1">'2019 Water'!$D$49</definedName>
    <definedName name="QB_ROW_86340" localSheetId="1" hidden="1">'2019 Water'!$D$51</definedName>
    <definedName name="QB_ROW_89250" localSheetId="1" hidden="1">'2019 Water'!$E$50</definedName>
    <definedName name="QB_ROW_93040" localSheetId="1" hidden="1">'2019 Water'!$D$52</definedName>
    <definedName name="QB_ROW_93340" localSheetId="1" hidden="1">'2019 Water'!$D$94</definedName>
    <definedName name="QB_ROW_94050" localSheetId="1" hidden="1">'2019 Water'!$E$53</definedName>
    <definedName name="QB_ROW_94350" localSheetId="1" hidden="1">'2019 Water'!$E$56</definedName>
    <definedName name="QB_ROW_95050" localSheetId="1" hidden="1">'2019 Water'!$E$57</definedName>
    <definedName name="QB_ROW_95350" localSheetId="1" hidden="1">'2019 Water'!$E$63</definedName>
    <definedName name="QB_ROW_96050" localSheetId="1" hidden="1">'2019 Water'!$E$64</definedName>
    <definedName name="QB_ROW_96350" localSheetId="1" hidden="1">'2019 Water'!$E$67</definedName>
    <definedName name="QB_ROW_97050" localSheetId="1" hidden="1">'2019 Water'!$E$68</definedName>
    <definedName name="QB_ROW_97350" localSheetId="1" hidden="1">'2019 Water'!$E$73</definedName>
    <definedName name="QB_ROW_98050" localSheetId="1" hidden="1">'2019 Water'!$E$74</definedName>
    <definedName name="QB_ROW_98350" localSheetId="1" hidden="1">'2019 Water'!$E$78</definedName>
    <definedName name="QB_ROW_99050" localSheetId="1" hidden="1">'2019 Water'!$E$79</definedName>
    <definedName name="QB_ROW_99350" localSheetId="1" hidden="1">'2019 Water'!$E$84</definedName>
    <definedName name="QBCANSUPPORTUPDATE" localSheetId="2">TRUE</definedName>
    <definedName name="QBCANSUPPORTUPDATE" localSheetId="1">TRUE</definedName>
    <definedName name="QBCOMPANYFILENAME" localSheetId="2">"C:\Users\Jim\Documents\Quickbooks\Southwest Harbor Water &amp; Sewer District 1.qbw"</definedName>
    <definedName name="QBCOMPANYFILENAME" localSheetId="1">"C:\Users\Jim\Documents\Quickbooks\Southwest Harbor Water &amp; Sewer District 1.qbw"</definedName>
    <definedName name="QBENDDATE" localSheetId="2">20171231</definedName>
    <definedName name="QBENDDATE" localSheetId="1">20171231</definedName>
    <definedName name="QBHEADERSONSCREEN" localSheetId="2">FALSE</definedName>
    <definedName name="QBHEADERSONSCREEN" localSheetId="1">FALSE</definedName>
    <definedName name="QBMETADATASIZE" localSheetId="2">6335</definedName>
    <definedName name="QBMETADATASIZE" localSheetId="1">6531</definedName>
    <definedName name="QBPRESERVECOLOR" localSheetId="2">TRUE</definedName>
    <definedName name="QBPRESERVECOLOR" localSheetId="1">TRUE</definedName>
    <definedName name="QBPRESERVEFONT" localSheetId="2">TRUE</definedName>
    <definedName name="QBPRESERVEFONT" localSheetId="1">TRUE</definedName>
    <definedName name="QBPRESERVEROWHEIGHT" localSheetId="2">TRUE</definedName>
    <definedName name="QBPRESERVEROWHEIGHT" localSheetId="1">TRUE</definedName>
    <definedName name="QBPRESERVESPACE" localSheetId="2">TRUE</definedName>
    <definedName name="QBPRESERVESPACE" localSheetId="1">TRUE</definedName>
    <definedName name="QBREPORTCOLAXIS" localSheetId="2">8</definedName>
    <definedName name="QBREPORTCOLAXIS" localSheetId="1">0</definedName>
    <definedName name="QBREPORTCOMPANYID" localSheetId="2">"86bfcdc18c6c42f0b2713da7e1312071"</definedName>
    <definedName name="QBREPORTCOMPANYID" localSheetId="1">"86bfcdc18c6c42f0b2713da7e1312071"</definedName>
    <definedName name="QBREPORTCOMPARECOL_ANNUALBUDGET" localSheetId="2">FALSE</definedName>
    <definedName name="QBREPORTCOMPARECOL_ANNUALBUDGET" localSheetId="1">FALSE</definedName>
    <definedName name="QBREPORTCOMPARECOL_AVGCOGS" localSheetId="2">FALSE</definedName>
    <definedName name="QBREPORTCOMPARECOL_AVGCOGS" localSheetId="1">FALSE</definedName>
    <definedName name="QBREPORTCOMPARECOL_AVGPRICE" localSheetId="2">FALSE</definedName>
    <definedName name="QBREPORTCOMPARECOL_AVGPRICE" localSheetId="1">FALSE</definedName>
    <definedName name="QBREPORTCOMPARECOL_BUDDIFF" localSheetId="2">TRUE</definedName>
    <definedName name="QBREPORTCOMPARECOL_BUDDIFF" localSheetId="1">TRUE</definedName>
    <definedName name="QBREPORTCOMPARECOL_BUDGET" localSheetId="2">TRUE</definedName>
    <definedName name="QBREPORTCOMPARECOL_BUDGET" localSheetId="1">TRUE</definedName>
    <definedName name="QBREPORTCOMPARECOL_BUDPCT" localSheetId="2">TRUE</definedName>
    <definedName name="QBREPORTCOMPARECOL_BUDPCT" localSheetId="1">TRUE</definedName>
    <definedName name="QBREPORTCOMPARECOL_COGS" localSheetId="2">FALSE</definedName>
    <definedName name="QBREPORTCOMPARECOL_COGS" localSheetId="1">FALSE</definedName>
    <definedName name="QBREPORTCOMPARECOL_EXCLUDEAMOUNT" localSheetId="2">FALSE</definedName>
    <definedName name="QBREPORTCOMPARECOL_EXCLUDEAMOUNT" localSheetId="1">FALSE</definedName>
    <definedName name="QBREPORTCOMPARECOL_EXCLUDECURPERIOD" localSheetId="2">FALSE</definedName>
    <definedName name="QBREPORTCOMPARECOL_EXCLUDECURPERIOD" localSheetId="1">FALSE</definedName>
    <definedName name="QBREPORTCOMPARECOL_FORECAST" localSheetId="2">FALSE</definedName>
    <definedName name="QBREPORTCOMPARECOL_FORECAST" localSheetId="1">FALSE</definedName>
    <definedName name="QBREPORTCOMPARECOL_GROSSMARGIN" localSheetId="2">FALSE</definedName>
    <definedName name="QBREPORTCOMPARECOL_GROSSMARGIN" localSheetId="1">FALSE</definedName>
    <definedName name="QBREPORTCOMPARECOL_GROSSMARGINPCT" localSheetId="2">FALSE</definedName>
    <definedName name="QBREPORTCOMPARECOL_GROSSMARGINPCT" localSheetId="1">FALSE</definedName>
    <definedName name="QBREPORTCOMPARECOL_HOURS" localSheetId="2">FALSE</definedName>
    <definedName name="QBREPORTCOMPARECOL_HOURS" localSheetId="1">FALSE</definedName>
    <definedName name="QBREPORTCOMPARECOL_PCTCOL" localSheetId="2">FALSE</definedName>
    <definedName name="QBREPORTCOMPARECOL_PCTCOL" localSheetId="1">FALSE</definedName>
    <definedName name="QBREPORTCOMPARECOL_PCTEXPENSE" localSheetId="2">FALSE</definedName>
    <definedName name="QBREPORTCOMPARECOL_PCTEXPENSE" localSheetId="1">FALSE</definedName>
    <definedName name="QBREPORTCOMPARECOL_PCTINCOME" localSheetId="2">FALSE</definedName>
    <definedName name="QBREPORTCOMPARECOL_PCTINCOME" localSheetId="1">FALSE</definedName>
    <definedName name="QBREPORTCOMPARECOL_PCTOFSALES" localSheetId="2">FALSE</definedName>
    <definedName name="QBREPORTCOMPARECOL_PCTOFSALES" localSheetId="1">FALSE</definedName>
    <definedName name="QBREPORTCOMPARECOL_PCTROW" localSheetId="2">FALSE</definedName>
    <definedName name="QBREPORTCOMPARECOL_PCTROW" localSheetId="1">FALSE</definedName>
    <definedName name="QBREPORTCOMPARECOL_PPDIFF" localSheetId="2">FALSE</definedName>
    <definedName name="QBREPORTCOMPARECOL_PPDIFF" localSheetId="1">FALSE</definedName>
    <definedName name="QBREPORTCOMPARECOL_PPPCT" localSheetId="2">FALSE</definedName>
    <definedName name="QBREPORTCOMPARECOL_PPPCT" localSheetId="1">FALSE</definedName>
    <definedName name="QBREPORTCOMPARECOL_PREVPERIOD" localSheetId="2">FALSE</definedName>
    <definedName name="QBREPORTCOMPARECOL_PREVPERIOD" localSheetId="1">FALSE</definedName>
    <definedName name="QBREPORTCOMPARECOL_PREVYEAR" localSheetId="2">FALSE</definedName>
    <definedName name="QBREPORTCOMPARECOL_PREVYEAR" localSheetId="1">FALSE</definedName>
    <definedName name="QBREPORTCOMPARECOL_PYDIFF" localSheetId="2">FALSE</definedName>
    <definedName name="QBREPORTCOMPARECOL_PYDIFF" localSheetId="1">FALSE</definedName>
    <definedName name="QBREPORTCOMPARECOL_PYPCT" localSheetId="2">FALSE</definedName>
    <definedName name="QBREPORTCOMPARECOL_PYPCT" localSheetId="1">FALSE</definedName>
    <definedName name="QBREPORTCOMPARECOL_QTY" localSheetId="2">FALSE</definedName>
    <definedName name="QBREPORTCOMPARECOL_QTY" localSheetId="1">FALSE</definedName>
    <definedName name="QBREPORTCOMPARECOL_RATE" localSheetId="2">FALSE</definedName>
    <definedName name="QBREPORTCOMPARECOL_RATE" localSheetId="1">FALSE</definedName>
    <definedName name="QBREPORTCOMPARECOL_TRIPBILLEDMILES" localSheetId="2">FALSE</definedName>
    <definedName name="QBREPORTCOMPARECOL_TRIPBILLEDMILES" localSheetId="1">FALSE</definedName>
    <definedName name="QBREPORTCOMPARECOL_TRIPBILLINGAMOUNT" localSheetId="2">FALSE</definedName>
    <definedName name="QBREPORTCOMPARECOL_TRIPBILLINGAMOUNT" localSheetId="1">FALSE</definedName>
    <definedName name="QBREPORTCOMPARECOL_TRIPMILES" localSheetId="2">FALSE</definedName>
    <definedName name="QBREPORTCOMPARECOL_TRIPMILES" localSheetId="1">FALSE</definedName>
    <definedName name="QBREPORTCOMPARECOL_TRIPNOTBILLABLEMILES" localSheetId="2">FALSE</definedName>
    <definedName name="QBREPORTCOMPARECOL_TRIPNOTBILLABLEMILES" localSheetId="1">FALSE</definedName>
    <definedName name="QBREPORTCOMPARECOL_TRIPTAXDEDUCTIBLEAMOUNT" localSheetId="2">FALSE</definedName>
    <definedName name="QBREPORTCOMPARECOL_TRIPTAXDEDUCTIBLEAMOUNT" localSheetId="1">FALSE</definedName>
    <definedName name="QBREPORTCOMPARECOL_TRIPUNBILLEDMILES" localSheetId="2">FALSE</definedName>
    <definedName name="QBREPORTCOMPARECOL_TRIPUNBILLEDMILES" localSheetId="1">FALSE</definedName>
    <definedName name="QBREPORTCOMPARECOL_YTD" localSheetId="2">FALSE</definedName>
    <definedName name="QBREPORTCOMPARECOL_YTD" localSheetId="1">FALSE</definedName>
    <definedName name="QBREPORTCOMPARECOL_YTDBUDGET" localSheetId="2">FALSE</definedName>
    <definedName name="QBREPORTCOMPARECOL_YTDBUDGET" localSheetId="1">FALSE</definedName>
    <definedName name="QBREPORTCOMPARECOL_YTDPCT" localSheetId="2">FALSE</definedName>
    <definedName name="QBREPORTCOMPARECOL_YTDPCT" localSheetId="1">FALSE</definedName>
    <definedName name="QBREPORTROWAXIS" localSheetId="2">11</definedName>
    <definedName name="QBREPORTROWAXIS" localSheetId="1">11</definedName>
    <definedName name="QBREPORTSUBCOLAXIS" localSheetId="2">24</definedName>
    <definedName name="QBREPORTSUBCOLAXIS" localSheetId="1">24</definedName>
    <definedName name="QBREPORTTYPE" localSheetId="2">288</definedName>
    <definedName name="QBREPORTTYPE" localSheetId="1">288</definedName>
    <definedName name="QBROWHEADERS" localSheetId="2">8</definedName>
    <definedName name="QBROWHEADERS" localSheetId="1">7</definedName>
    <definedName name="QBSTARTDATE" localSheetId="2">20170101</definedName>
    <definedName name="QBSTARTDATE" localSheetId="1">20170101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9" i="1" l="1"/>
  <c r="K89" i="1" l="1"/>
  <c r="F11" i="3" l="1"/>
  <c r="I11" i="3" s="1"/>
  <c r="G11" i="3"/>
  <c r="K11" i="3"/>
  <c r="D11" i="3"/>
  <c r="J11" i="3" l="1"/>
  <c r="D12" i="3"/>
  <c r="F12" i="3" s="1"/>
  <c r="G12" i="3" l="1"/>
  <c r="K12" i="3"/>
  <c r="L156" i="1"/>
  <c r="L151" i="1"/>
  <c r="L149" i="1"/>
  <c r="L146" i="1"/>
  <c r="L145" i="1"/>
  <c r="L142" i="1"/>
  <c r="L131" i="1"/>
  <c r="L129" i="1"/>
  <c r="L128" i="1"/>
  <c r="L125" i="1"/>
  <c r="L122" i="1"/>
  <c r="L119" i="1"/>
  <c r="L118" i="1"/>
  <c r="L112" i="1"/>
  <c r="L109" i="1"/>
  <c r="L106" i="1"/>
  <c r="L105" i="1"/>
  <c r="L104" i="1"/>
  <c r="L101" i="1"/>
  <c r="L98" i="1"/>
  <c r="L95" i="1"/>
  <c r="L92" i="1"/>
  <c r="L91" i="1"/>
  <c r="L88" i="1"/>
  <c r="L87" i="1"/>
  <c r="L86" i="1"/>
  <c r="L85" i="1"/>
  <c r="L84" i="1"/>
  <c r="L81" i="1"/>
  <c r="L77" i="1"/>
  <c r="L76" i="1"/>
  <c r="L75" i="1"/>
  <c r="L72" i="1"/>
  <c r="L69" i="1"/>
  <c r="L68" i="1"/>
  <c r="L67" i="1"/>
  <c r="L64" i="1"/>
  <c r="L60" i="1"/>
  <c r="L59" i="1"/>
  <c r="L58" i="1"/>
  <c r="L57" i="1"/>
  <c r="L56" i="1"/>
  <c r="L55" i="1"/>
  <c r="L54" i="1"/>
  <c r="L53" i="1"/>
  <c r="L50" i="1"/>
  <c r="L48" i="1"/>
  <c r="L47" i="1"/>
  <c r="L44" i="1"/>
  <c r="L41" i="1"/>
  <c r="L40" i="1"/>
  <c r="L39" i="1"/>
  <c r="L36" i="1"/>
  <c r="L33" i="1"/>
  <c r="L32" i="1"/>
  <c r="L30" i="1"/>
  <c r="L22" i="1"/>
  <c r="L21" i="1"/>
  <c r="C5" i="3"/>
  <c r="C9" i="3"/>
  <c r="C6" i="3"/>
  <c r="J143" i="1"/>
  <c r="J152" i="1" s="1"/>
  <c r="J139" i="1"/>
  <c r="J130" i="1"/>
  <c r="J123" i="1"/>
  <c r="J120" i="1"/>
  <c r="J116" i="1"/>
  <c r="J113" i="1"/>
  <c r="J107" i="1"/>
  <c r="J102" i="1"/>
  <c r="J99" i="1"/>
  <c r="J93" i="1"/>
  <c r="J89" i="1"/>
  <c r="J82" i="1"/>
  <c r="J78" i="1"/>
  <c r="J73" i="1"/>
  <c r="J70" i="1"/>
  <c r="J65" i="1"/>
  <c r="J61" i="1"/>
  <c r="J62" i="1" s="1"/>
  <c r="J51" i="1"/>
  <c r="J45" i="1"/>
  <c r="J42" i="1"/>
  <c r="J37" i="1"/>
  <c r="J34" i="1"/>
  <c r="J29" i="1"/>
  <c r="J26" i="1"/>
  <c r="J23" i="1"/>
  <c r="J18" i="1"/>
  <c r="L9" i="1"/>
  <c r="L8" i="1"/>
  <c r="J10" i="1"/>
  <c r="J11" i="1" s="1"/>
  <c r="J12" i="1" s="1"/>
  <c r="C6" i="6"/>
  <c r="J188" i="2"/>
  <c r="J189" i="2" s="1"/>
  <c r="L7" i="1" l="1"/>
  <c r="J79" i="1"/>
  <c r="J132" i="1" s="1"/>
  <c r="J133" i="1" s="1"/>
  <c r="J134" i="1" s="1"/>
  <c r="J153" i="1"/>
  <c r="J185" i="2"/>
  <c r="J181" i="2"/>
  <c r="J176" i="2"/>
  <c r="J175" i="2"/>
  <c r="J178" i="2" l="1"/>
  <c r="C17" i="6"/>
  <c r="J154" i="1"/>
  <c r="J166" i="2"/>
  <c r="J167" i="2" s="1"/>
  <c r="J159" i="2"/>
  <c r="K159" i="2" s="1"/>
  <c r="J158" i="2"/>
  <c r="K158" i="2" s="1"/>
  <c r="J156" i="2"/>
  <c r="J153" i="2"/>
  <c r="J147" i="2"/>
  <c r="K143" i="2"/>
  <c r="K140" i="2"/>
  <c r="J139" i="2"/>
  <c r="J136" i="2"/>
  <c r="J137" i="2" s="1"/>
  <c r="K132" i="2"/>
  <c r="K131" i="2"/>
  <c r="J129" i="2"/>
  <c r="K124" i="2"/>
  <c r="J122" i="2"/>
  <c r="K122" i="2" s="1"/>
  <c r="J121" i="2"/>
  <c r="K121" i="2" s="1"/>
  <c r="J118" i="2"/>
  <c r="J119" i="2" s="1"/>
  <c r="K115" i="2"/>
  <c r="K109" i="2"/>
  <c r="J105" i="2"/>
  <c r="K105" i="2" s="1"/>
  <c r="J104" i="2"/>
  <c r="K104" i="2" s="1"/>
  <c r="K103" i="2"/>
  <c r="J102" i="2"/>
  <c r="K102" i="2" s="1"/>
  <c r="K101" i="2"/>
  <c r="J96" i="2"/>
  <c r="K96" i="2" s="1"/>
  <c r="J92" i="2"/>
  <c r="K92" i="2" s="1"/>
  <c r="J91" i="2"/>
  <c r="K91" i="2" s="1"/>
  <c r="J88" i="2"/>
  <c r="K88" i="2" s="1"/>
  <c r="J84" i="2"/>
  <c r="K81" i="2"/>
  <c r="J78" i="2"/>
  <c r="K72" i="2"/>
  <c r="K70" i="2"/>
  <c r="K69" i="2"/>
  <c r="J67" i="2"/>
  <c r="K61" i="2"/>
  <c r="J60" i="2"/>
  <c r="J63" i="2" s="1"/>
  <c r="J56" i="2"/>
  <c r="J51" i="2"/>
  <c r="K47" i="2"/>
  <c r="J41" i="2"/>
  <c r="K41" i="2" s="1"/>
  <c r="J15" i="2"/>
  <c r="C9" i="6"/>
  <c r="C8" i="6"/>
  <c r="K8" i="2"/>
  <c r="J28" i="2"/>
  <c r="K28" i="2" s="1"/>
  <c r="J27" i="2"/>
  <c r="K27" i="2" s="1"/>
  <c r="J21" i="2"/>
  <c r="K21" i="2" s="1"/>
  <c r="K200" i="2"/>
  <c r="K199" i="2"/>
  <c r="K195" i="2"/>
  <c r="K194" i="2"/>
  <c r="K192" i="2"/>
  <c r="K187" i="2"/>
  <c r="K184" i="2"/>
  <c r="K183" i="2"/>
  <c r="K181" i="2"/>
  <c r="K177" i="2"/>
  <c r="K176" i="2"/>
  <c r="K175" i="2"/>
  <c r="K165" i="2"/>
  <c r="K164" i="2"/>
  <c r="K162" i="2"/>
  <c r="K135" i="2"/>
  <c r="K128" i="2"/>
  <c r="K123" i="2"/>
  <c r="K110" i="2"/>
  <c r="K100" i="2"/>
  <c r="K99" i="2"/>
  <c r="K87" i="2"/>
  <c r="K86" i="2"/>
  <c r="K83" i="2"/>
  <c r="K82" i="2"/>
  <c r="K80" i="2"/>
  <c r="K76" i="2"/>
  <c r="K75" i="2"/>
  <c r="K71" i="2"/>
  <c r="K66" i="2"/>
  <c r="K65" i="2"/>
  <c r="K62" i="2"/>
  <c r="K59" i="2"/>
  <c r="K58" i="2"/>
  <c r="K55" i="2"/>
  <c r="K46" i="2"/>
  <c r="K45" i="2"/>
  <c r="K40" i="2"/>
  <c r="K33" i="2"/>
  <c r="K14" i="2"/>
  <c r="K12" i="2"/>
  <c r="K10" i="2"/>
  <c r="A37" i="3"/>
  <c r="A38" i="3"/>
  <c r="A39" i="3"/>
  <c r="A40" i="3"/>
  <c r="A41" i="3"/>
  <c r="A43" i="3"/>
  <c r="D52" i="3"/>
  <c r="D51" i="3"/>
  <c r="D50" i="3"/>
  <c r="D49" i="3"/>
  <c r="K136" i="2" l="1"/>
  <c r="K146" i="2"/>
  <c r="K166" i="2"/>
  <c r="K118" i="2"/>
  <c r="J116" i="2"/>
  <c r="K114" i="2"/>
  <c r="K50" i="2"/>
  <c r="K60" i="2"/>
  <c r="K77" i="2"/>
  <c r="J141" i="2"/>
  <c r="J11" i="2"/>
  <c r="J89" i="2"/>
  <c r="K155" i="2"/>
  <c r="J106" i="2"/>
  <c r="J107" i="2" s="1"/>
  <c r="C7" i="6"/>
  <c r="K152" i="2"/>
  <c r="J97" i="2"/>
  <c r="J111" i="2"/>
  <c r="J144" i="2"/>
  <c r="K54" i="2"/>
  <c r="J126" i="2"/>
  <c r="J133" i="2"/>
  <c r="J160" i="2"/>
  <c r="K9" i="2"/>
  <c r="K13" i="2"/>
  <c r="K139" i="2"/>
  <c r="C19" i="6"/>
  <c r="C22" i="6" l="1"/>
  <c r="J94" i="2"/>
  <c r="C18" i="6" s="1"/>
  <c r="C20" i="6"/>
  <c r="I178" i="2"/>
  <c r="K178" i="2" s="1"/>
  <c r="G189" i="2" l="1"/>
  <c r="I78" i="2"/>
  <c r="K78" i="2" s="1"/>
  <c r="H78" i="2"/>
  <c r="G78" i="2"/>
  <c r="I42" i="1"/>
  <c r="H42" i="1"/>
  <c r="I78" i="1" l="1"/>
  <c r="I70" i="1"/>
  <c r="I51" i="1"/>
  <c r="K143" i="1" l="1"/>
  <c r="I143" i="1"/>
  <c r="H143" i="1"/>
  <c r="H152" i="1" s="1"/>
  <c r="I139" i="1"/>
  <c r="I18" i="1"/>
  <c r="H18" i="1"/>
  <c r="I185" i="2"/>
  <c r="K185" i="2" s="1"/>
  <c r="H185" i="2"/>
  <c r="G185" i="2"/>
  <c r="G196" i="2" s="1"/>
  <c r="H23" i="2"/>
  <c r="G23" i="2"/>
  <c r="C15" i="7" l="1"/>
  <c r="L143" i="1"/>
  <c r="K30" i="3"/>
  <c r="L14" i="3"/>
  <c r="K16" i="3"/>
  <c r="F29" i="3"/>
  <c r="K29" i="3" s="1"/>
  <c r="F15" i="3"/>
  <c r="K15" i="3" l="1"/>
  <c r="J37" i="2"/>
  <c r="B23" i="3"/>
  <c r="J38" i="2" l="1"/>
  <c r="K37" i="2"/>
  <c r="M23" i="3"/>
  <c r="E23" i="3"/>
  <c r="H23" i="3" s="1"/>
  <c r="C23" i="3"/>
  <c r="A23" i="3"/>
  <c r="B24" i="3"/>
  <c r="H6" i="3"/>
  <c r="D7" i="3"/>
  <c r="F7" i="3" s="1"/>
  <c r="G7" i="3" l="1"/>
  <c r="K7" i="3"/>
  <c r="D23" i="3"/>
  <c r="F23" i="3" s="1"/>
  <c r="K23" i="3" s="1"/>
  <c r="I7" i="3"/>
  <c r="J7" i="3"/>
  <c r="G23" i="3" l="1"/>
  <c r="I23" i="3"/>
  <c r="J23" i="3"/>
  <c r="F30" i="5"/>
  <c r="F15" i="5"/>
  <c r="F31" i="5" s="1"/>
  <c r="F32" i="5" l="1"/>
  <c r="C52" i="3" l="1"/>
  <c r="E52" i="3" s="1"/>
  <c r="C51" i="3"/>
  <c r="E51" i="3" s="1"/>
  <c r="C50" i="3"/>
  <c r="E50" i="3" s="1"/>
  <c r="C49" i="3"/>
  <c r="E49" i="3" s="1"/>
  <c r="I65" i="1"/>
  <c r="H65" i="1"/>
  <c r="K65" i="1"/>
  <c r="L65" i="1" s="1"/>
  <c r="H61" i="1"/>
  <c r="H62" i="1" s="1"/>
  <c r="I61" i="1"/>
  <c r="I62" i="1" s="1"/>
  <c r="K61" i="1"/>
  <c r="K42" i="1"/>
  <c r="L42" i="1" s="1"/>
  <c r="K62" i="1" l="1"/>
  <c r="L62" i="1" s="1"/>
  <c r="L61" i="1"/>
  <c r="L23" i="3"/>
  <c r="H7" i="3"/>
  <c r="L7" i="3" s="1"/>
  <c r="C6" i="7"/>
  <c r="C5" i="7"/>
  <c r="C4" i="7"/>
  <c r="N7" i="3" l="1"/>
  <c r="C7" i="7"/>
  <c r="D6" i="7" s="1"/>
  <c r="B15" i="5"/>
  <c r="B31" i="5" s="1"/>
  <c r="K148" i="1" s="1"/>
  <c r="L148" i="1" s="1"/>
  <c r="C15" i="5"/>
  <c r="C31" i="5" s="1"/>
  <c r="D15" i="5"/>
  <c r="D31" i="5" s="1"/>
  <c r="E15" i="5"/>
  <c r="E31" i="5" s="1"/>
  <c r="B30" i="5"/>
  <c r="J191" i="2" s="1"/>
  <c r="C30" i="5"/>
  <c r="D30" i="5"/>
  <c r="E30" i="5"/>
  <c r="C21" i="6" l="1"/>
  <c r="J196" i="2"/>
  <c r="J197" i="2" s="1"/>
  <c r="K152" i="1"/>
  <c r="L152" i="1" s="1"/>
  <c r="E32" i="5"/>
  <c r="D32" i="5"/>
  <c r="C32" i="5"/>
  <c r="B32" i="5"/>
  <c r="D4" i="7"/>
  <c r="D5" i="7"/>
  <c r="C16" i="7" l="1"/>
  <c r="G43" i="2"/>
  <c r="G126" i="2"/>
  <c r="H126" i="2"/>
  <c r="I126" i="2"/>
  <c r="K126" i="2" s="1"/>
  <c r="L28" i="3"/>
  <c r="N14" i="3" s="1"/>
  <c r="K139" i="1" l="1"/>
  <c r="L139" i="1" s="1"/>
  <c r="H139" i="1"/>
  <c r="G178" i="2"/>
  <c r="G197" i="2" s="1"/>
  <c r="H178" i="2"/>
  <c r="H153" i="1" l="1"/>
  <c r="K153" i="1"/>
  <c r="L153" i="1" s="1"/>
  <c r="I145" i="1"/>
  <c r="I152" i="1" s="1"/>
  <c r="I153" i="1" s="1"/>
  <c r="I28" i="1"/>
  <c r="H42" i="2"/>
  <c r="H189" i="2"/>
  <c r="H196" i="2" l="1"/>
  <c r="H197" i="2" s="1"/>
  <c r="I188" i="2" l="1"/>
  <c r="K188" i="2" s="1"/>
  <c r="I189" i="2" l="1"/>
  <c r="K189" i="2" s="1"/>
  <c r="H52" i="3"/>
  <c r="J52" i="3" s="1"/>
  <c r="H50" i="3"/>
  <c r="G50" i="3" s="1"/>
  <c r="H51" i="3"/>
  <c r="G51" i="3" s="1"/>
  <c r="H49" i="3"/>
  <c r="J49" i="3" s="1"/>
  <c r="I196" i="2" l="1"/>
  <c r="G52" i="3"/>
  <c r="J51" i="3"/>
  <c r="H9" i="3"/>
  <c r="I197" i="2" l="1"/>
  <c r="K197" i="2" s="1"/>
  <c r="K196" i="2"/>
  <c r="M29" i="3"/>
  <c r="A29" i="3"/>
  <c r="K25" i="1"/>
  <c r="L25" i="1" s="1"/>
  <c r="C22" i="3"/>
  <c r="D10" i="3"/>
  <c r="F10" i="3" s="1"/>
  <c r="K10" i="3" s="1"/>
  <c r="D6" i="3"/>
  <c r="D8" i="3"/>
  <c r="C25" i="3"/>
  <c r="E26" i="3"/>
  <c r="E22" i="3"/>
  <c r="E25" i="3"/>
  <c r="H25" i="3" s="1"/>
  <c r="E24" i="3"/>
  <c r="H24" i="3" s="1"/>
  <c r="E21" i="3"/>
  <c r="D5" i="3"/>
  <c r="F5" i="3" s="1"/>
  <c r="J31" i="2" l="1"/>
  <c r="K31" i="2" s="1"/>
  <c r="K5" i="3"/>
  <c r="K26" i="1"/>
  <c r="L26" i="1" s="1"/>
  <c r="G29" i="3"/>
  <c r="G15" i="3"/>
  <c r="C21" i="3"/>
  <c r="D9" i="3"/>
  <c r="F9" i="3" s="1"/>
  <c r="I5" i="3"/>
  <c r="F8" i="3"/>
  <c r="K8" i="3" s="1"/>
  <c r="D44" i="3"/>
  <c r="M32" i="3"/>
  <c r="D32" i="3"/>
  <c r="M31" i="3"/>
  <c r="K31" i="3"/>
  <c r="G31" i="3"/>
  <c r="D31" i="3"/>
  <c r="A31" i="3"/>
  <c r="M30" i="3"/>
  <c r="G30" i="3"/>
  <c r="L30" i="3" s="1"/>
  <c r="D30" i="3"/>
  <c r="A30" i="3"/>
  <c r="M27" i="3"/>
  <c r="D27" i="3"/>
  <c r="D26" i="3"/>
  <c r="F26" i="3" s="1"/>
  <c r="K26" i="3" s="1"/>
  <c r="B26" i="3"/>
  <c r="A26" i="3"/>
  <c r="M22" i="3"/>
  <c r="D22" i="3"/>
  <c r="F22" i="3" s="1"/>
  <c r="K22" i="3" s="1"/>
  <c r="B22" i="3"/>
  <c r="H22" i="3" s="1"/>
  <c r="A22" i="3"/>
  <c r="M25" i="3"/>
  <c r="B25" i="3"/>
  <c r="A25" i="3"/>
  <c r="A24" i="3"/>
  <c r="M21" i="3"/>
  <c r="B21" i="3"/>
  <c r="A21" i="3"/>
  <c r="B20" i="3"/>
  <c r="K17" i="3"/>
  <c r="G17" i="3"/>
  <c r="G16" i="3"/>
  <c r="L16" i="3" s="1"/>
  <c r="J10" i="3"/>
  <c r="I10" i="3"/>
  <c r="D24" i="3"/>
  <c r="F24" i="3" s="1"/>
  <c r="K24" i="3" s="1"/>
  <c r="D21" i="3"/>
  <c r="F21" i="3" s="1"/>
  <c r="K21" i="3" s="1"/>
  <c r="I9" i="3" l="1"/>
  <c r="K9" i="3"/>
  <c r="N16" i="3"/>
  <c r="L29" i="3"/>
  <c r="D25" i="3"/>
  <c r="F25" i="3" s="1"/>
  <c r="K25" i="3" s="1"/>
  <c r="L15" i="3"/>
  <c r="I8" i="3"/>
  <c r="L17" i="3"/>
  <c r="L31" i="3"/>
  <c r="F6" i="3"/>
  <c r="F13" i="3" s="1"/>
  <c r="J26" i="3"/>
  <c r="G24" i="3"/>
  <c r="G21" i="3"/>
  <c r="G22" i="3"/>
  <c r="G5" i="3"/>
  <c r="G8" i="3"/>
  <c r="G9" i="3"/>
  <c r="J9" i="3"/>
  <c r="G10" i="3"/>
  <c r="J5" i="3"/>
  <c r="J8" i="3"/>
  <c r="J32" i="2" l="1"/>
  <c r="K32" i="2" s="1"/>
  <c r="F18" i="3"/>
  <c r="K26" i="2"/>
  <c r="J29" i="2"/>
  <c r="K6" i="3"/>
  <c r="K13" i="3" s="1"/>
  <c r="N17" i="3"/>
  <c r="N15" i="3"/>
  <c r="J25" i="3"/>
  <c r="G6" i="3"/>
  <c r="G13" i="3" s="1"/>
  <c r="I6" i="3"/>
  <c r="I13" i="3" s="1"/>
  <c r="J6" i="3"/>
  <c r="J13" i="3" s="1"/>
  <c r="I26" i="3"/>
  <c r="J24" i="3"/>
  <c r="I24" i="3"/>
  <c r="G26" i="3"/>
  <c r="G25" i="3"/>
  <c r="I25" i="3"/>
  <c r="J21" i="3"/>
  <c r="I21" i="3"/>
  <c r="F27" i="3"/>
  <c r="J22" i="3"/>
  <c r="I22" i="3"/>
  <c r="K18" i="3" l="1"/>
  <c r="J34" i="2"/>
  <c r="J35" i="2" s="1"/>
  <c r="J18" i="3"/>
  <c r="F32" i="3"/>
  <c r="F33" i="3" s="1"/>
  <c r="K20" i="1"/>
  <c r="L20" i="1" s="1"/>
  <c r="G18" i="3"/>
  <c r="I18" i="3"/>
  <c r="J27" i="3"/>
  <c r="J32" i="3" s="1"/>
  <c r="G27" i="3"/>
  <c r="G32" i="3" s="1"/>
  <c r="K17" i="1" s="1"/>
  <c r="L17" i="1" s="1"/>
  <c r="I27" i="3"/>
  <c r="I32" i="3" s="1"/>
  <c r="K27" i="3"/>
  <c r="K32" i="3" s="1"/>
  <c r="L115" i="1" s="1"/>
  <c r="J33" i="3" l="1"/>
  <c r="K149" i="2"/>
  <c r="J150" i="2"/>
  <c r="K22" i="2"/>
  <c r="J23" i="2"/>
  <c r="I23" i="2"/>
  <c r="K18" i="1"/>
  <c r="L18" i="1" s="1"/>
  <c r="K33" i="3"/>
  <c r="I33" i="3"/>
  <c r="G33" i="3"/>
  <c r="L9" i="3"/>
  <c r="L25" i="3"/>
  <c r="L22" i="3"/>
  <c r="L6" i="3"/>
  <c r="K23" i="2" l="1"/>
  <c r="N6" i="3"/>
  <c r="N9" i="3"/>
  <c r="H165" i="2"/>
  <c r="I167" i="2" l="1"/>
  <c r="K167" i="2" s="1"/>
  <c r="I160" i="2"/>
  <c r="K160" i="2" s="1"/>
  <c r="I156" i="2"/>
  <c r="K156" i="2" s="1"/>
  <c r="I153" i="2"/>
  <c r="K153" i="2" s="1"/>
  <c r="I150" i="2"/>
  <c r="K150" i="2" s="1"/>
  <c r="I147" i="2"/>
  <c r="K147" i="2" s="1"/>
  <c r="I144" i="2"/>
  <c r="K144" i="2" s="1"/>
  <c r="I141" i="2"/>
  <c r="K141" i="2" s="1"/>
  <c r="I137" i="2"/>
  <c r="K137" i="2" s="1"/>
  <c r="I133" i="2"/>
  <c r="K133" i="2" s="1"/>
  <c r="I129" i="2"/>
  <c r="K129" i="2" s="1"/>
  <c r="I119" i="2"/>
  <c r="K119" i="2" s="1"/>
  <c r="I116" i="2"/>
  <c r="K116" i="2" s="1"/>
  <c r="I111" i="2"/>
  <c r="K111" i="2" s="1"/>
  <c r="I106" i="2"/>
  <c r="I97" i="2"/>
  <c r="K97" i="2" s="1"/>
  <c r="K93" i="2"/>
  <c r="I89" i="2"/>
  <c r="K89" i="2" s="1"/>
  <c r="I84" i="2"/>
  <c r="K84" i="2" s="1"/>
  <c r="I73" i="2"/>
  <c r="K73" i="2" s="1"/>
  <c r="I67" i="2"/>
  <c r="K67" i="2" s="1"/>
  <c r="I63" i="2"/>
  <c r="K63" i="2" s="1"/>
  <c r="I56" i="2"/>
  <c r="K56" i="2" s="1"/>
  <c r="I51" i="2"/>
  <c r="K51" i="2" s="1"/>
  <c r="I48" i="2"/>
  <c r="K48" i="2" s="1"/>
  <c r="I38" i="2"/>
  <c r="K38" i="2" s="1"/>
  <c r="I34" i="2"/>
  <c r="K34" i="2" s="1"/>
  <c r="I29" i="2"/>
  <c r="K29" i="2" s="1"/>
  <c r="I15" i="2"/>
  <c r="I11" i="2"/>
  <c r="K11" i="2" s="1"/>
  <c r="H15" i="2"/>
  <c r="H11" i="2"/>
  <c r="H129" i="2"/>
  <c r="H119" i="2"/>
  <c r="H116" i="2"/>
  <c r="H106" i="2"/>
  <c r="H107" i="2" s="1"/>
  <c r="H51" i="2"/>
  <c r="G11" i="2"/>
  <c r="G15" i="2"/>
  <c r="G29" i="2"/>
  <c r="H29" i="2"/>
  <c r="G34" i="2"/>
  <c r="H34" i="2"/>
  <c r="G38" i="2"/>
  <c r="H38" i="2"/>
  <c r="H43" i="2"/>
  <c r="G48" i="2"/>
  <c r="H48" i="2"/>
  <c r="G51" i="2"/>
  <c r="G56" i="2"/>
  <c r="H56" i="2"/>
  <c r="G63" i="2"/>
  <c r="H63" i="2"/>
  <c r="G67" i="2"/>
  <c r="H67" i="2"/>
  <c r="G73" i="2"/>
  <c r="H73" i="2"/>
  <c r="G84" i="2"/>
  <c r="H84" i="2"/>
  <c r="G89" i="2"/>
  <c r="H89" i="2"/>
  <c r="G93" i="2"/>
  <c r="H93" i="2"/>
  <c r="G97" i="2"/>
  <c r="H97" i="2"/>
  <c r="G106" i="2"/>
  <c r="G107" i="2" s="1"/>
  <c r="G111" i="2"/>
  <c r="H111" i="2"/>
  <c r="G116" i="2"/>
  <c r="G119" i="2"/>
  <c r="G129" i="2"/>
  <c r="G133" i="2"/>
  <c r="H133" i="2"/>
  <c r="G137" i="2"/>
  <c r="H137" i="2"/>
  <c r="G141" i="2"/>
  <c r="H141" i="2"/>
  <c r="G144" i="2"/>
  <c r="H144" i="2"/>
  <c r="G147" i="2"/>
  <c r="H147" i="2"/>
  <c r="G150" i="2"/>
  <c r="H150" i="2"/>
  <c r="G153" i="2"/>
  <c r="H153" i="2"/>
  <c r="G156" i="2"/>
  <c r="H156" i="2"/>
  <c r="G160" i="2"/>
  <c r="H160" i="2"/>
  <c r="G167" i="2"/>
  <c r="H167" i="2"/>
  <c r="K102" i="1"/>
  <c r="L102" i="1" s="1"/>
  <c r="I102" i="1"/>
  <c r="L96" i="1"/>
  <c r="I96" i="1"/>
  <c r="K45" i="1"/>
  <c r="L45" i="1" s="1"/>
  <c r="I45" i="1"/>
  <c r="K70" i="1"/>
  <c r="L70" i="1" s="1"/>
  <c r="I107" i="2" l="1"/>
  <c r="K107" i="2" s="1"/>
  <c r="K106" i="2"/>
  <c r="C10" i="6"/>
  <c r="D7" i="6" s="1"/>
  <c r="K15" i="2"/>
  <c r="H16" i="2"/>
  <c r="H17" i="2" s="1"/>
  <c r="I94" i="2"/>
  <c r="K94" i="2" s="1"/>
  <c r="G17" i="2"/>
  <c r="G35" i="2"/>
  <c r="H134" i="2"/>
  <c r="H35" i="2"/>
  <c r="H94" i="2"/>
  <c r="I35" i="2"/>
  <c r="K35" i="2" s="1"/>
  <c r="G134" i="2"/>
  <c r="G94" i="2"/>
  <c r="I17" i="2" l="1"/>
  <c r="H168" i="2"/>
  <c r="H169" i="2" s="1"/>
  <c r="H170" i="2" s="1"/>
  <c r="G168" i="2"/>
  <c r="D6" i="6"/>
  <c r="D9" i="6"/>
  <c r="D8" i="6"/>
  <c r="H171" i="2" l="1"/>
  <c r="H198" i="2" s="1"/>
  <c r="G169" i="2"/>
  <c r="G170" i="2" l="1"/>
  <c r="G171" i="2" s="1"/>
  <c r="G198" i="2" s="1"/>
  <c r="K34" i="1" l="1"/>
  <c r="I10" i="1"/>
  <c r="I11" i="1" s="1"/>
  <c r="I12" i="1" s="1"/>
  <c r="K10" i="1"/>
  <c r="L10" i="1" s="1"/>
  <c r="K130" i="1"/>
  <c r="L130" i="1" s="1"/>
  <c r="K123" i="1"/>
  <c r="L123" i="1" s="1"/>
  <c r="K120" i="1"/>
  <c r="L120" i="1" s="1"/>
  <c r="K116" i="1"/>
  <c r="L116" i="1" s="1"/>
  <c r="K113" i="1"/>
  <c r="L113" i="1" s="1"/>
  <c r="K110" i="1"/>
  <c r="L110" i="1" s="1"/>
  <c r="K107" i="1"/>
  <c r="L107" i="1" s="1"/>
  <c r="K99" i="1"/>
  <c r="L99" i="1" s="1"/>
  <c r="L93" i="1"/>
  <c r="L89" i="1"/>
  <c r="K82" i="1"/>
  <c r="L82" i="1" s="1"/>
  <c r="K78" i="1"/>
  <c r="L78" i="1" s="1"/>
  <c r="K73" i="1"/>
  <c r="L73" i="1" s="1"/>
  <c r="K51" i="1"/>
  <c r="L51" i="1" s="1"/>
  <c r="K37" i="1"/>
  <c r="L37" i="1" s="1"/>
  <c r="I130" i="1"/>
  <c r="H130" i="1"/>
  <c r="I123" i="1"/>
  <c r="H123" i="1"/>
  <c r="I120" i="1"/>
  <c r="H120" i="1"/>
  <c r="I116" i="1"/>
  <c r="H116" i="1"/>
  <c r="I113" i="1"/>
  <c r="H113" i="1"/>
  <c r="I110" i="1"/>
  <c r="H110" i="1"/>
  <c r="I107" i="1"/>
  <c r="H107" i="1"/>
  <c r="H102" i="1"/>
  <c r="I99" i="1"/>
  <c r="H99" i="1"/>
  <c r="H96" i="1"/>
  <c r="I93" i="1"/>
  <c r="H93" i="1"/>
  <c r="I89" i="1"/>
  <c r="H89" i="1"/>
  <c r="I82" i="1"/>
  <c r="H82" i="1"/>
  <c r="H78" i="1"/>
  <c r="I73" i="1"/>
  <c r="I79" i="1" s="1"/>
  <c r="H73" i="1"/>
  <c r="H70" i="1"/>
  <c r="H51" i="1"/>
  <c r="H45" i="1"/>
  <c r="I37" i="1"/>
  <c r="H37" i="1"/>
  <c r="I34" i="1"/>
  <c r="H34" i="1"/>
  <c r="I29" i="1"/>
  <c r="H29" i="1"/>
  <c r="I26" i="1"/>
  <c r="H26" i="1"/>
  <c r="I23" i="1"/>
  <c r="H23" i="1"/>
  <c r="H10" i="1"/>
  <c r="H11" i="1" s="1"/>
  <c r="H12" i="1" s="1"/>
  <c r="C17" i="7" l="1"/>
  <c r="L34" i="1"/>
  <c r="H79" i="1"/>
  <c r="H132" i="1" s="1"/>
  <c r="I132" i="1"/>
  <c r="I133" i="1" s="1"/>
  <c r="K79" i="1"/>
  <c r="L79" i="1" s="1"/>
  <c r="C18" i="7"/>
  <c r="C19" i="7"/>
  <c r="K11" i="1"/>
  <c r="K23" i="1"/>
  <c r="L23" i="1" s="1"/>
  <c r="K12" i="1" l="1"/>
  <c r="L12" i="1" s="1"/>
  <c r="L11" i="1"/>
  <c r="C13" i="7"/>
  <c r="I134" i="1"/>
  <c r="I154" i="1" s="1"/>
  <c r="H133" i="1" l="1"/>
  <c r="H134" i="1" s="1"/>
  <c r="H154" i="1" s="1"/>
  <c r="H10" i="3" l="1"/>
  <c r="L10" i="3" s="1"/>
  <c r="H26" i="3"/>
  <c r="L26" i="3" s="1"/>
  <c r="H8" i="3"/>
  <c r="L8" i="3" s="1"/>
  <c r="L24" i="3"/>
  <c r="N8" i="3" l="1"/>
  <c r="N10" i="3"/>
  <c r="H21" i="3"/>
  <c r="H5" i="3"/>
  <c r="J50" i="3"/>
  <c r="L5" i="3" l="1"/>
  <c r="H13" i="3"/>
  <c r="H18" i="3" s="1"/>
  <c r="H27" i="3"/>
  <c r="L21" i="3"/>
  <c r="I43" i="2" l="1"/>
  <c r="I168" i="2" s="1"/>
  <c r="L13" i="3"/>
  <c r="L18" i="3" s="1"/>
  <c r="N5" i="3"/>
  <c r="H32" i="3"/>
  <c r="H33" i="3" s="1"/>
  <c r="L27" i="3"/>
  <c r="I169" i="2" l="1"/>
  <c r="N13" i="3"/>
  <c r="N18" i="3" s="1"/>
  <c r="K28" i="1"/>
  <c r="L28" i="1" s="1"/>
  <c r="L32" i="3"/>
  <c r="L33" i="3" s="1"/>
  <c r="J168" i="2" l="1"/>
  <c r="J169" i="2" s="1"/>
  <c r="J170" i="2" s="1"/>
  <c r="J171" i="2" s="1"/>
  <c r="J198" i="2" s="1"/>
  <c r="F1" i="2" s="1"/>
  <c r="C16" i="6"/>
  <c r="C23" i="6" s="1"/>
  <c r="D16" i="6" s="1"/>
  <c r="K43" i="2"/>
  <c r="I170" i="2"/>
  <c r="K29" i="1"/>
  <c r="K132" i="1" l="1"/>
  <c r="L132" i="1" s="1"/>
  <c r="L29" i="1"/>
  <c r="D20" i="6"/>
  <c r="D17" i="6"/>
  <c r="D19" i="6"/>
  <c r="D18" i="6"/>
  <c r="D21" i="6"/>
  <c r="D22" i="6"/>
  <c r="K168" i="2"/>
  <c r="K170" i="2"/>
  <c r="K169" i="2"/>
  <c r="C14" i="7"/>
  <c r="C20" i="7" s="1"/>
  <c r="D14" i="7" s="1"/>
  <c r="K133" i="1" l="1"/>
  <c r="L133" i="1" s="1"/>
  <c r="D17" i="7"/>
  <c r="D13" i="7"/>
  <c r="D16" i="7"/>
  <c r="D18" i="7"/>
  <c r="D15" i="7"/>
  <c r="D19" i="7"/>
  <c r="K134" i="1" l="1"/>
  <c r="L134" i="1" s="1"/>
  <c r="I171" i="2"/>
  <c r="K171" i="2" s="1"/>
  <c r="K154" i="1" l="1"/>
  <c r="L154" i="1" s="1"/>
  <c r="I198" i="2"/>
  <c r="K198" i="2" s="1"/>
  <c r="G1" i="1" l="1"/>
</calcChain>
</file>

<file path=xl/sharedStrings.xml><?xml version="1.0" encoding="utf-8"?>
<sst xmlns="http://schemas.openxmlformats.org/spreadsheetml/2006/main" count="681" uniqueCount="602">
  <si>
    <t>Ordinary Income/Expense</t>
  </si>
  <si>
    <t>Income</t>
  </si>
  <si>
    <t>500 · SEWER OPERATING REVENUES</t>
  </si>
  <si>
    <t>561 · WASTEWATER REVENUE</t>
  </si>
  <si>
    <t>561.1 · Wastewater Metered Revenue</t>
  </si>
  <si>
    <t>561.2 · Wastewater Metered Commercial</t>
  </si>
  <si>
    <t>561.4 · Metered Sales Public Authority</t>
  </si>
  <si>
    <t>Total 561 · WASTEWATER REVENUE</t>
  </si>
  <si>
    <t>Total 500 · SEWER OPERATING REVENUES</t>
  </si>
  <si>
    <t>503 · WASTEWATER DEPRECIATION EXP</t>
  </si>
  <si>
    <t>508 · WASTEWATER TAXES OTHER THAN INC</t>
  </si>
  <si>
    <t>508.10 · Payroll Taxes</t>
  </si>
  <si>
    <t>Total 508 · WASTEWATER TAXES OTHER THAN INC</t>
  </si>
  <si>
    <t>527 · WASTEWATER INTEREST EXPENSE</t>
  </si>
  <si>
    <t>527.3 · Interest - Long Term Debt</t>
  </si>
  <si>
    <t>Total 527 · WASTEWATER INTEREST EXPENSE</t>
  </si>
  <si>
    <t>Total Income</t>
  </si>
  <si>
    <t>700 · SEWER OPERATING EXPENSE</t>
  </si>
  <si>
    <t>701 · SEWER SALARY &amp; WAGES-EMPLOYEES</t>
  </si>
  <si>
    <t>701.1 · Salaries</t>
  </si>
  <si>
    <t>701.2 · Overtime</t>
  </si>
  <si>
    <t>701.3 · On-Call Stipend</t>
  </si>
  <si>
    <t>Total 701 · SEWER SALARY &amp; WAGES-EMPLOYEES</t>
  </si>
  <si>
    <t>703 · SEWER SALARY &amp; WAGES-OFFICERS</t>
  </si>
  <si>
    <t>703.8 · Admin &amp; General Expense</t>
  </si>
  <si>
    <t>Total 703 · SEWER SALARY &amp; WAGES-OFFICERS</t>
  </si>
  <si>
    <t>704 · EMPLOYEE PENSION &amp; BENEFITS</t>
  </si>
  <si>
    <t>704.8 · Administrative &amp; General</t>
  </si>
  <si>
    <t>Total 704 · EMPLOYEE PENSION &amp; BENEFITS</t>
  </si>
  <si>
    <t>715 · PURCHASED ELECTRICAL POWER</t>
  </si>
  <si>
    <t>715.1 · Lift Stations</t>
  </si>
  <si>
    <t>715.2 · Treatment Plant</t>
  </si>
  <si>
    <t>Total 715 · PURCHASED ELECTRICAL POWER</t>
  </si>
  <si>
    <t>718 · CHEMICALS</t>
  </si>
  <si>
    <t>718.3 · Chemicals</t>
  </si>
  <si>
    <t>Total 718 · CHEMICALS</t>
  </si>
  <si>
    <t>720 · MATERIALS &amp; SUPPLIES</t>
  </si>
  <si>
    <t>720.2 · LIFT STATION MAINTENANCE</t>
  </si>
  <si>
    <t>720.21 · Materials &amp; Supplies</t>
  </si>
  <si>
    <t>Total 720.2 · LIFT STATION MAINTENANCE</t>
  </si>
  <si>
    <t>720.3 · TREATMENT PLANT OPERATIONS</t>
  </si>
  <si>
    <t>720.31 · Propane</t>
  </si>
  <si>
    <t>720.32 · Materials &amp; Supplies</t>
  </si>
  <si>
    <t>Total 720.3 · TREATMENT PLANT OPERATIONS</t>
  </si>
  <si>
    <t>720.4 · TREATMENT PLANT MAINTENANCE</t>
  </si>
  <si>
    <t>720.43 · Lab and Sampling</t>
  </si>
  <si>
    <t>720.44 · Safety Equipment</t>
  </si>
  <si>
    <t>720.45 · Generator</t>
  </si>
  <si>
    <t>720.46 · Electrical Repair</t>
  </si>
  <si>
    <t>720.47 · Maintenance</t>
  </si>
  <si>
    <t>Total 720.4 · TREATMENT PLANT MAINTENANCE</t>
  </si>
  <si>
    <t>720.5 · COLLECTION SYSTEM OPERATIONS</t>
  </si>
  <si>
    <t>720.52 · Materials &amp; Supplies</t>
  </si>
  <si>
    <t>Total 720.5 · COLLECTION SYSTEM OPERATIONS</t>
  </si>
  <si>
    <t>720.6 · COLLECTION SYSTEM MAINTENANCE</t>
  </si>
  <si>
    <t>720.63 · Lift Stations</t>
  </si>
  <si>
    <t>720.64 · Service Lines</t>
  </si>
  <si>
    <t>720.65 · Materials &amp; Supplies</t>
  </si>
  <si>
    <t>Total 720.6 · COLLECTION SYSTEM MAINTENANCE</t>
  </si>
  <si>
    <t>720.7 · CUSTOMER COLLECTIONS</t>
  </si>
  <si>
    <t>720.71 · Liens</t>
  </si>
  <si>
    <t>Total 720.7 · CUSTOMER COLLECTIONS</t>
  </si>
  <si>
    <t>720.8 · ADMINISTRATIVE &amp; GENERAL</t>
  </si>
  <si>
    <t>720.81 · Materials &amp; Supplies</t>
  </si>
  <si>
    <t>720.82 · Postage</t>
  </si>
  <si>
    <t>720.83 · Communication</t>
  </si>
  <si>
    <t>Total 720.8 · ADMINISTRATIVE &amp; GENERAL</t>
  </si>
  <si>
    <t>Total 720 · MATERIALS &amp; SUPPLIES</t>
  </si>
  <si>
    <t>731 · CONTRACTUAL - ENGINEER</t>
  </si>
  <si>
    <t>731.2 · Treatment Plant</t>
  </si>
  <si>
    <t>Total 731 · CONTRACTUAL - ENGINEER</t>
  </si>
  <si>
    <t>732 · CONTRACTUAL - ACCOUNTING</t>
  </si>
  <si>
    <t>732.1 · Audit</t>
  </si>
  <si>
    <t>732.4 · Payroll</t>
  </si>
  <si>
    <t>732.5 · Technical Support</t>
  </si>
  <si>
    <t>732.6 · Administrative - Town of SWH</t>
  </si>
  <si>
    <t>732.7 · General Accounting</t>
  </si>
  <si>
    <t>Total 732 · CONTRACTUAL - ACCOUNTING</t>
  </si>
  <si>
    <t>733 · CONTRACTUAL SERVICES - LEGAL</t>
  </si>
  <si>
    <t>733.1 · General</t>
  </si>
  <si>
    <t>733.2 · Labor</t>
  </si>
  <si>
    <t>Total 733 · CONTRACTUAL SERVICES - LEGAL</t>
  </si>
  <si>
    <t>735 · CONTRACTUAL - OTHER</t>
  </si>
  <si>
    <t>735.2 · Plumbing</t>
  </si>
  <si>
    <t>Total 735 · CONTRACTUAL - OTHER</t>
  </si>
  <si>
    <t>741 · RENTAL OF BLDG/REAL PROPERTY</t>
  </si>
  <si>
    <t>741.8 · Administration - Office</t>
  </si>
  <si>
    <t>Total 741 · RENTAL OF BLDG/REAL PROPERTY</t>
  </si>
  <si>
    <t>742 · RENTAL OF EQUIPMENT</t>
  </si>
  <si>
    <t>742.8 · Administrative</t>
  </si>
  <si>
    <t>Total 742 · RENTAL OF EQUIPMENT</t>
  </si>
  <si>
    <t>750 · TRANSPORTATION EXPENSES</t>
  </si>
  <si>
    <t>750.1 · Maintenance</t>
  </si>
  <si>
    <t>750.2 · Fuel</t>
  </si>
  <si>
    <t>750.3 · Diesel</t>
  </si>
  <si>
    <t>Total 750 · TRANSPORTATION EXPENSES</t>
  </si>
  <si>
    <t>756 · INSURANCE - VEHICLE</t>
  </si>
  <si>
    <t>756.8 · Admin &amp; General</t>
  </si>
  <si>
    <t>Total 756 · INSURANCE - VEHICLE</t>
  </si>
  <si>
    <t>757 · INSURANCE - GENERAL LIAB</t>
  </si>
  <si>
    <t>757.8 · Property &amp; Casual, General Liab</t>
  </si>
  <si>
    <t>Total 757 · INSURANCE - GENERAL LIAB</t>
  </si>
  <si>
    <t>758 · INSURANCE - WCC</t>
  </si>
  <si>
    <t>758.8 · Administrative &amp; General</t>
  </si>
  <si>
    <t>Total 758 · INSURANCE - WCC</t>
  </si>
  <si>
    <t>759 · INSURANCE - OTHER</t>
  </si>
  <si>
    <t>759.8 · Directors &amp; Officers Liability</t>
  </si>
  <si>
    <t>759.81 · Unemployment</t>
  </si>
  <si>
    <t>Total 759 · INSURANCE - OTHER</t>
  </si>
  <si>
    <t>760 · ADVERTISING EXPENSE</t>
  </si>
  <si>
    <t>760.8 · Administrative &amp; General</t>
  </si>
  <si>
    <t>Total 760 · ADVERTISING EXPENSE</t>
  </si>
  <si>
    <t>775 · MISCELLANEOUS EXPENSES</t>
  </si>
  <si>
    <t>775.6 · Bank Fees</t>
  </si>
  <si>
    <t>775.7 · License and Fees</t>
  </si>
  <si>
    <t>775.9 · Penalties &amp; Fines</t>
  </si>
  <si>
    <t>Total 775 · MISCELLANEOUS EXPENSES</t>
  </si>
  <si>
    <t>700 · SEWER OPERATING EXPENSE - Other</t>
  </si>
  <si>
    <t>Total 700 · SEWER OPERATING EXPENSE</t>
  </si>
  <si>
    <t>Total Expense</t>
  </si>
  <si>
    <t>Net Ordinary Income</t>
  </si>
  <si>
    <t>2017 Budget</t>
  </si>
  <si>
    <t>Capital purchases</t>
  </si>
  <si>
    <t>IT</t>
  </si>
  <si>
    <t>$4,000 approved 2017</t>
  </si>
  <si>
    <t>$2,000 approved 2017</t>
  </si>
  <si>
    <t>Capital Improvement Plan</t>
  </si>
  <si>
    <t>Other Capital purchases</t>
  </si>
  <si>
    <t>Subtracted from benefits above</t>
  </si>
  <si>
    <t>$137 approved 2017</t>
  </si>
  <si>
    <t>$20,000 approved 2017</t>
  </si>
  <si>
    <t>$5,000 approved 2017</t>
  </si>
  <si>
    <t>$300 Liens and $300 Discharges approved 2017</t>
  </si>
  <si>
    <t>heating oil? Put somewhere else?</t>
  </si>
  <si>
    <t>$2520 approved 2017</t>
  </si>
  <si>
    <t>$356,952 agrees with this portion of approved 2017</t>
  </si>
  <si>
    <t>Need full year interest cost</t>
  </si>
  <si>
    <t>In 2017 budget - $5,000 computer licenses, $3,000 Equipment Repairs &amp; Maint, $900 Uniforms, $500 dues</t>
  </si>
  <si>
    <t>Other</t>
  </si>
  <si>
    <t>Contingency</t>
  </si>
  <si>
    <t>$66,000 approved 2017</t>
  </si>
  <si>
    <t>$15,511 approved 2017</t>
  </si>
  <si>
    <t>Need to split between principal and interest</t>
  </si>
  <si>
    <t>$50,818 approved 2017</t>
  </si>
  <si>
    <t>$3,560 approved 2017</t>
  </si>
  <si>
    <t>$1,400 approved 2017</t>
  </si>
  <si>
    <t>Subtracted from benefits above.</t>
  </si>
  <si>
    <t>No budget entered yet</t>
  </si>
  <si>
    <t>$121,598 approved 2017</t>
  </si>
  <si>
    <t>$1,800 approved 2017</t>
  </si>
  <si>
    <t>Notes</t>
  </si>
  <si>
    <t>Total 401 · WATER EXPENSE</t>
  </si>
  <si>
    <t>Total 675 · MISCELLANEOUS EXPENSES</t>
  </si>
  <si>
    <t>675.9 · Penalties &amp; Fines</t>
  </si>
  <si>
    <t>675.8 · Admin &amp; General</t>
  </si>
  <si>
    <t>675.7 · License &amp; Fees</t>
  </si>
  <si>
    <t>675 · MISCELLANEOUS EXPENSES</t>
  </si>
  <si>
    <t>Total 667 · REGULATORY COMMISSION-OTHER</t>
  </si>
  <si>
    <t>667.8 · Admin &amp; General</t>
  </si>
  <si>
    <t>667.1 · Regulatory Assessment</t>
  </si>
  <si>
    <t>667 · REGULATORY COMMISSION-OTHER</t>
  </si>
  <si>
    <t>Total 660 · ADVERTISING EXPENSE</t>
  </si>
  <si>
    <t>660.8 · Admin &amp; General</t>
  </si>
  <si>
    <t>660 · ADVERTISING EXPENSE</t>
  </si>
  <si>
    <t>Total 659 · INSURANCE -OTHER</t>
  </si>
  <si>
    <t>659.81 · Public Officials</t>
  </si>
  <si>
    <t>659 · INSURANCE -OTHER</t>
  </si>
  <si>
    <t>Total 658 · INSURANCE-WORKERS COMP</t>
  </si>
  <si>
    <t>658.8 · Workmans Comp</t>
  </si>
  <si>
    <t>658 · INSURANCE-WORKERS COMP</t>
  </si>
  <si>
    <t>Total 657 · INSURANCE - GEN LIAB</t>
  </si>
  <si>
    <t>657.8 · Administrative &amp; General</t>
  </si>
  <si>
    <t>657 · INSURANCE - GEN LIAB</t>
  </si>
  <si>
    <t>Total 656 · INSURANCE - VEHICLE</t>
  </si>
  <si>
    <t>656.8 · Admin &amp; General</t>
  </si>
  <si>
    <t>656 · INSURANCE - VEHICLE</t>
  </si>
  <si>
    <t>Total 650 · TRANSPORTATION EXPENSES</t>
  </si>
  <si>
    <t>650.2 · Fuel</t>
  </si>
  <si>
    <t>650.1 · General Maintenance</t>
  </si>
  <si>
    <t>650 · TRANSPORTATION EXPENSES</t>
  </si>
  <si>
    <t>Total 641 · RENTAL OF BLDG/REAL PROPERTY</t>
  </si>
  <si>
    <t>641.8 · Admin &amp; General</t>
  </si>
  <si>
    <t>641 · RENTAL OF BLDG/REAL PROPERTY</t>
  </si>
  <si>
    <t>Total 635 · CONTRACTUAL SERVICES OTHER</t>
  </si>
  <si>
    <t>Total 635.7 · CONTRACTUAL - OFFICE/TECH</t>
  </si>
  <si>
    <t>635.72 · Admin &amp; General - Town of SWH</t>
  </si>
  <si>
    <t>635.71 · Technical Support</t>
  </si>
  <si>
    <t>635.7 · CONTRACTUAL - OFFICE/TECH</t>
  </si>
  <si>
    <t>Total 635.4 · TECH/COMMUNICATION CONTRACTS</t>
  </si>
  <si>
    <t>635.44 · Admin &amp; General</t>
  </si>
  <si>
    <t>635.4 · TECH/COMMUNICATION CONTRACTS</t>
  </si>
  <si>
    <t>Total 635.3 · GENERAL CONSTRUCTION CONT</t>
  </si>
  <si>
    <t>635.33 · Trans &amp; Distribution</t>
  </si>
  <si>
    <t>635.3 · GENERAL CONSTRUCTION CONT</t>
  </si>
  <si>
    <t>Total 635.2 · PLUMBING CONTRACTS</t>
  </si>
  <si>
    <t>635.22 · Water Treatment</t>
  </si>
  <si>
    <t>635.2 · PLUMBING CONTRACTS</t>
  </si>
  <si>
    <t>Total 635.1 · ELECTRICAL CONTRACTS</t>
  </si>
  <si>
    <t>635.12 · Water Treatment</t>
  </si>
  <si>
    <t>635.11 · Source of Supply &amp; Pumping</t>
  </si>
  <si>
    <t>635.1 · ELECTRICAL CONTRACTS</t>
  </si>
  <si>
    <t>635 · CONTRACTUAL SERVICES OTHER</t>
  </si>
  <si>
    <t>Total 633 · CONTRACTUAL SERVICES - LEGAL</t>
  </si>
  <si>
    <t>633.2 · Labor</t>
  </si>
  <si>
    <t>633.1 · General</t>
  </si>
  <si>
    <t>633 · CONTRACTUAL SERVICES - LEGAL</t>
  </si>
  <si>
    <t>Total 632 · CONTRACTUAL SERVICES - ACCTING</t>
  </si>
  <si>
    <t>Total 632.5 · General Services</t>
  </si>
  <si>
    <t>632.5 · General Services - Other</t>
  </si>
  <si>
    <t>632.52 · Contractual Bookkeeping payroll</t>
  </si>
  <si>
    <t>632.51 · Contractual Bookkeeping</t>
  </si>
  <si>
    <t>632.5 · General Services</t>
  </si>
  <si>
    <t>632.4 · Outsourced Payroll Services</t>
  </si>
  <si>
    <t>632.1 · Audit</t>
  </si>
  <si>
    <t>632 · CONTRACTUAL SERVICES - ACCTING</t>
  </si>
  <si>
    <t>Total 631 · CONTRACTUAL SERV. - ENGINEER</t>
  </si>
  <si>
    <t>631.2 · Water Treatment</t>
  </si>
  <si>
    <t>631 · CONTRACTUAL SERV. - ENGINEER</t>
  </si>
  <si>
    <t>Total 620 · MATERIALS &amp; SUPPLIES</t>
  </si>
  <si>
    <t>Total 620.8 · ADMIN &amp; GENERAL EXPENSE</t>
  </si>
  <si>
    <t>620.84 · General Administration</t>
  </si>
  <si>
    <t>620.83 · Personnel Administration</t>
  </si>
  <si>
    <t>620.8 · ADMIN &amp; GENERAL EXPENSE</t>
  </si>
  <si>
    <t>Total 620.7 · CUSTOMER ACCOUNTS EXPENSES</t>
  </si>
  <si>
    <t>620.73 · Collecting</t>
  </si>
  <si>
    <t>620.72 · Meter Reading</t>
  </si>
  <si>
    <t>620.71 · Customer Billing &amp; Accounting</t>
  </si>
  <si>
    <t>620.7 · CUSTOMER ACCOUNTS EXPENSES</t>
  </si>
  <si>
    <t>Total 620.6 · TRANS &amp; DIST. EXP MAINT.</t>
  </si>
  <si>
    <t>620.64 · General Maintenance</t>
  </si>
  <si>
    <t>620.63 · Meter &amp; Meter Installation</t>
  </si>
  <si>
    <t>620.62 · Service Lines</t>
  </si>
  <si>
    <t>620.61 · Hydrants, Valves, Mains</t>
  </si>
  <si>
    <t>620.6 · TRANS &amp; DIST. EXP MAINT.</t>
  </si>
  <si>
    <t>Total 620.5 · TRANS &amp; DIST EXP. OPER</t>
  </si>
  <si>
    <t>620.53 · General Maintenance</t>
  </si>
  <si>
    <t>620.52 · Propane</t>
  </si>
  <si>
    <t>620.5 · TRANS &amp; DIST EXP. OPER</t>
  </si>
  <si>
    <t>Total 620.4 · WATER TREATMENT EXP MAINT.</t>
  </si>
  <si>
    <t>620.45 · General Maintenance</t>
  </si>
  <si>
    <t>620.44 · Generator</t>
  </si>
  <si>
    <t>620.42 · Pumps &amp; Mains</t>
  </si>
  <si>
    <t>620.41 · Electrical</t>
  </si>
  <si>
    <t>620.4 · WATER TREATMENT EXP MAINT.</t>
  </si>
  <si>
    <t>Total 620.3 · WATER TREATMENT EXP OPER</t>
  </si>
  <si>
    <t>620.33 · Lab &amp; Sampling</t>
  </si>
  <si>
    <t>620.32 · Propane</t>
  </si>
  <si>
    <t>620.3 · WATER TREATMENT EXP OPER</t>
  </si>
  <si>
    <t>Total 620.2 · SOURCE OF SUPPLY/PUMPING MAINT.</t>
  </si>
  <si>
    <t>620.25 · General Maintenance</t>
  </si>
  <si>
    <t>620.24 · Generator</t>
  </si>
  <si>
    <t>620.23 · Intake Line</t>
  </si>
  <si>
    <t>620.22 · Pumps and Mains</t>
  </si>
  <si>
    <t>620.21 · Electrical</t>
  </si>
  <si>
    <t>620.2 · SOURCE OF SUPPLY/PUMPING MAINT.</t>
  </si>
  <si>
    <t>Total 620.1 · SOURCE OF SUPPLY/PUMPING OPER.</t>
  </si>
  <si>
    <t>620.13 · Communications</t>
  </si>
  <si>
    <t>620.12 · Propane</t>
  </si>
  <si>
    <t>620.1 · SOURCE OF SUPPLY/PUMPING OPER.</t>
  </si>
  <si>
    <t>620 · MATERIALS &amp; SUPPLIES</t>
  </si>
  <si>
    <t>Total 618 · CHEMICALS</t>
  </si>
  <si>
    <t>618.3 · Water Treatment Exp Operations</t>
  </si>
  <si>
    <t>618 · CHEMICALS</t>
  </si>
  <si>
    <t>Total 615 · PURCHASED POWER</t>
  </si>
  <si>
    <t>615.5 · Trans &amp; Distribution Operation</t>
  </si>
  <si>
    <t>615.2 · Water Treatment Operations</t>
  </si>
  <si>
    <t>615.1 · Source of Supply &amp; Pumping Exp</t>
  </si>
  <si>
    <t>615 · PURCHASED POWER</t>
  </si>
  <si>
    <t>Total 604 · EMPLOYEE PENSIONS &amp; BENEFITS</t>
  </si>
  <si>
    <t>604.8 · Admin &amp; General Expense</t>
  </si>
  <si>
    <t>604 · EMPLOYEE PENSIONS &amp; BENEFITS</t>
  </si>
  <si>
    <t>Total 603 · SALARIES &amp; WAGES - TRUSTEES</t>
  </si>
  <si>
    <t>603.8 · Admin &amp; General Expense</t>
  </si>
  <si>
    <t>603 · SALARIES &amp; WAGES - TRUSTEES</t>
  </si>
  <si>
    <t>Total 601 · SALARIES &amp; WAGES-EMPLOYEES</t>
  </si>
  <si>
    <t>Total 601.8 · ADMINISTRATIVE &amp; GENERAL EXP</t>
  </si>
  <si>
    <t>601.83 · Admin &amp; General Overtime</t>
  </si>
  <si>
    <t>601.82 · Admin &amp; General  Office Manager</t>
  </si>
  <si>
    <t>601.81 · Admin. &amp; General - Manager</t>
  </si>
  <si>
    <t>601.8 · ADMINISTRATIVE &amp; GENERAL EXP</t>
  </si>
  <si>
    <t>Total 601.5 · TRANS &amp; DIST. MAINTENANCE</t>
  </si>
  <si>
    <t>601.53 · Trans &amp; Dist. Maint. On Call</t>
  </si>
  <si>
    <t>601.52 · Trans &amp; Dist. Maint. Overtime</t>
  </si>
  <si>
    <t>601.51 · Trans &amp; Dist Maint Staff</t>
  </si>
  <si>
    <t>601.5 · TRANS &amp; DIST. MAINTENANCE</t>
  </si>
  <si>
    <t>601 · SALARIES &amp; WAGES-EMPLOYEES</t>
  </si>
  <si>
    <t>401 · WATER EXPENSE</t>
  </si>
  <si>
    <t>Total 427 · INTEREST EXPENSE</t>
  </si>
  <si>
    <t>427.5 · Interest- Other/ Fees</t>
  </si>
  <si>
    <t>427.3 · Interest on Long-Term Debt</t>
  </si>
  <si>
    <t>427 · INTEREST EXPENSE</t>
  </si>
  <si>
    <t>Total 408 · TAXES OTHER THAN INCOME</t>
  </si>
  <si>
    <t>408.21 · Payroll Taxes</t>
  </si>
  <si>
    <t>408.13 · Other Taxes &amp; Licenses</t>
  </si>
  <si>
    <t>408 · TAXES OTHER THAN INCOME</t>
  </si>
  <si>
    <t>Total 400 · OPERATING REVENUES</t>
  </si>
  <si>
    <t>Total 462 · FIRE PROTECTION REVENUE</t>
  </si>
  <si>
    <t>462.2 · Private Fire Protection</t>
  </si>
  <si>
    <t>462.1 · Public Fire Protection</t>
  </si>
  <si>
    <t>462 · FIRE PROTECTION REVENUE</t>
  </si>
  <si>
    <t>Total 461 · METERED WATER REVENUE</t>
  </si>
  <si>
    <t>461.4 · Metered to Public Authorities</t>
  </si>
  <si>
    <t>461.2 · Metered Sale/Commercial</t>
  </si>
  <si>
    <t>461.1 · Metered Sales/Residental</t>
  </si>
  <si>
    <t>461 · METERED WATER REVENUE</t>
  </si>
  <si>
    <t>400 · OPERATING REVENUES</t>
  </si>
  <si>
    <t>per approved 2017 budget</t>
  </si>
  <si>
    <t>$66,173 approved 2017</t>
  </si>
  <si>
    <t>$53,040 approved 2017</t>
  </si>
  <si>
    <t>$20,280 approved 2017</t>
  </si>
  <si>
    <t>$4,680 approved 2017</t>
  </si>
  <si>
    <t>$14,000 approved 2017</t>
  </si>
  <si>
    <t>$12,000 total approved 2017. See accounts 620.12, 620.32, and 620.52</t>
  </si>
  <si>
    <t>$3,000 total approved 2017 for Pump Station maintenance</t>
  </si>
  <si>
    <t>$23,000 total approved 2017 for distribution lines maintenance</t>
  </si>
  <si>
    <t>$23,000 total approved 2017 for treatment plant maintenance</t>
  </si>
  <si>
    <t>$0 approved 2017</t>
  </si>
  <si>
    <t>$500 approved 2017 for Office Equipment</t>
  </si>
  <si>
    <t>Approved 2017: $2,000 safety equipment, $900 uniforms, $1,000 dues (licenses, prof orgs). Are there other accounts for this?</t>
  </si>
  <si>
    <t>$8,000 approved 2017 in line 4020-30 for "Water Dept Materials" added to this budget</t>
  </si>
  <si>
    <t>Does not include $8,000 approved 2017 for 4020-new "transfer sales tax to state". See account 408.21 in Income.</t>
  </si>
  <si>
    <t>$19,470 approved 2017</t>
  </si>
  <si>
    <t>Legal Reserve</t>
  </si>
  <si>
    <t>$70,000 approved 2017</t>
  </si>
  <si>
    <t>Interest, User fees</t>
  </si>
  <si>
    <t>Misc. Revenue</t>
  </si>
  <si>
    <t>$653,000 approved 2017</t>
  </si>
  <si>
    <t>$4,000 approved 2017. (should this be in acct 667?)</t>
  </si>
  <si>
    <t>Need to separate principal and interest</t>
  </si>
  <si>
    <t>Salaries &amp; Benefits</t>
  </si>
  <si>
    <t>Title</t>
  </si>
  <si>
    <t>Total hrs/wk</t>
  </si>
  <si>
    <t>% Water</t>
  </si>
  <si>
    <t>District Manager (Kenney)</t>
  </si>
  <si>
    <t>Wastewater Sys Op (Farley)</t>
  </si>
  <si>
    <t>Trustees</t>
  </si>
  <si>
    <t>Overtime</t>
  </si>
  <si>
    <t>% Sewer</t>
  </si>
  <si>
    <t>Person</t>
  </si>
  <si>
    <t>Self only</t>
  </si>
  <si>
    <t>Water FICA/MED</t>
  </si>
  <si>
    <t>Water Health</t>
  </si>
  <si>
    <t>Water IPP</t>
  </si>
  <si>
    <t>Water Retirement</t>
  </si>
  <si>
    <t>Sewer FICA/MED</t>
  </si>
  <si>
    <t>Sewer Health</t>
  </si>
  <si>
    <t>Sewer IPP</t>
  </si>
  <si>
    <t>Sewer Retirement</t>
  </si>
  <si>
    <t>Sewer Total</t>
  </si>
  <si>
    <t>Water Totals</t>
  </si>
  <si>
    <t>Hourly Rate</t>
  </si>
  <si>
    <t>Water Total</t>
  </si>
  <si>
    <t>Water Subtotal</t>
  </si>
  <si>
    <t>2017 Notes</t>
  </si>
  <si>
    <t>2018 notes</t>
  </si>
  <si>
    <t>Sewer Subtotal</t>
  </si>
  <si>
    <t>Water Notes</t>
  </si>
  <si>
    <t>FICA/MED</t>
  </si>
  <si>
    <t>Health</t>
  </si>
  <si>
    <t>IPP</t>
  </si>
  <si>
    <t>Retirement</t>
  </si>
  <si>
    <t>Workers Comp</t>
  </si>
  <si>
    <t>Totals</t>
  </si>
  <si>
    <t>Salary &amp; Wages</t>
  </si>
  <si>
    <t>% by Dept</t>
  </si>
  <si>
    <t>Weekly Rate</t>
  </si>
  <si>
    <t>Sewer Totals</t>
  </si>
  <si>
    <t>Sewer Notes</t>
  </si>
  <si>
    <t>Water Department Positions</t>
  </si>
  <si>
    <t>Sewer Department Positions</t>
  </si>
  <si>
    <t>Do we know about what this will be for 2018?</t>
  </si>
  <si>
    <t xml:space="preserve">Employee Benefit info </t>
  </si>
  <si>
    <t>employee per month</t>
  </si>
  <si>
    <t>WSD per month</t>
  </si>
  <si>
    <t>WSD per year</t>
  </si>
  <si>
    <t>Kenney</t>
  </si>
  <si>
    <t>Willey</t>
  </si>
  <si>
    <t>$1,338/mo</t>
  </si>
  <si>
    <t>Conary</t>
  </si>
  <si>
    <t>$758.59/mo</t>
  </si>
  <si>
    <t>$1,053.08/mo</t>
  </si>
  <si>
    <t>Farley</t>
  </si>
  <si>
    <t>ok</t>
  </si>
  <si>
    <t>$55/mo more</t>
  </si>
  <si>
    <t>$108/mo more</t>
  </si>
  <si>
    <t>Office Mgr (Novak, part-time)</t>
  </si>
  <si>
    <t>Health insurance</t>
  </si>
  <si>
    <t>This is actually for payroll taxes, acct 408.21</t>
  </si>
  <si>
    <t>Sales Tax (transfer to state) (TRIO 405)</t>
  </si>
  <si>
    <t>Transfer sales tax to State (TRIO 4020-new)</t>
  </si>
  <si>
    <t>Not shown - $8,000 sales tax to be transferred to State, $1,500 interest, $1,500 misc revenue</t>
  </si>
  <si>
    <t>$61,954 approved  2017. Subtracted $5,384 worker's comp (in acct 658.8) and $11,540 payroll tax (in account 427.5). This line includes $2,500 Unemployment insurance. Is there another account for that?</t>
  </si>
  <si>
    <t>$23,248 approved 2017 (included $0 interest and fees)</t>
  </si>
  <si>
    <t>$13,024 approved 2017 (included $0 interest and fees)</t>
  </si>
  <si>
    <t>$94,605 approved 2017 (included $13,943  interest and fees) - Reduce budget by $13,943</t>
  </si>
  <si>
    <t>bond fees - an expense</t>
  </si>
  <si>
    <t>Used for SS and MC payroll taxes. $9,440 approved 2017 in Personnel budget, but moved here</t>
  </si>
  <si>
    <t>$49,187 approved 2017. Adjusted by moving $4,368 Worker's Comp, $9,440 SS and MC, and $2,500 Unemployment to other accounts.</t>
  </si>
  <si>
    <t>Debt Service - Principal</t>
  </si>
  <si>
    <t>MMBB, interest payment in May, principal in Nov, interest $12,330? (from 2016 audit Note 5)</t>
  </si>
  <si>
    <t>$80,719 approved 2017 (included $26,914  interest and fees) - Reduce budget by $26,914</t>
  </si>
  <si>
    <t>Expenses</t>
  </si>
  <si>
    <t>from Personnel tab</t>
  </si>
  <si>
    <t>from personnel tab</t>
  </si>
  <si>
    <t>Calculated 2017 health care premiums do not agree with the actual amounts paid in 2017 shown below. Check.</t>
  </si>
  <si>
    <t>Calculated 2017 Health Care Premiums using MMEHT 1/1/17 rate schedule for PPO-1500</t>
  </si>
  <si>
    <t>222.1  Town of Southwest Harbor (former Repayment to Town, TRIO 7020-75)</t>
  </si>
  <si>
    <t>221.2 - MMBB 2009ARRA, Water Upgrade (formerly 2010 ARRA, TRIO 7020-85)</t>
  </si>
  <si>
    <t>221.3 - MMBB 2010 D Ln-2, Water Upgrade (formerly 2011 refinance, TRIO 7020-95)</t>
  </si>
  <si>
    <t>MMBB, payments Apr and Oct, interest $0 (from 2016 audit Note 5), but $1,107 per MMBB statement</t>
  </si>
  <si>
    <t>MMBB, payments Apr and Oct, interest $0 (from 2016 audit Note 5), but $620 per MMBB statement</t>
  </si>
  <si>
    <t>HRA allowance</t>
  </si>
  <si>
    <t>contracted repairs in acct 635</t>
  </si>
  <si>
    <t>635.31 Source of Supply and Pumping</t>
  </si>
  <si>
    <t>635.32 Water Treatment</t>
  </si>
  <si>
    <t>635.34 Service lines</t>
  </si>
  <si>
    <t>Office IT</t>
  </si>
  <si>
    <t>office rental</t>
  </si>
  <si>
    <t>office supplies, cell phones and office phone</t>
  </si>
  <si>
    <t>675.2 · Misc Postage</t>
  </si>
  <si>
    <t>billing postage in acct 620.71</t>
  </si>
  <si>
    <t>604.6 Uniforms, Boots, Safety Gear</t>
  </si>
  <si>
    <t>604.7 Physicals and drug tests</t>
  </si>
  <si>
    <t>Grand Total</t>
  </si>
  <si>
    <t>Sewer Subtotal (from above)</t>
  </si>
  <si>
    <t>Replace Filter Media</t>
  </si>
  <si>
    <t>Replace Chem Feed Pumps</t>
  </si>
  <si>
    <t>Move Chem Feed Pumps</t>
  </si>
  <si>
    <r>
      <t xml:space="preserve">SCADA upgrade WWTP &amp; LS </t>
    </r>
    <r>
      <rPr>
        <sz val="12"/>
        <color rgb="FFFF0000"/>
        <rFont val="Calibri"/>
        <family val="2"/>
        <scheme val="minor"/>
      </rPr>
      <t>(new)</t>
    </r>
  </si>
  <si>
    <t>Sludge Pump Rebuild/Replace</t>
  </si>
  <si>
    <t>PROJECT</t>
  </si>
  <si>
    <t xml:space="preserve">SOUTHWEST HARBOR WATER &amp; SEWER DISTRICT </t>
  </si>
  <si>
    <t>Fire Protection</t>
  </si>
  <si>
    <t>Total</t>
  </si>
  <si>
    <t>Personnel</t>
  </si>
  <si>
    <t>Power</t>
  </si>
  <si>
    <t>Materials</t>
  </si>
  <si>
    <t>Contracted Services</t>
  </si>
  <si>
    <t>Capital Improvements</t>
  </si>
  <si>
    <t>Debt Service</t>
  </si>
  <si>
    <t>Residential</t>
  </si>
  <si>
    <t>Commercial</t>
  </si>
  <si>
    <t>Other metered service</t>
  </si>
  <si>
    <t>Public</t>
  </si>
  <si>
    <t>720.1 Lift Station Operations</t>
  </si>
  <si>
    <t>720.12 Propane</t>
  </si>
  <si>
    <t>720.13 Materials and Supplies</t>
  </si>
  <si>
    <t>Total 720.1 Lift Station Operations</t>
  </si>
  <si>
    <t>720.48 Waste (sludge) removal</t>
  </si>
  <si>
    <t>720.481 Tip Fee (sludge treatment)</t>
  </si>
  <si>
    <t>720.483 Hauling/sludge removal</t>
  </si>
  <si>
    <t>Total 720.48 · Waste (Sludge) Removal</t>
  </si>
  <si>
    <t>Total premium per month (enter)</t>
  </si>
  <si>
    <t>Total per month (enter)</t>
  </si>
  <si>
    <t>Self + child (Steven, Josh)</t>
  </si>
  <si>
    <t>Self + spouse (Tom)</t>
  </si>
  <si>
    <t>Note: Enter data in yellow highlighted cells below</t>
  </si>
  <si>
    <t>Net Income =</t>
  </si>
  <si>
    <t>includes contracting for maint and emergencies</t>
  </si>
  <si>
    <t>Install 2” water line/new water maine</t>
  </si>
  <si>
    <t>Rebuild lift station pumps</t>
  </si>
  <si>
    <t>Lab Equipment</t>
  </si>
  <si>
    <t>Proper size chain for chain fall</t>
  </si>
  <si>
    <t>Heating fuel containment</t>
  </si>
  <si>
    <t>Existing truck replacement</t>
  </si>
  <si>
    <t>Wastewater (new WWTP 2022)</t>
  </si>
  <si>
    <t>Water (Treatment Plant only, new pump station 2018)</t>
  </si>
  <si>
    <t>Electrical Upgrades, (Plant)</t>
  </si>
  <si>
    <t>Garage door/motor upgrades</t>
  </si>
  <si>
    <t>Structural inspection</t>
  </si>
  <si>
    <t>Water + Sewer Totals</t>
  </si>
  <si>
    <t>What if scenarios</t>
  </si>
  <si>
    <t>Net effect</t>
  </si>
  <si>
    <t>What if Michelle goes to full time with family health benefits</t>
  </si>
  <si>
    <t>Cost of full-time water treatment plant operator at $22/hour + benefits</t>
  </si>
  <si>
    <t>Full year cost W &amp; S</t>
  </si>
  <si>
    <t>Net Other Income</t>
  </si>
  <si>
    <t>403 · Depreciation</t>
  </si>
  <si>
    <t>EXPENSE</t>
  </si>
  <si>
    <t>Increase mainly due to additional staff</t>
  </si>
  <si>
    <t>INCOME</t>
  </si>
  <si>
    <t>Adjust for balanced budget</t>
  </si>
  <si>
    <t>Total Ordinary Income</t>
  </si>
  <si>
    <t>Total Ordinary Expense</t>
  </si>
  <si>
    <t>OTHER INCOME</t>
  </si>
  <si>
    <t>Total Other Income</t>
  </si>
  <si>
    <t>OTHER EXPENSES</t>
  </si>
  <si>
    <t>Total Other Expenses</t>
  </si>
  <si>
    <t>ORDINARY INCOME</t>
  </si>
  <si>
    <t>ORDINARY EXPENSE</t>
  </si>
  <si>
    <t>Other Income/Expense</t>
  </si>
  <si>
    <r>
      <t xml:space="preserve">Net </t>
    </r>
    <r>
      <rPr>
        <b/>
        <u/>
        <sz val="8"/>
        <color rgb="FF323232"/>
        <rFont val="Arial"/>
        <family val="2"/>
      </rPr>
      <t>Other</t>
    </r>
    <r>
      <rPr>
        <b/>
        <sz val="8"/>
        <color rgb="FF323232"/>
        <rFont val="Arial"/>
        <family val="2"/>
      </rPr>
      <t xml:space="preserve"> Income</t>
    </r>
  </si>
  <si>
    <r>
      <t xml:space="preserve">Net </t>
    </r>
    <r>
      <rPr>
        <b/>
        <u/>
        <sz val="8"/>
        <color rgb="FF323232"/>
        <rFont val="Arial"/>
        <family val="2"/>
      </rPr>
      <t>Ordinary</t>
    </r>
    <r>
      <rPr>
        <b/>
        <sz val="8"/>
        <color rgb="FF323232"/>
        <rFont val="Arial"/>
        <family val="2"/>
      </rPr>
      <t xml:space="preserve"> Income</t>
    </r>
  </si>
  <si>
    <r>
      <t xml:space="preserve">NET </t>
    </r>
    <r>
      <rPr>
        <b/>
        <u/>
        <sz val="8"/>
        <color rgb="FF323232"/>
        <rFont val="Arial"/>
        <family val="2"/>
      </rPr>
      <t>ORDINARY</t>
    </r>
    <r>
      <rPr>
        <b/>
        <sz val="8"/>
        <color rgb="FF323232"/>
        <rFont val="Arial"/>
        <family val="2"/>
      </rPr>
      <t xml:space="preserve"> INCOME</t>
    </r>
  </si>
  <si>
    <t>2017 Actual</t>
  </si>
  <si>
    <t>710 - Purchased Water</t>
  </si>
  <si>
    <t>775.5 - Equipment Repairs &amp; Maintenance</t>
  </si>
  <si>
    <t>620.51 Emergency Repair</t>
  </si>
  <si>
    <t>632.2  Software programs &amp; Support</t>
  </si>
  <si>
    <t>221.51 - MMBB Bond 2010D Ln-1 (former Sewer Refinance, TRIO 7020-70)</t>
  </si>
  <si>
    <t>221.1 - 2009FR-DW, Refinance Water Bonds (formerly 2010 FR, TRIO 7020-90)</t>
  </si>
  <si>
    <t>See below</t>
  </si>
  <si>
    <r>
      <t xml:space="preserve">Net </t>
    </r>
    <r>
      <rPr>
        <b/>
        <u/>
        <sz val="10"/>
        <color rgb="FF323232"/>
        <rFont val="Arial"/>
        <family val="2"/>
      </rPr>
      <t>Total</t>
    </r>
    <r>
      <rPr>
        <b/>
        <sz val="10"/>
        <color rgb="FF323232"/>
        <rFont val="Arial"/>
        <family val="2"/>
      </rPr>
      <t xml:space="preserve"> Income</t>
    </r>
  </si>
  <si>
    <t>2016 audit Note 5 shows $12,330 interest in 2018. MMBA statement shows 2 rounds of payments of $6,971.48, $310.10, and $553.53 for annual total of $15,670. Moved to Other Expense. Budgeted number from Steven.</t>
  </si>
  <si>
    <t>From personnel tab - health, IPP, retirement. Health costs need work. Worker's comp in 758.8. OASDI (ss) and Medicare taxes in 508.10</t>
  </si>
  <si>
    <t>Anticipated efficiency savings</t>
  </si>
  <si>
    <t>Budget bottom line</t>
  </si>
  <si>
    <t>Recorded in Other Income. Not part of operating budget.</t>
  </si>
  <si>
    <t>APPROVED ON:</t>
  </si>
  <si>
    <t>Sewer and Water District Operating Budget 2019 Personnel</t>
  </si>
  <si>
    <t>Field Tech (Davis)</t>
  </si>
  <si>
    <t>Field Tech (Schoff)</t>
  </si>
  <si>
    <t>COLA?</t>
  </si>
  <si>
    <t>2019 Budget Preparation</t>
  </si>
  <si>
    <t>Confirm %water/sewer for personnel</t>
  </si>
  <si>
    <t>Check actual insurance payments vs budgeted</t>
  </si>
  <si>
    <t xml:space="preserve"> 2019 costs are assumed to rise</t>
  </si>
  <si>
    <t>2019 Health Care (estimated)</t>
  </si>
  <si>
    <t>Estimated 2019 Total Health Benefit cost</t>
  </si>
  <si>
    <t>2019 Budget</t>
  </si>
  <si>
    <t>2019-2018 Budget</t>
  </si>
  <si>
    <t>On-call Stipend</t>
  </si>
  <si>
    <t>Check bond payments</t>
  </si>
  <si>
    <t>Summary of 2019 Water Budget</t>
  </si>
  <si>
    <t>Summary of 2019 Sewer Budget</t>
  </si>
  <si>
    <r>
      <t xml:space="preserve">Debt Service - </t>
    </r>
    <r>
      <rPr>
        <b/>
        <u/>
        <sz val="9"/>
        <color rgb="FF323232"/>
        <rFont val="Arial"/>
        <family val="2"/>
      </rPr>
      <t>Principal</t>
    </r>
    <r>
      <rPr>
        <b/>
        <sz val="9"/>
        <color rgb="FF323232"/>
        <rFont val="Arial"/>
        <family val="2"/>
      </rPr>
      <t xml:space="preserve"> (Interest is in account 427.3) These accounts only show on balance sheet, but are paid from current year income</t>
    </r>
  </si>
  <si>
    <t>2019 Notes</t>
  </si>
  <si>
    <t>check</t>
  </si>
  <si>
    <t>Check 2019 depreciation</t>
  </si>
  <si>
    <t>2019 COLA =</t>
  </si>
  <si>
    <t>From personnel tab. District payments for OASDI (soc sec) and Medicare.</t>
  </si>
  <si>
    <t>Sewer Salary &amp; Wages</t>
  </si>
  <si>
    <t>Sewer Work Comp</t>
  </si>
  <si>
    <t>Water Salary &amp; Wages</t>
  </si>
  <si>
    <t>Water Work Comp</t>
  </si>
  <si>
    <t>per revised agreement with Town 5/22/18</t>
  </si>
  <si>
    <t>Changed rate to reflect 2019 rate per agreement</t>
  </si>
  <si>
    <t xml:space="preserve"> Changed rate to reflect new rate for 2019 per agreement</t>
  </si>
  <si>
    <t>We are under budget this year, but will have actual employees next year so the figure looks good for our part of medicare.</t>
  </si>
  <si>
    <t>$100 @ meeting x 12 x 5 = $6k, 1/2 = $3k + extra $100 for H2O share of chair.</t>
  </si>
  <si>
    <t>2 new employees, more funds needed</t>
  </si>
  <si>
    <r>
      <t>From Personnel tab:health, IPP &amp; retirement. Health costs need work. Worker's comp in 658.8. SS and medicare in 408.21</t>
    </r>
    <r>
      <rPr>
        <sz val="8"/>
        <color rgb="FFFF0000"/>
        <rFont val="Arial"/>
        <family val="2"/>
      </rPr>
      <t xml:space="preserve"> Currently under budget by $23k</t>
    </r>
  </si>
  <si>
    <t xml:space="preserve">If all is completed by 2019, the new energy efficioant motors should keep costs down. </t>
  </si>
  <si>
    <t>Reflects real expenses</t>
  </si>
  <si>
    <t>This figure looks good</t>
  </si>
  <si>
    <t>No expenses this year due to planned upgrades</t>
  </si>
  <si>
    <t>No expenses this year due to all work being done under specific projects, (grant / loans)</t>
  </si>
  <si>
    <t>Same as above</t>
  </si>
  <si>
    <t xml:space="preserve">Annual maint agreement. </t>
  </si>
  <si>
    <t>Emergemcy Repairs, materials, etc…</t>
  </si>
  <si>
    <t>Hydrant replacement not in this line item.</t>
  </si>
  <si>
    <t>Repairs and materials</t>
  </si>
  <si>
    <t>Meter related materials</t>
  </si>
  <si>
    <t>New transmitter funds &amp; program costs</t>
  </si>
  <si>
    <t>Past actual costs</t>
  </si>
  <si>
    <t xml:space="preserve">Soucey </t>
  </si>
  <si>
    <t>Over budget this year due to district formation loose ends and bond issues.</t>
  </si>
  <si>
    <t>hydrant replacenet, etc…</t>
  </si>
  <si>
    <t>CUSI costs &amp; postage</t>
  </si>
  <si>
    <t>Reflects actual costs</t>
  </si>
  <si>
    <t>Actual</t>
  </si>
  <si>
    <t>May be able to lower</t>
  </si>
  <si>
    <t>reflects actual use</t>
  </si>
  <si>
    <t>reflects actual costs</t>
  </si>
  <si>
    <t>Credit card use fees</t>
  </si>
  <si>
    <t>Water Sys Op (Conray)</t>
  </si>
  <si>
    <t>5 members, 12 mtg/year</t>
  </si>
  <si>
    <t>`</t>
  </si>
  <si>
    <t>Rehab meters, install transmiters</t>
  </si>
  <si>
    <t>check actual workers comp costs breakdown per employee</t>
  </si>
  <si>
    <t>Per Diam (Willey)</t>
  </si>
  <si>
    <t>460</t>
  </si>
  <si>
    <t>Unmetered Income</t>
  </si>
  <si>
    <t xml:space="preserve">DRAFT INTERNAL FIVE YEAR CAPITOL PLAN </t>
  </si>
  <si>
    <t>district share is $13,586</t>
  </si>
  <si>
    <t>100% district</t>
  </si>
  <si>
    <t>district share is $16,740</t>
  </si>
  <si>
    <t>2018 Actual</t>
  </si>
  <si>
    <t>2019v2018 Budget</t>
  </si>
  <si>
    <t>Temp Employee</t>
  </si>
  <si>
    <t>Family (Willey-Retired)</t>
  </si>
  <si>
    <t>Now under Town budget per contract</t>
  </si>
  <si>
    <t>635.35 Emergency Repair</t>
  </si>
  <si>
    <t>2018 had one time bill for SCADA upgrade</t>
  </si>
  <si>
    <t>Town Hall Staff</t>
  </si>
  <si>
    <t>675.3 - Credit Card Fees</t>
  </si>
  <si>
    <t>Ends up being no cost</t>
  </si>
  <si>
    <t>Grant reimbursement</t>
  </si>
  <si>
    <t>One time equipment purchase 2018</t>
  </si>
  <si>
    <t>??</t>
  </si>
  <si>
    <t>775.8 · Admin &amp; General</t>
  </si>
  <si>
    <t>New truck, replace 2013 GMC</t>
  </si>
  <si>
    <t>Actual figure from MMA</t>
  </si>
  <si>
    <t>Origonal 2018 estimate was $564K</t>
  </si>
  <si>
    <t>Reflects actual expenses and possible more savings if blowers can be elliminated.</t>
  </si>
  <si>
    <t>No longer our cost, Town expense per contract.</t>
  </si>
  <si>
    <r>
      <t>Budget bottom line.</t>
    </r>
    <r>
      <rPr>
        <sz val="8"/>
        <color rgb="FFFF0000"/>
        <rFont val="Arial"/>
        <family val="2"/>
      </rPr>
      <t xml:space="preserve"> Income is skewed do to expenditures in 2017 that were reimbursed by State in 2018 of $83,000.</t>
    </r>
  </si>
  <si>
    <t>Even with 10% increase as of 7/1/18, 2018 usage is down so estimated rates did not raise 10%. 2019 figures represent a 5% increase.</t>
  </si>
  <si>
    <t>from MMBB docs</t>
  </si>
  <si>
    <t>720.33 Water Expenses</t>
  </si>
  <si>
    <t>Seperated #2 heating fuel from generator propane from 720.31 above.</t>
  </si>
  <si>
    <t>720.34 #2 Heating Fuel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</si>
</sst>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#,##0.0#%;\-#,##0.0#%"/>
    <numFmt numFmtId="165" formatCode="&quot;$&quot;#,##0.00"/>
    <numFmt numFmtId="166" formatCode="&quot;$&quot;#,##0"/>
    <numFmt numFmtId="167" formatCode="[$-F800]dddd\,\ mmmm\ dd\,\ yyyy"/>
    <numFmt numFmtId="168" formatCode="0.0%"/>
    <numFmt numFmtId="169" formatCode="&quot;$&quot;#,##0.000"/>
  </numFmts>
  <fonts count="5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color rgb="FF323232"/>
      <name val="Arial"/>
      <family val="2"/>
    </font>
    <font>
      <sz val="8"/>
      <color theme="1"/>
      <name val="Arial"/>
      <family val="2"/>
    </font>
    <font>
      <sz val="8"/>
      <color rgb="FF323232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10"/>
      <color rgb="FF323232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</font>
    <font>
      <b/>
      <sz val="12"/>
      <color rgb="FFFF0000"/>
      <name val="Times New Roman"/>
      <family val="1"/>
    </font>
    <font>
      <b/>
      <i/>
      <u/>
      <sz val="12"/>
      <name val="Times New Roman"/>
      <family val="1"/>
    </font>
    <font>
      <sz val="12"/>
      <color rgb="FFFF0000"/>
      <name val="Times New Roman"/>
      <family val="1"/>
    </font>
    <font>
      <b/>
      <i/>
      <sz val="12"/>
      <name val="Times New Roman"/>
      <family val="1"/>
    </font>
    <font>
      <i/>
      <u/>
      <sz val="12"/>
      <name val="Times New Roman"/>
      <family val="1"/>
    </font>
    <font>
      <u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i/>
      <sz val="10"/>
      <name val="Times New Roman"/>
      <family val="1"/>
    </font>
    <font>
      <sz val="10"/>
      <color rgb="FFFF0000"/>
      <name val="Times New Roman"/>
      <family val="1"/>
    </font>
    <font>
      <i/>
      <sz val="10"/>
      <color rgb="FFFF0000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i/>
      <sz val="8"/>
      <color rgb="FF323232"/>
      <name val="Arial"/>
      <family val="2"/>
    </font>
    <font>
      <sz val="10"/>
      <color rgb="FF323232"/>
      <name val="Arial"/>
      <family val="2"/>
    </font>
    <font>
      <b/>
      <sz val="14"/>
      <color theme="1"/>
      <name val="Calibri"/>
      <family val="2"/>
      <scheme val="minor"/>
    </font>
    <font>
      <b/>
      <u/>
      <sz val="8"/>
      <color rgb="FF323232"/>
      <name val="Arial"/>
      <family val="2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name val="Arial"/>
      <family val="2"/>
    </font>
    <font>
      <b/>
      <i/>
      <sz val="10"/>
      <name val="Times New Roman"/>
      <family val="1"/>
    </font>
    <font>
      <b/>
      <sz val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u/>
      <sz val="10"/>
      <color rgb="FF323232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323232"/>
      <name val="Arial"/>
      <family val="2"/>
    </font>
    <font>
      <b/>
      <u/>
      <sz val="9"/>
      <color rgb="FF323232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gray125">
        <fgColor auto="1"/>
        <bgColor theme="0"/>
      </patternFill>
    </fill>
  </fills>
  <borders count="33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9" fillId="0" borderId="0"/>
    <xf numFmtId="0" fontId="31" fillId="0" borderId="0"/>
  </cellStyleXfs>
  <cellXfs count="387">
    <xf numFmtId="0" fontId="0" fillId="0" borderId="0" xfId="0"/>
    <xf numFmtId="49" fontId="2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horizontal="center" vertical="center" wrapText="1"/>
    </xf>
    <xf numFmtId="164" fontId="4" fillId="0" borderId="2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NumberFormat="1" applyFont="1" applyAlignment="1">
      <alignment vertical="center"/>
    </xf>
    <xf numFmtId="3" fontId="2" fillId="0" borderId="1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vertical="center"/>
    </xf>
    <xf numFmtId="3" fontId="4" fillId="0" borderId="3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3" fontId="4" fillId="0" borderId="2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4" fillId="0" borderId="4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3" fontId="0" fillId="0" borderId="0" xfId="0" applyNumberFormat="1" applyAlignment="1">
      <alignment vertical="center"/>
    </xf>
    <xf numFmtId="3" fontId="4" fillId="0" borderId="0" xfId="0" applyNumberFormat="1" applyFont="1" applyFill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3" fontId="2" fillId="0" borderId="0" xfId="0" applyNumberFormat="1" applyFont="1" applyBorder="1" applyAlignment="1">
      <alignment vertical="center"/>
    </xf>
    <xf numFmtId="0" fontId="0" fillId="0" borderId="0" xfId="0" applyAlignment="1">
      <alignment vertical="center" wrapText="1"/>
    </xf>
    <xf numFmtId="3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 wrapText="1"/>
    </xf>
    <xf numFmtId="3" fontId="3" fillId="0" borderId="2" xfId="0" applyNumberFormat="1" applyFont="1" applyBorder="1" applyAlignment="1">
      <alignment vertical="center"/>
    </xf>
    <xf numFmtId="3" fontId="4" fillId="0" borderId="3" xfId="0" applyNumberFormat="1" applyFont="1" applyFill="1" applyBorder="1" applyAlignment="1">
      <alignment vertical="center"/>
    </xf>
    <xf numFmtId="3" fontId="4" fillId="0" borderId="2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3" fontId="5" fillId="0" borderId="2" xfId="0" applyNumberFormat="1" applyFont="1" applyFill="1" applyBorder="1" applyAlignment="1">
      <alignment vertical="center"/>
    </xf>
    <xf numFmtId="3" fontId="4" fillId="0" borderId="4" xfId="0" applyNumberFormat="1" applyFont="1" applyFill="1" applyBorder="1" applyAlignment="1">
      <alignment vertical="center"/>
    </xf>
    <xf numFmtId="3" fontId="6" fillId="0" borderId="0" xfId="0" applyNumberFormat="1" applyFont="1" applyFill="1" applyAlignment="1">
      <alignment vertical="center"/>
    </xf>
    <xf numFmtId="3" fontId="2" fillId="0" borderId="1" xfId="0" applyNumberFormat="1" applyFont="1" applyBorder="1" applyAlignment="1">
      <alignment horizontal="right" vertical="center" wrapText="1"/>
    </xf>
    <xf numFmtId="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7" fillId="0" borderId="0" xfId="0" applyNumberFormat="1" applyFont="1" applyAlignment="1">
      <alignment vertical="center"/>
    </xf>
    <xf numFmtId="9" fontId="3" fillId="0" borderId="0" xfId="0" applyNumberFormat="1" applyFont="1" applyAlignment="1">
      <alignment horizontal="center" vertical="center" wrapText="1"/>
    </xf>
    <xf numFmtId="9" fontId="2" fillId="0" borderId="1" xfId="0" applyNumberFormat="1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4" fillId="0" borderId="0" xfId="0" applyNumberFormat="1" applyFont="1" applyAlignment="1">
      <alignment vertical="center"/>
    </xf>
    <xf numFmtId="9" fontId="2" fillId="0" borderId="0" xfId="0" applyNumberFormat="1" applyFont="1" applyBorder="1" applyAlignment="1">
      <alignment horizontal="left" vertical="center"/>
    </xf>
    <xf numFmtId="9" fontId="4" fillId="0" borderId="0" xfId="0" applyNumberFormat="1" applyFont="1" applyBorder="1" applyAlignment="1">
      <alignment horizontal="left" vertical="center"/>
    </xf>
    <xf numFmtId="9" fontId="3" fillId="0" borderId="0" xfId="0" applyNumberFormat="1" applyFont="1" applyAlignment="1">
      <alignment horizontal="left" vertical="center"/>
    </xf>
    <xf numFmtId="0" fontId="8" fillId="0" borderId="0" xfId="0" applyFont="1" applyAlignment="1">
      <alignment vertical="center"/>
    </xf>
    <xf numFmtId="3" fontId="8" fillId="0" borderId="0" xfId="0" applyNumberFormat="1" applyFont="1" applyAlignment="1">
      <alignment horizontal="right" vertical="center"/>
    </xf>
    <xf numFmtId="0" fontId="11" fillId="0" borderId="0" xfId="1" applyFont="1"/>
    <xf numFmtId="0" fontId="12" fillId="0" borderId="0" xfId="1" applyFont="1"/>
    <xf numFmtId="0" fontId="13" fillId="2" borderId="0" xfId="1" applyFont="1" applyFill="1"/>
    <xf numFmtId="0" fontId="11" fillId="2" borderId="0" xfId="1" applyFont="1" applyFill="1"/>
    <xf numFmtId="165" fontId="12" fillId="0" borderId="0" xfId="1" applyNumberFormat="1" applyFont="1" applyAlignment="1">
      <alignment horizontal="center" wrapText="1"/>
    </xf>
    <xf numFmtId="165" fontId="14" fillId="0" borderId="0" xfId="1" applyNumberFormat="1" applyFont="1" applyAlignment="1">
      <alignment horizontal="center" wrapText="1"/>
    </xf>
    <xf numFmtId="0" fontId="12" fillId="0" borderId="0" xfId="1" applyFont="1" applyAlignment="1">
      <alignment horizontal="right" wrapText="1"/>
    </xf>
    <xf numFmtId="165" fontId="11" fillId="0" borderId="0" xfId="1" applyNumberFormat="1" applyFont="1" applyAlignment="1">
      <alignment horizontal="left" wrapText="1"/>
    </xf>
    <xf numFmtId="0" fontId="11" fillId="0" borderId="9" xfId="1" applyFont="1" applyBorder="1"/>
    <xf numFmtId="0" fontId="11" fillId="0" borderId="0" xfId="1" applyFont="1" applyBorder="1" applyAlignment="1">
      <alignment horizontal="center"/>
    </xf>
    <xf numFmtId="165" fontId="11" fillId="0" borderId="0" xfId="1" applyNumberFormat="1" applyFont="1" applyBorder="1"/>
    <xf numFmtId="0" fontId="15" fillId="0" borderId="10" xfId="1" applyFont="1" applyBorder="1"/>
    <xf numFmtId="165" fontId="11" fillId="0" borderId="0" xfId="1" applyNumberFormat="1" applyFont="1"/>
    <xf numFmtId="0" fontId="11" fillId="0" borderId="10" xfId="1" applyFont="1" applyBorder="1"/>
    <xf numFmtId="165" fontId="11" fillId="0" borderId="0" xfId="1" applyNumberFormat="1" applyFont="1" applyBorder="1" applyAlignment="1">
      <alignment horizontal="center"/>
    </xf>
    <xf numFmtId="9" fontId="11" fillId="0" borderId="0" xfId="1" applyNumberFormat="1" applyFont="1" applyFill="1" applyBorder="1" applyAlignment="1">
      <alignment horizontal="center"/>
    </xf>
    <xf numFmtId="165" fontId="11" fillId="0" borderId="0" xfId="1" applyNumberFormat="1" applyFont="1" applyFill="1" applyBorder="1"/>
    <xf numFmtId="0" fontId="16" fillId="0" borderId="9" xfId="1" applyFont="1" applyBorder="1" applyAlignment="1">
      <alignment horizontal="right"/>
    </xf>
    <xf numFmtId="0" fontId="16" fillId="0" borderId="0" xfId="1" applyFont="1" applyBorder="1" applyAlignment="1">
      <alignment horizontal="right"/>
    </xf>
    <xf numFmtId="9" fontId="11" fillId="0" borderId="0" xfId="1" applyNumberFormat="1" applyFont="1" applyFill="1" applyBorder="1"/>
    <xf numFmtId="165" fontId="16" fillId="0" borderId="0" xfId="1" applyNumberFormat="1" applyFont="1" applyFill="1" applyBorder="1" applyAlignment="1">
      <alignment horizontal="right"/>
    </xf>
    <xf numFmtId="0" fontId="11" fillId="0" borderId="0" xfId="1" applyFont="1" applyBorder="1"/>
    <xf numFmtId="9" fontId="11" fillId="0" borderId="0" xfId="1" applyNumberFormat="1" applyFont="1" applyBorder="1"/>
    <xf numFmtId="0" fontId="12" fillId="0" borderId="11" xfId="1" applyFont="1" applyBorder="1" applyAlignment="1">
      <alignment horizontal="right"/>
    </xf>
    <xf numFmtId="0" fontId="12" fillId="0" borderId="12" xfId="1" applyFont="1" applyBorder="1" applyAlignment="1">
      <alignment horizontal="right"/>
    </xf>
    <xf numFmtId="165" fontId="12" fillId="0" borderId="12" xfId="1" applyNumberFormat="1" applyFont="1" applyFill="1" applyBorder="1" applyAlignment="1">
      <alignment horizontal="right"/>
    </xf>
    <xf numFmtId="165" fontId="12" fillId="0" borderId="12" xfId="1" applyNumberFormat="1" applyFont="1" applyBorder="1" applyAlignment="1">
      <alignment horizontal="right"/>
    </xf>
    <xf numFmtId="0" fontId="12" fillId="0" borderId="14" xfId="1" applyFont="1" applyBorder="1" applyAlignment="1">
      <alignment horizontal="right"/>
    </xf>
    <xf numFmtId="0" fontId="12" fillId="0" borderId="0" xfId="1" applyFont="1" applyAlignment="1">
      <alignment horizontal="right"/>
    </xf>
    <xf numFmtId="165" fontId="12" fillId="0" borderId="0" xfId="1" applyNumberFormat="1" applyFont="1" applyFill="1" applyBorder="1" applyAlignment="1">
      <alignment horizontal="right"/>
    </xf>
    <xf numFmtId="165" fontId="12" fillId="0" borderId="7" xfId="1" applyNumberFormat="1" applyFont="1" applyBorder="1" applyAlignment="1">
      <alignment horizontal="center" wrapText="1"/>
    </xf>
    <xf numFmtId="0" fontId="12" fillId="0" borderId="7" xfId="1" applyFont="1" applyBorder="1" applyAlignment="1">
      <alignment horizontal="right" wrapText="1"/>
    </xf>
    <xf numFmtId="0" fontId="11" fillId="0" borderId="7" xfId="1" applyFont="1" applyFill="1" applyBorder="1"/>
    <xf numFmtId="0" fontId="11" fillId="0" borderId="7" xfId="1" applyFont="1" applyBorder="1"/>
    <xf numFmtId="0" fontId="11" fillId="0" borderId="8" xfId="1" applyFont="1" applyBorder="1"/>
    <xf numFmtId="0" fontId="11" fillId="0" borderId="9" xfId="1" applyFont="1" applyFill="1" applyBorder="1"/>
    <xf numFmtId="0" fontId="11" fillId="0" borderId="0" xfId="1" applyFont="1" applyFill="1" applyBorder="1" applyAlignment="1">
      <alignment horizontal="right"/>
    </xf>
    <xf numFmtId="0" fontId="11" fillId="0" borderId="0" xfId="1" applyFont="1" applyFill="1" applyBorder="1"/>
    <xf numFmtId="0" fontId="11" fillId="0" borderId="9" xfId="1" applyFont="1" applyBorder="1" applyAlignment="1">
      <alignment wrapText="1"/>
    </xf>
    <xf numFmtId="0" fontId="9" fillId="0" borderId="0" xfId="1" applyBorder="1" applyAlignment="1">
      <alignment horizontal="right" wrapText="1"/>
    </xf>
    <xf numFmtId="0" fontId="18" fillId="0" borderId="0" xfId="1" applyFont="1" applyBorder="1" applyAlignment="1">
      <alignment horizontal="right" wrapText="1"/>
    </xf>
    <xf numFmtId="0" fontId="11" fillId="0" borderId="0" xfId="1" applyFont="1" applyBorder="1" applyAlignment="1">
      <alignment wrapText="1"/>
    </xf>
    <xf numFmtId="0" fontId="11" fillId="0" borderId="10" xfId="1" applyFont="1" applyBorder="1" applyAlignment="1">
      <alignment wrapText="1"/>
    </xf>
    <xf numFmtId="0" fontId="11" fillId="0" borderId="0" xfId="1" applyFont="1" applyAlignment="1">
      <alignment wrapText="1"/>
    </xf>
    <xf numFmtId="9" fontId="11" fillId="0" borderId="0" xfId="1" applyNumberFormat="1" applyFont="1" applyBorder="1" applyAlignment="1">
      <alignment horizontal="center"/>
    </xf>
    <xf numFmtId="44" fontId="11" fillId="0" borderId="0" xfId="1" applyNumberFormat="1" applyFont="1" applyBorder="1"/>
    <xf numFmtId="0" fontId="11" fillId="0" borderId="0" xfId="1" applyFont="1" applyBorder="1" applyAlignment="1"/>
    <xf numFmtId="0" fontId="11" fillId="0" borderId="10" xfId="1" applyFont="1" applyBorder="1" applyAlignment="1"/>
    <xf numFmtId="0" fontId="11" fillId="0" borderId="0" xfId="1" applyFont="1" applyBorder="1" applyAlignment="1">
      <alignment horizontal="center" wrapText="1"/>
    </xf>
    <xf numFmtId="0" fontId="11" fillId="0" borderId="11" xfId="1" applyFont="1" applyBorder="1"/>
    <xf numFmtId="0" fontId="11" fillId="0" borderId="12" xfId="1" applyFont="1" applyBorder="1" applyAlignment="1">
      <alignment horizontal="center"/>
    </xf>
    <xf numFmtId="9" fontId="11" fillId="0" borderId="12" xfId="1" applyNumberFormat="1" applyFont="1" applyBorder="1" applyAlignment="1">
      <alignment horizontal="center"/>
    </xf>
    <xf numFmtId="44" fontId="19" fillId="0" borderId="12" xfId="1" applyNumberFormat="1" applyFont="1" applyFill="1" applyBorder="1"/>
    <xf numFmtId="44" fontId="20" fillId="0" borderId="12" xfId="1" applyNumberFormat="1" applyFont="1" applyFill="1" applyBorder="1"/>
    <xf numFmtId="44" fontId="11" fillId="0" borderId="12" xfId="1" applyNumberFormat="1" applyFont="1" applyBorder="1"/>
    <xf numFmtId="0" fontId="11" fillId="0" borderId="12" xfId="1" applyFont="1" applyBorder="1" applyAlignment="1"/>
    <xf numFmtId="0" fontId="11" fillId="0" borderId="14" xfId="1" applyFont="1" applyBorder="1" applyAlignment="1"/>
    <xf numFmtId="0" fontId="10" fillId="0" borderId="7" xfId="1" applyFont="1" applyBorder="1"/>
    <xf numFmtId="44" fontId="21" fillId="0" borderId="7" xfId="1" applyNumberFormat="1" applyFont="1" applyBorder="1"/>
    <xf numFmtId="0" fontId="21" fillId="0" borderId="7" xfId="1" applyFont="1" applyBorder="1"/>
    <xf numFmtId="44" fontId="21" fillId="0" borderId="0" xfId="1" applyNumberFormat="1" applyFont="1" applyBorder="1"/>
    <xf numFmtId="0" fontId="21" fillId="0" borderId="0" xfId="1" applyFont="1" applyBorder="1"/>
    <xf numFmtId="0" fontId="10" fillId="0" borderId="18" xfId="1" applyFont="1" applyBorder="1" applyAlignment="1">
      <alignment wrapText="1"/>
    </xf>
    <xf numFmtId="4" fontId="10" fillId="0" borderId="18" xfId="1" applyNumberFormat="1" applyFont="1" applyBorder="1"/>
    <xf numFmtId="4" fontId="10" fillId="0" borderId="20" xfId="1" applyNumberFormat="1" applyFont="1" applyBorder="1"/>
    <xf numFmtId="0" fontId="10" fillId="0" borderId="0" xfId="1" applyFont="1"/>
    <xf numFmtId="4" fontId="10" fillId="0" borderId="0" xfId="1" applyNumberFormat="1" applyFont="1"/>
    <xf numFmtId="4" fontId="10" fillId="0" borderId="0" xfId="1" applyNumberFormat="1" applyFont="1" applyAlignment="1">
      <alignment horizontal="center"/>
    </xf>
    <xf numFmtId="44" fontId="21" fillId="0" borderId="0" xfId="1" applyNumberFormat="1" applyFont="1"/>
    <xf numFmtId="0" fontId="21" fillId="0" borderId="0" xfId="1" applyFont="1"/>
    <xf numFmtId="4" fontId="11" fillId="0" borderId="0" xfId="1" applyNumberFormat="1" applyFont="1"/>
    <xf numFmtId="0" fontId="18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165" fontId="11" fillId="0" borderId="0" xfId="1" applyNumberFormat="1" applyFont="1" applyFill="1" applyBorder="1" applyAlignment="1">
      <alignment horizontal="center"/>
    </xf>
    <xf numFmtId="165" fontId="12" fillId="0" borderId="0" xfId="1" applyNumberFormat="1" applyFont="1" applyAlignment="1">
      <alignment horizontal="left" wrapText="1"/>
    </xf>
    <xf numFmtId="165" fontId="12" fillId="0" borderId="8" xfId="1" applyNumberFormat="1" applyFont="1" applyBorder="1" applyAlignment="1">
      <alignment horizontal="left" wrapText="1"/>
    </xf>
    <xf numFmtId="165" fontId="18" fillId="0" borderId="0" xfId="1" applyNumberFormat="1" applyFont="1" applyBorder="1"/>
    <xf numFmtId="3" fontId="2" fillId="2" borderId="1" xfId="0" applyNumberFormat="1" applyFont="1" applyFill="1" applyBorder="1" applyAlignment="1">
      <alignment horizontal="right" vertical="center" wrapText="1"/>
    </xf>
    <xf numFmtId="3" fontId="4" fillId="2" borderId="0" xfId="0" applyNumberFormat="1" applyFont="1" applyFill="1" applyAlignment="1">
      <alignment vertical="center"/>
    </xf>
    <xf numFmtId="3" fontId="4" fillId="2" borderId="2" xfId="0" applyNumberFormat="1" applyFont="1" applyFill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4" fillId="2" borderId="3" xfId="0" applyNumberFormat="1" applyFont="1" applyFill="1" applyBorder="1" applyAlignment="1">
      <alignment vertical="center"/>
    </xf>
    <xf numFmtId="3" fontId="4" fillId="2" borderId="4" xfId="0" applyNumberFormat="1" applyFont="1" applyFill="1" applyBorder="1" applyAlignment="1">
      <alignment vertical="center"/>
    </xf>
    <xf numFmtId="3" fontId="2" fillId="2" borderId="5" xfId="0" applyNumberFormat="1" applyFont="1" applyFill="1" applyBorder="1" applyAlignment="1">
      <alignment vertical="center"/>
    </xf>
    <xf numFmtId="3" fontId="2" fillId="2" borderId="0" xfId="0" applyNumberFormat="1" applyFont="1" applyFill="1" applyBorder="1" applyAlignment="1">
      <alignment vertical="center"/>
    </xf>
    <xf numFmtId="3" fontId="3" fillId="2" borderId="0" xfId="0" applyNumberFormat="1" applyFont="1" applyFill="1" applyAlignment="1">
      <alignment vertical="center"/>
    </xf>
    <xf numFmtId="165" fontId="18" fillId="0" borderId="0" xfId="1" applyNumberFormat="1" applyFont="1" applyFill="1" applyBorder="1"/>
    <xf numFmtId="3" fontId="2" fillId="2" borderId="1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vertical="center"/>
    </xf>
    <xf numFmtId="0" fontId="11" fillId="0" borderId="10" xfId="1" applyFont="1" applyBorder="1" applyAlignment="1">
      <alignment horizontal="left"/>
    </xf>
    <xf numFmtId="0" fontId="15" fillId="0" borderId="10" xfId="1" applyFont="1" applyBorder="1" applyAlignment="1">
      <alignment horizontal="left"/>
    </xf>
    <xf numFmtId="0" fontId="12" fillId="0" borderId="14" xfId="1" applyFont="1" applyBorder="1" applyAlignment="1">
      <alignment horizontal="left"/>
    </xf>
    <xf numFmtId="0" fontId="15" fillId="0" borderId="10" xfId="1" applyFont="1" applyBorder="1" applyAlignment="1">
      <alignment horizontal="left" shrinkToFit="1"/>
    </xf>
    <xf numFmtId="42" fontId="19" fillId="0" borderId="12" xfId="1" applyNumberFormat="1" applyFont="1" applyFill="1" applyBorder="1"/>
    <xf numFmtId="0" fontId="18" fillId="0" borderId="0" xfId="1" applyFont="1" applyFill="1" applyBorder="1" applyAlignment="1">
      <alignment horizontal="right" wrapText="1"/>
    </xf>
    <xf numFmtId="44" fontId="11" fillId="0" borderId="0" xfId="1" applyNumberFormat="1" applyFont="1" applyFill="1" applyBorder="1"/>
    <xf numFmtId="165" fontId="17" fillId="0" borderId="0" xfId="1" applyNumberFormat="1" applyFont="1" applyFill="1" applyBorder="1" applyAlignment="1">
      <alignment horizontal="center" wrapText="1"/>
    </xf>
    <xf numFmtId="0" fontId="17" fillId="0" borderId="0" xfId="1" applyFont="1" applyFill="1" applyBorder="1" applyAlignment="1">
      <alignment horizontal="center" wrapText="1"/>
    </xf>
    <xf numFmtId="0" fontId="18" fillId="0" borderId="0" xfId="1" applyFont="1" applyFill="1" applyBorder="1" applyAlignment="1">
      <alignment wrapText="1"/>
    </xf>
    <xf numFmtId="44" fontId="11" fillId="0" borderId="12" xfId="1" applyNumberFormat="1" applyFont="1" applyFill="1" applyBorder="1"/>
    <xf numFmtId="3" fontId="7" fillId="2" borderId="0" xfId="0" applyNumberFormat="1" applyFont="1" applyFill="1" applyAlignment="1">
      <alignment vertical="center"/>
    </xf>
    <xf numFmtId="10" fontId="22" fillId="0" borderId="0" xfId="1" applyNumberFormat="1" applyFont="1" applyBorder="1" applyAlignment="1">
      <alignment horizontal="left"/>
    </xf>
    <xf numFmtId="0" fontId="22" fillId="0" borderId="0" xfId="1" applyFont="1"/>
    <xf numFmtId="0" fontId="23" fillId="0" borderId="0" xfId="1" applyFont="1" applyBorder="1"/>
    <xf numFmtId="10" fontId="22" fillId="0" borderId="10" xfId="1" applyNumberFormat="1" applyFont="1" applyBorder="1" applyAlignment="1">
      <alignment horizontal="left"/>
    </xf>
    <xf numFmtId="10" fontId="22" fillId="0" borderId="12" xfId="1" applyNumberFormat="1" applyFont="1" applyBorder="1" applyAlignment="1">
      <alignment horizontal="left"/>
    </xf>
    <xf numFmtId="0" fontId="23" fillId="0" borderId="12" xfId="1" applyFont="1" applyBorder="1"/>
    <xf numFmtId="10" fontId="22" fillId="0" borderId="14" xfId="1" applyNumberFormat="1" applyFont="1" applyBorder="1" applyAlignment="1">
      <alignment horizontal="left"/>
    </xf>
    <xf numFmtId="0" fontId="15" fillId="0" borderId="0" xfId="1" applyFont="1" applyFill="1" applyBorder="1"/>
    <xf numFmtId="0" fontId="19" fillId="0" borderId="6" xfId="1" applyFont="1" applyFill="1" applyBorder="1"/>
    <xf numFmtId="0" fontId="6" fillId="0" borderId="0" xfId="0" applyFont="1" applyAlignment="1">
      <alignment vertical="center" wrapText="1"/>
    </xf>
    <xf numFmtId="0" fontId="0" fillId="0" borderId="0" xfId="0" applyAlignment="1">
      <alignment wrapText="1"/>
    </xf>
    <xf numFmtId="3" fontId="26" fillId="0" borderId="4" xfId="0" applyNumberFormat="1" applyFont="1" applyBorder="1" applyAlignment="1">
      <alignment vertical="center"/>
    </xf>
    <xf numFmtId="49" fontId="27" fillId="0" borderId="0" xfId="0" applyNumberFormat="1" applyFont="1" applyAlignment="1">
      <alignment vertical="center"/>
    </xf>
    <xf numFmtId="3" fontId="27" fillId="0" borderId="0" xfId="0" applyNumberFormat="1" applyFont="1" applyFill="1" applyAlignment="1">
      <alignment vertical="center"/>
    </xf>
    <xf numFmtId="3" fontId="27" fillId="2" borderId="0" xfId="0" applyNumberFormat="1" applyFont="1" applyFill="1" applyAlignment="1">
      <alignment vertical="center"/>
    </xf>
    <xf numFmtId="165" fontId="12" fillId="0" borderId="6" xfId="1" applyNumberFormat="1" applyFont="1" applyBorder="1" applyAlignment="1">
      <alignment horizont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28" fillId="0" borderId="0" xfId="0" applyFont="1"/>
    <xf numFmtId="0" fontId="11" fillId="0" borderId="9" xfId="1" applyFont="1" applyBorder="1" applyAlignment="1">
      <alignment horizontal="left"/>
    </xf>
    <xf numFmtId="0" fontId="11" fillId="0" borderId="0" xfId="1" applyFont="1" applyBorder="1" applyAlignment="1">
      <alignment horizontal="right"/>
    </xf>
    <xf numFmtId="165" fontId="11" fillId="0" borderId="0" xfId="1" applyNumberFormat="1" applyFont="1" applyFill="1" applyBorder="1" applyAlignment="1">
      <alignment horizontal="right"/>
    </xf>
    <xf numFmtId="0" fontId="31" fillId="0" borderId="0" xfId="2" applyFont="1" applyBorder="1"/>
    <xf numFmtId="166" fontId="31" fillId="0" borderId="0" xfId="2" applyNumberFormat="1" applyFont="1" applyBorder="1"/>
    <xf numFmtId="166" fontId="32" fillId="0" borderId="0" xfId="2" applyNumberFormat="1" applyFont="1" applyBorder="1"/>
    <xf numFmtId="166" fontId="32" fillId="0" borderId="0" xfId="2" applyNumberFormat="1" applyFont="1" applyBorder="1" applyAlignment="1">
      <alignment horizontal="right"/>
    </xf>
    <xf numFmtId="166" fontId="33" fillId="0" borderId="0" xfId="2" applyNumberFormat="1" applyFont="1" applyFill="1" applyBorder="1" applyAlignment="1">
      <alignment horizontal="right" vertical="center" wrapText="1"/>
    </xf>
    <xf numFmtId="166" fontId="33" fillId="0" borderId="0" xfId="2" applyNumberFormat="1" applyFont="1" applyBorder="1" applyAlignment="1">
      <alignment horizontal="right" vertical="center"/>
    </xf>
    <xf numFmtId="166" fontId="34" fillId="0" borderId="0" xfId="2" applyNumberFormat="1" applyFont="1" applyBorder="1" applyAlignment="1">
      <alignment horizontal="center" vertical="center" wrapText="1"/>
    </xf>
    <xf numFmtId="166" fontId="34" fillId="0" borderId="0" xfId="2" applyNumberFormat="1" applyFont="1" applyBorder="1" applyAlignment="1">
      <alignment horizontal="justify" vertical="center" wrapText="1"/>
    </xf>
    <xf numFmtId="166" fontId="34" fillId="0" borderId="0" xfId="2" applyNumberFormat="1" applyFont="1" applyBorder="1" applyAlignment="1">
      <alignment horizontal="left" vertical="center" wrapText="1"/>
    </xf>
    <xf numFmtId="166" fontId="33" fillId="0" borderId="0" xfId="2" applyNumberFormat="1" applyFont="1" applyBorder="1" applyAlignment="1">
      <alignment horizontal="center" vertical="center" wrapText="1"/>
    </xf>
    <xf numFmtId="166" fontId="33" fillId="0" borderId="0" xfId="2" applyNumberFormat="1" applyFont="1" applyBorder="1" applyAlignment="1">
      <alignment horizontal="right" vertical="center" wrapText="1"/>
    </xf>
    <xf numFmtId="0" fontId="28" fillId="0" borderId="0" xfId="2" applyFont="1" applyBorder="1" applyAlignment="1">
      <alignment horizontal="center" vertical="center" wrapText="1"/>
    </xf>
    <xf numFmtId="0" fontId="28" fillId="0" borderId="0" xfId="2" applyFont="1" applyBorder="1" applyAlignment="1">
      <alignment horizontal="left" vertical="center" wrapText="1"/>
    </xf>
    <xf numFmtId="14" fontId="36" fillId="0" borderId="0" xfId="2" applyNumberFormat="1" applyFont="1" applyBorder="1" applyAlignment="1">
      <alignment horizontal="center" vertical="center"/>
    </xf>
    <xf numFmtId="0" fontId="28" fillId="0" borderId="0" xfId="2" applyFont="1" applyBorder="1" applyAlignment="1">
      <alignment horizontal="left" vertical="center"/>
    </xf>
    <xf numFmtId="0" fontId="37" fillId="0" borderId="0" xfId="0" applyFont="1" applyAlignment="1">
      <alignment wrapText="1"/>
    </xf>
    <xf numFmtId="9" fontId="0" fillId="0" borderId="0" xfId="0" applyNumberFormat="1"/>
    <xf numFmtId="166" fontId="0" fillId="0" borderId="0" xfId="0" applyNumberFormat="1"/>
    <xf numFmtId="166" fontId="38" fillId="0" borderId="0" xfId="0" applyNumberFormat="1" applyFont="1"/>
    <xf numFmtId="166" fontId="0" fillId="0" borderId="0" xfId="0" applyNumberFormat="1" applyFont="1"/>
    <xf numFmtId="0" fontId="39" fillId="0" borderId="16" xfId="1" applyFont="1" applyBorder="1" applyAlignment="1"/>
    <xf numFmtId="0" fontId="21" fillId="0" borderId="17" xfId="1" applyFont="1" applyBorder="1" applyAlignment="1">
      <alignment horizontal="right" wrapText="1"/>
    </xf>
    <xf numFmtId="0" fontId="40" fillId="0" borderId="0" xfId="1" applyFont="1" applyBorder="1" applyAlignment="1">
      <alignment horizontal="right" wrapText="1"/>
    </xf>
    <xf numFmtId="0" fontId="21" fillId="0" borderId="0" xfId="1" applyFont="1" applyBorder="1" applyAlignment="1">
      <alignment horizontal="right" wrapText="1"/>
    </xf>
    <xf numFmtId="0" fontId="21" fillId="0" borderId="18" xfId="1" applyFont="1" applyBorder="1" applyAlignment="1">
      <alignment wrapText="1"/>
    </xf>
    <xf numFmtId="4" fontId="21" fillId="0" borderId="17" xfId="1" applyNumberFormat="1" applyFont="1" applyBorder="1"/>
    <xf numFmtId="4" fontId="40" fillId="0" borderId="0" xfId="1" applyNumberFormat="1" applyFont="1" applyBorder="1"/>
    <xf numFmtId="4" fontId="21" fillId="0" borderId="18" xfId="1" applyNumberFormat="1" applyFont="1" applyBorder="1"/>
    <xf numFmtId="4" fontId="21" fillId="0" borderId="19" xfId="1" applyNumberFormat="1" applyFont="1" applyBorder="1"/>
    <xf numFmtId="4" fontId="40" fillId="0" borderId="12" xfId="1" applyNumberFormat="1" applyFont="1" applyBorder="1"/>
    <xf numFmtId="4" fontId="21" fillId="0" borderId="20" xfId="1" applyNumberFormat="1" applyFont="1" applyBorder="1"/>
    <xf numFmtId="4" fontId="40" fillId="0" borderId="0" xfId="1" applyNumberFormat="1" applyFont="1" applyFill="1" applyBorder="1"/>
    <xf numFmtId="4" fontId="40" fillId="0" borderId="12" xfId="1" applyNumberFormat="1" applyFont="1" applyFill="1" applyBorder="1"/>
    <xf numFmtId="0" fontId="11" fillId="0" borderId="6" xfId="1" applyFont="1" applyBorder="1"/>
    <xf numFmtId="0" fontId="11" fillId="0" borderId="17" xfId="1" applyFont="1" applyBorder="1" applyAlignment="1">
      <alignment horizontal="right" wrapText="1"/>
    </xf>
    <xf numFmtId="0" fontId="11" fillId="0" borderId="0" xfId="1" applyFont="1" applyBorder="1" applyAlignment="1">
      <alignment horizontal="right" wrapText="1"/>
    </xf>
    <xf numFmtId="0" fontId="11" fillId="0" borderId="18" xfId="1" applyFont="1" applyBorder="1" applyAlignment="1">
      <alignment horizontal="right" wrapText="1"/>
    </xf>
    <xf numFmtId="4" fontId="11" fillId="0" borderId="17" xfId="1" applyNumberFormat="1" applyFont="1" applyBorder="1"/>
    <xf numFmtId="4" fontId="11" fillId="0" borderId="19" xfId="1" applyNumberFormat="1" applyFont="1" applyBorder="1"/>
    <xf numFmtId="3" fontId="19" fillId="0" borderId="0" xfId="1" applyNumberFormat="1" applyFont="1" applyBorder="1"/>
    <xf numFmtId="3" fontId="19" fillId="0" borderId="12" xfId="1" applyNumberFormat="1" applyFont="1" applyBorder="1"/>
    <xf numFmtId="3" fontId="11" fillId="0" borderId="18" xfId="1" applyNumberFormat="1" applyFont="1" applyBorder="1"/>
    <xf numFmtId="3" fontId="11" fillId="0" borderId="20" xfId="1" applyNumberFormat="1" applyFont="1" applyBorder="1"/>
    <xf numFmtId="49" fontId="41" fillId="0" borderId="0" xfId="0" applyNumberFormat="1" applyFont="1" applyAlignment="1">
      <alignment horizontal="right" vertical="center"/>
    </xf>
    <xf numFmtId="6" fontId="41" fillId="0" borderId="0" xfId="0" applyNumberFormat="1" applyFont="1" applyAlignment="1">
      <alignment horizontal="left" vertical="center"/>
    </xf>
    <xf numFmtId="10" fontId="11" fillId="2" borderId="13" xfId="1" applyNumberFormat="1" applyFont="1" applyFill="1" applyBorder="1" applyAlignment="1">
      <alignment horizontal="left"/>
    </xf>
    <xf numFmtId="0" fontId="11" fillId="3" borderId="0" xfId="1" applyFont="1" applyFill="1" applyBorder="1" applyAlignment="1">
      <alignment horizontal="center"/>
    </xf>
    <xf numFmtId="165" fontId="11" fillId="3" borderId="0" xfId="1" applyNumberFormat="1" applyFont="1" applyFill="1" applyBorder="1" applyAlignment="1">
      <alignment horizontal="center"/>
    </xf>
    <xf numFmtId="9" fontId="11" fillId="3" borderId="0" xfId="1" applyNumberFormat="1" applyFont="1" applyFill="1" applyBorder="1" applyAlignment="1">
      <alignment horizontal="center"/>
    </xf>
    <xf numFmtId="0" fontId="16" fillId="3" borderId="0" xfId="1" applyFont="1" applyFill="1" applyBorder="1" applyAlignment="1">
      <alignment horizontal="center"/>
    </xf>
    <xf numFmtId="9" fontId="11" fillId="3" borderId="0" xfId="1" applyNumberFormat="1" applyFont="1" applyFill="1" applyBorder="1"/>
    <xf numFmtId="165" fontId="11" fillId="3" borderId="0" xfId="1" applyNumberFormat="1" applyFont="1" applyFill="1" applyBorder="1"/>
    <xf numFmtId="0" fontId="11" fillId="3" borderId="0" xfId="1" applyFont="1" applyFill="1" applyBorder="1" applyAlignment="1">
      <alignment horizontal="right"/>
    </xf>
    <xf numFmtId="0" fontId="12" fillId="3" borderId="12" xfId="1" applyFont="1" applyFill="1" applyBorder="1" applyAlignment="1">
      <alignment horizontal="center"/>
    </xf>
    <xf numFmtId="165" fontId="12" fillId="3" borderId="12" xfId="1" applyNumberFormat="1" applyFont="1" applyFill="1" applyBorder="1" applyAlignment="1">
      <alignment horizontal="right"/>
    </xf>
    <xf numFmtId="165" fontId="12" fillId="0" borderId="13" xfId="1" applyNumberFormat="1" applyFont="1" applyFill="1" applyBorder="1" applyAlignment="1">
      <alignment horizontal="right"/>
    </xf>
    <xf numFmtId="166" fontId="34" fillId="0" borderId="0" xfId="2" applyNumberFormat="1" applyFont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20" fillId="0" borderId="0" xfId="1" applyFont="1" applyAlignment="1">
      <alignment horizontal="right"/>
    </xf>
    <xf numFmtId="165" fontId="20" fillId="0" borderId="0" xfId="1" applyNumberFormat="1" applyFont="1" applyAlignment="1">
      <alignment horizontal="right"/>
    </xf>
    <xf numFmtId="165" fontId="20" fillId="0" borderId="0" xfId="1" applyNumberFormat="1" applyFont="1" applyFill="1" applyBorder="1" applyAlignment="1">
      <alignment horizontal="right"/>
    </xf>
    <xf numFmtId="166" fontId="11" fillId="0" borderId="0" xfId="1" applyNumberFormat="1" applyFont="1"/>
    <xf numFmtId="165" fontId="19" fillId="0" borderId="0" xfId="1" applyNumberFormat="1" applyFont="1" applyAlignment="1">
      <alignment horizontal="left" indent="1"/>
    </xf>
    <xf numFmtId="0" fontId="0" fillId="0" borderId="0" xfId="0" applyAlignment="1">
      <alignment vertical="center" wrapText="1"/>
    </xf>
    <xf numFmtId="166" fontId="18" fillId="0" borderId="0" xfId="1" applyNumberFormat="1" applyFont="1"/>
    <xf numFmtId="166" fontId="19" fillId="0" borderId="0" xfId="1" applyNumberFormat="1" applyFont="1" applyAlignment="1">
      <alignment horizontal="right"/>
    </xf>
    <xf numFmtId="3" fontId="6" fillId="0" borderId="0" xfId="0" applyNumberFormat="1" applyFont="1" applyAlignment="1">
      <alignment vertical="center"/>
    </xf>
    <xf numFmtId="3" fontId="6" fillId="0" borderId="2" xfId="0" applyNumberFormat="1" applyFont="1" applyBorder="1" applyAlignment="1">
      <alignment vertical="center"/>
    </xf>
    <xf numFmtId="3" fontId="6" fillId="0" borderId="2" xfId="0" applyNumberFormat="1" applyFont="1" applyFill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3" fontId="6" fillId="0" borderId="3" xfId="0" applyNumberFormat="1" applyFont="1" applyBorder="1" applyAlignment="1">
      <alignment vertical="center"/>
    </xf>
    <xf numFmtId="3" fontId="6" fillId="0" borderId="3" xfId="0" applyNumberFormat="1" applyFont="1" applyFill="1" applyBorder="1" applyAlignment="1">
      <alignment vertical="center"/>
    </xf>
    <xf numFmtId="3" fontId="41" fillId="0" borderId="0" xfId="0" applyNumberFormat="1" applyFont="1" applyAlignment="1">
      <alignment vertical="center"/>
    </xf>
    <xf numFmtId="3" fontId="42" fillId="0" borderId="0" xfId="0" applyNumberFormat="1" applyFont="1" applyAlignment="1">
      <alignment vertical="center"/>
    </xf>
    <xf numFmtId="3" fontId="42" fillId="0" borderId="2" xfId="0" applyNumberFormat="1" applyFont="1" applyBorder="1" applyAlignment="1">
      <alignment vertical="center"/>
    </xf>
    <xf numFmtId="3" fontId="42" fillId="0" borderId="0" xfId="0" applyNumberFormat="1" applyFont="1" applyBorder="1" applyAlignment="1">
      <alignment vertical="center"/>
    </xf>
    <xf numFmtId="3" fontId="6" fillId="0" borderId="4" xfId="0" applyNumberFormat="1" applyFont="1" applyBorder="1" applyAlignment="1">
      <alignment vertical="center"/>
    </xf>
    <xf numFmtId="3" fontId="42" fillId="0" borderId="5" xfId="0" applyNumberFormat="1" applyFont="1" applyBorder="1" applyAlignment="1">
      <alignment vertical="center"/>
    </xf>
    <xf numFmtId="3" fontId="44" fillId="0" borderId="0" xfId="0" applyNumberFormat="1" applyFont="1" applyAlignment="1">
      <alignment vertical="center" wrapText="1"/>
    </xf>
    <xf numFmtId="3" fontId="42" fillId="0" borderId="4" xfId="0" applyNumberFormat="1" applyFont="1" applyBorder="1" applyAlignment="1">
      <alignment vertical="center"/>
    </xf>
    <xf numFmtId="3" fontId="8" fillId="2" borderId="4" xfId="0" applyNumberFormat="1" applyFont="1" applyFill="1" applyBorder="1" applyAlignment="1">
      <alignment vertical="center"/>
    </xf>
    <xf numFmtId="3" fontId="44" fillId="0" borderId="0" xfId="0" applyNumberFormat="1" applyFont="1" applyBorder="1" applyAlignment="1">
      <alignment vertical="center" wrapText="1"/>
    </xf>
    <xf numFmtId="3" fontId="6" fillId="2" borderId="0" xfId="0" applyNumberFormat="1" applyFont="1" applyFill="1" applyAlignment="1">
      <alignment vertical="center"/>
    </xf>
    <xf numFmtId="3" fontId="6" fillId="2" borderId="2" xfId="0" applyNumberFormat="1" applyFont="1" applyFill="1" applyBorder="1" applyAlignment="1">
      <alignment vertical="center"/>
    </xf>
    <xf numFmtId="3" fontId="6" fillId="2" borderId="0" xfId="0" applyNumberFormat="1" applyFont="1" applyFill="1" applyBorder="1" applyAlignment="1">
      <alignment vertical="center"/>
    </xf>
    <xf numFmtId="49" fontId="42" fillId="0" borderId="0" xfId="0" applyNumberFormat="1" applyFont="1" applyAlignment="1">
      <alignment vertical="center"/>
    </xf>
    <xf numFmtId="3" fontId="3" fillId="0" borderId="2" xfId="0" applyNumberFormat="1" applyFont="1" applyFill="1" applyBorder="1" applyAlignment="1">
      <alignment vertical="center"/>
    </xf>
    <xf numFmtId="166" fontId="45" fillId="0" borderId="0" xfId="2" applyNumberFormat="1" applyFont="1" applyBorder="1" applyAlignment="1">
      <alignment horizontal="left" vertical="center" wrapText="1"/>
    </xf>
    <xf numFmtId="3" fontId="2" fillId="0" borderId="0" xfId="0" applyNumberFormat="1" applyFont="1" applyFill="1" applyBorder="1" applyAlignment="1">
      <alignment vertical="center"/>
    </xf>
    <xf numFmtId="0" fontId="7" fillId="0" borderId="0" xfId="0" applyNumberFormat="1" applyFont="1" applyAlignment="1">
      <alignment vertical="center"/>
    </xf>
    <xf numFmtId="3" fontId="46" fillId="0" borderId="2" xfId="0" applyNumberFormat="1" applyFont="1" applyBorder="1" applyAlignment="1">
      <alignment vertical="center"/>
    </xf>
    <xf numFmtId="3" fontId="46" fillId="2" borderId="2" xfId="0" applyNumberFormat="1" applyFont="1" applyFill="1" applyBorder="1" applyAlignment="1">
      <alignment vertical="center"/>
    </xf>
    <xf numFmtId="3" fontId="46" fillId="0" borderId="0" xfId="0" applyNumberFormat="1" applyFont="1" applyAlignment="1">
      <alignment vertical="center" wrapText="1"/>
    </xf>
    <xf numFmtId="3" fontId="47" fillId="0" borderId="0" xfId="0" applyNumberFormat="1" applyFont="1" applyAlignment="1">
      <alignment vertical="center"/>
    </xf>
    <xf numFmtId="3" fontId="47" fillId="2" borderId="0" xfId="0" applyNumberFormat="1" applyFont="1" applyFill="1" applyAlignment="1">
      <alignment vertical="center"/>
    </xf>
    <xf numFmtId="0" fontId="48" fillId="0" borderId="0" xfId="0" applyFont="1" applyAlignment="1">
      <alignment horizontal="center" vertical="center" wrapText="1"/>
    </xf>
    <xf numFmtId="0" fontId="48" fillId="0" borderId="0" xfId="0" applyFont="1"/>
    <xf numFmtId="0" fontId="48" fillId="0" borderId="0" xfId="0" applyFont="1" applyAlignment="1">
      <alignment vertical="center"/>
    </xf>
    <xf numFmtId="0" fontId="48" fillId="0" borderId="0" xfId="0" applyFont="1" applyAlignment="1">
      <alignment vertical="center" wrapText="1"/>
    </xf>
    <xf numFmtId="0" fontId="46" fillId="0" borderId="0" xfId="0" applyFont="1" applyAlignment="1">
      <alignment vertical="center"/>
    </xf>
    <xf numFmtId="0" fontId="46" fillId="0" borderId="0" xfId="0" applyFont="1"/>
    <xf numFmtId="3" fontId="48" fillId="0" borderId="0" xfId="0" applyNumberFormat="1" applyFont="1" applyAlignment="1">
      <alignment vertical="center"/>
    </xf>
    <xf numFmtId="3" fontId="2" fillId="0" borderId="0" xfId="0" applyNumberFormat="1" applyFont="1" applyBorder="1" applyAlignment="1">
      <alignment horizontal="center" vertical="center" wrapText="1"/>
    </xf>
    <xf numFmtId="3" fontId="2" fillId="2" borderId="0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right" vertical="center" wrapText="1"/>
    </xf>
    <xf numFmtId="9" fontId="2" fillId="0" borderId="0" xfId="0" applyNumberFormat="1" applyFont="1" applyBorder="1" applyAlignment="1">
      <alignment horizontal="left" vertical="center" wrapText="1"/>
    </xf>
    <xf numFmtId="167" fontId="41" fillId="0" borderId="0" xfId="0" applyNumberFormat="1" applyFont="1" applyAlignment="1">
      <alignment horizontal="left" vertical="center"/>
    </xf>
    <xf numFmtId="3" fontId="2" fillId="2" borderId="0" xfId="0" applyNumberFormat="1" applyFont="1" applyFill="1" applyBorder="1" applyAlignment="1">
      <alignment horizontal="right" vertical="center" wrapText="1"/>
    </xf>
    <xf numFmtId="3" fontId="48" fillId="0" borderId="0" xfId="0" applyNumberFormat="1" applyFont="1"/>
    <xf numFmtId="3" fontId="43" fillId="0" borderId="0" xfId="0" applyNumberFormat="1" applyFont="1" applyAlignment="1">
      <alignment vertical="center"/>
    </xf>
    <xf numFmtId="3" fontId="47" fillId="0" borderId="0" xfId="0" applyNumberFormat="1" applyFont="1" applyAlignment="1">
      <alignment vertical="center" wrapText="1"/>
    </xf>
    <xf numFmtId="3" fontId="27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3" fontId="7" fillId="0" borderId="0" xfId="0" applyNumberFormat="1" applyFont="1" applyFill="1" applyAlignment="1">
      <alignment vertical="center"/>
    </xf>
    <xf numFmtId="3" fontId="8" fillId="0" borderId="0" xfId="0" applyNumberFormat="1" applyFont="1" applyFill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7" fillId="0" borderId="2" xfId="0" applyNumberFormat="1" applyFont="1" applyFill="1" applyBorder="1" applyAlignment="1">
      <alignment vertical="center"/>
    </xf>
    <xf numFmtId="3" fontId="47" fillId="2" borderId="2" xfId="0" applyNumberFormat="1" applyFont="1" applyFill="1" applyBorder="1" applyAlignment="1">
      <alignment vertical="center"/>
    </xf>
    <xf numFmtId="3" fontId="1" fillId="0" borderId="2" xfId="0" applyNumberFormat="1" applyFont="1" applyBorder="1" applyAlignment="1">
      <alignment vertical="center"/>
    </xf>
    <xf numFmtId="0" fontId="11" fillId="2" borderId="21" xfId="1" applyFont="1" applyFill="1" applyBorder="1" applyAlignment="1">
      <alignment horizontal="center"/>
    </xf>
    <xf numFmtId="165" fontId="11" fillId="2" borderId="22" xfId="1" applyNumberFormat="1" applyFont="1" applyFill="1" applyBorder="1" applyAlignment="1">
      <alignment horizontal="center"/>
    </xf>
    <xf numFmtId="0" fontId="11" fillId="2" borderId="23" xfId="1" applyFont="1" applyFill="1" applyBorder="1" applyAlignment="1">
      <alignment horizontal="center"/>
    </xf>
    <xf numFmtId="165" fontId="11" fillId="2" borderId="24" xfId="1" applyNumberFormat="1" applyFont="1" applyFill="1" applyBorder="1" applyAlignment="1">
      <alignment horizontal="center"/>
    </xf>
    <xf numFmtId="0" fontId="11" fillId="2" borderId="25" xfId="1" applyFont="1" applyFill="1" applyBorder="1" applyAlignment="1">
      <alignment horizontal="center"/>
    </xf>
    <xf numFmtId="165" fontId="11" fillId="2" borderId="26" xfId="1" applyNumberFormat="1" applyFont="1" applyFill="1" applyBorder="1" applyAlignment="1">
      <alignment horizontal="center"/>
    </xf>
    <xf numFmtId="9" fontId="11" fillId="2" borderId="27" xfId="1" applyNumberFormat="1" applyFont="1" applyFill="1" applyBorder="1" applyAlignment="1">
      <alignment horizontal="center"/>
    </xf>
    <xf numFmtId="9" fontId="11" fillId="2" borderId="28" xfId="1" applyNumberFormat="1" applyFont="1" applyFill="1" applyBorder="1" applyAlignment="1">
      <alignment horizontal="center"/>
    </xf>
    <xf numFmtId="9" fontId="11" fillId="2" borderId="29" xfId="1" applyNumberFormat="1" applyFont="1" applyFill="1" applyBorder="1" applyAlignment="1">
      <alignment horizontal="center"/>
    </xf>
    <xf numFmtId="165" fontId="11" fillId="2" borderId="27" xfId="1" applyNumberFormat="1" applyFont="1" applyFill="1" applyBorder="1"/>
    <xf numFmtId="165" fontId="11" fillId="2" borderId="28" xfId="1" applyNumberFormat="1" applyFont="1" applyFill="1" applyBorder="1"/>
    <xf numFmtId="165" fontId="11" fillId="2" borderId="29" xfId="1" applyNumberFormat="1" applyFont="1" applyFill="1" applyBorder="1"/>
    <xf numFmtId="165" fontId="18" fillId="2" borderId="29" xfId="1" applyNumberFormat="1" applyFont="1" applyFill="1" applyBorder="1"/>
    <xf numFmtId="4" fontId="11" fillId="2" borderId="27" xfId="1" applyNumberFormat="1" applyFont="1" applyFill="1" applyBorder="1"/>
    <xf numFmtId="4" fontId="11" fillId="2" borderId="28" xfId="1" applyNumberFormat="1" applyFont="1" applyFill="1" applyBorder="1"/>
    <xf numFmtId="4" fontId="11" fillId="2" borderId="29" xfId="1" applyNumberFormat="1" applyFont="1" applyFill="1" applyBorder="1"/>
    <xf numFmtId="0" fontId="11" fillId="2" borderId="30" xfId="1" applyFont="1" applyFill="1" applyBorder="1"/>
    <xf numFmtId="0" fontId="11" fillId="2" borderId="31" xfId="1" applyFont="1" applyFill="1" applyBorder="1"/>
    <xf numFmtId="0" fontId="11" fillId="2" borderId="31" xfId="1" applyFont="1" applyFill="1" applyBorder="1" applyAlignment="1">
      <alignment wrapText="1"/>
    </xf>
    <xf numFmtId="0" fontId="11" fillId="2" borderId="31" xfId="1" applyFont="1" applyFill="1" applyBorder="1" applyAlignment="1">
      <alignment shrinkToFit="1"/>
    </xf>
    <xf numFmtId="0" fontId="11" fillId="2" borderId="32" xfId="1" applyFont="1" applyFill="1" applyBorder="1"/>
    <xf numFmtId="3" fontId="1" fillId="0" borderId="0" xfId="0" applyNumberFormat="1" applyFont="1" applyAlignment="1">
      <alignment vertical="center"/>
    </xf>
    <xf numFmtId="3" fontId="1" fillId="2" borderId="0" xfId="0" applyNumberFormat="1" applyFont="1" applyFill="1" applyAlignment="1">
      <alignment vertical="center"/>
    </xf>
    <xf numFmtId="0" fontId="15" fillId="0" borderId="10" xfId="1" applyFont="1" applyBorder="1" applyAlignment="1">
      <alignment wrapText="1"/>
    </xf>
    <xf numFmtId="0" fontId="3" fillId="0" borderId="0" xfId="0" applyFont="1" applyAlignment="1">
      <alignment vertical="center" wrapText="1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Alignment="1"/>
    <xf numFmtId="0" fontId="32" fillId="0" borderId="0" xfId="0" applyFont="1" applyAlignment="1"/>
    <xf numFmtId="0" fontId="0" fillId="0" borderId="0" xfId="0" applyFont="1" applyAlignment="1"/>
    <xf numFmtId="42" fontId="19" fillId="2" borderId="0" xfId="1" applyNumberFormat="1" applyFont="1" applyFill="1" applyBorder="1"/>
    <xf numFmtId="44" fontId="15" fillId="2" borderId="0" xfId="1" applyNumberFormat="1" applyFont="1" applyFill="1" applyBorder="1"/>
    <xf numFmtId="44" fontId="20" fillId="2" borderId="0" xfId="1" applyNumberFormat="1" applyFont="1" applyFill="1" applyBorder="1"/>
    <xf numFmtId="44" fontId="11" fillId="2" borderId="0" xfId="1" applyNumberFormat="1" applyFont="1" applyFill="1" applyBorder="1"/>
    <xf numFmtId="0" fontId="19" fillId="2" borderId="0" xfId="1" applyFont="1" applyFill="1"/>
    <xf numFmtId="3" fontId="2" fillId="0" borderId="1" xfId="0" applyNumberFormat="1" applyFont="1" applyFill="1" applyBorder="1" applyAlignment="1">
      <alignment horizontal="right" vertical="center" wrapText="1"/>
    </xf>
    <xf numFmtId="3" fontId="2" fillId="0" borderId="0" xfId="0" applyNumberFormat="1" applyFont="1" applyFill="1" applyBorder="1" applyAlignment="1">
      <alignment horizontal="right" vertical="center" wrapText="1"/>
    </xf>
    <xf numFmtId="3" fontId="2" fillId="0" borderId="5" xfId="0" applyNumberFormat="1" applyFont="1" applyFill="1" applyBorder="1" applyAlignment="1">
      <alignment vertical="center"/>
    </xf>
    <xf numFmtId="3" fontId="3" fillId="0" borderId="0" xfId="0" applyNumberFormat="1" applyFont="1" applyFill="1" applyAlignment="1">
      <alignment vertical="center"/>
    </xf>
    <xf numFmtId="3" fontId="8" fillId="0" borderId="4" xfId="0" applyNumberFormat="1" applyFont="1" applyFill="1" applyBorder="1" applyAlignment="1">
      <alignment vertical="center"/>
    </xf>
    <xf numFmtId="3" fontId="0" fillId="0" borderId="0" xfId="0" applyNumberFormat="1" applyFill="1" applyAlignment="1">
      <alignment vertical="center"/>
    </xf>
    <xf numFmtId="0" fontId="11" fillId="0" borderId="0" xfId="1" applyFont="1" applyAlignment="1">
      <alignment horizontal="right"/>
    </xf>
    <xf numFmtId="168" fontId="19" fillId="2" borderId="0" xfId="1" applyNumberFormat="1" applyFont="1" applyFill="1"/>
    <xf numFmtId="169" fontId="12" fillId="0" borderId="6" xfId="1" applyNumberFormat="1" applyFont="1" applyBorder="1" applyAlignment="1">
      <alignment horizontal="center" wrapText="1"/>
    </xf>
    <xf numFmtId="169" fontId="12" fillId="0" borderId="7" xfId="1" applyNumberFormat="1" applyFont="1" applyBorder="1" applyAlignment="1">
      <alignment horizontal="center" wrapText="1"/>
    </xf>
    <xf numFmtId="169" fontId="12" fillId="0" borderId="7" xfId="1" applyNumberFormat="1" applyFont="1" applyBorder="1" applyAlignment="1">
      <alignment horizontal="right" wrapText="1"/>
    </xf>
    <xf numFmtId="169" fontId="12" fillId="0" borderId="8" xfId="1" applyNumberFormat="1" applyFont="1" applyBorder="1" applyAlignment="1">
      <alignment horizontal="left" wrapText="1"/>
    </xf>
    <xf numFmtId="169" fontId="12" fillId="0" borderId="0" xfId="1" applyNumberFormat="1" applyFont="1" applyAlignment="1">
      <alignment horizontal="right"/>
    </xf>
    <xf numFmtId="0" fontId="12" fillId="0" borderId="9" xfId="1" applyFont="1" applyBorder="1" applyAlignment="1">
      <alignment horizontal="right"/>
    </xf>
    <xf numFmtId="0" fontId="12" fillId="0" borderId="0" xfId="1" applyFont="1" applyBorder="1" applyAlignment="1">
      <alignment horizontal="right"/>
    </xf>
    <xf numFmtId="165" fontId="12" fillId="0" borderId="0" xfId="1" applyNumberFormat="1" applyFont="1" applyBorder="1" applyAlignment="1">
      <alignment horizontal="right"/>
    </xf>
    <xf numFmtId="165" fontId="12" fillId="0" borderId="7" xfId="1" applyNumberFormat="1" applyFont="1" applyFill="1" applyBorder="1" applyAlignment="1">
      <alignment horizontal="right"/>
    </xf>
    <xf numFmtId="0" fontId="12" fillId="0" borderId="10" xfId="1" applyFont="1" applyBorder="1" applyAlignment="1">
      <alignment horizontal="right"/>
    </xf>
    <xf numFmtId="0" fontId="3" fillId="0" borderId="0" xfId="0" applyFont="1" applyAlignment="1">
      <alignment vertical="center" wrapText="1"/>
    </xf>
    <xf numFmtId="49" fontId="54" fillId="0" borderId="0" xfId="0" applyNumberFormat="1" applyFont="1" applyAlignment="1">
      <alignment vertical="center"/>
    </xf>
    <xf numFmtId="3" fontId="5" fillId="2" borderId="2" xfId="0" applyNumberFormat="1" applyFont="1" applyFill="1" applyBorder="1" applyAlignment="1">
      <alignment vertical="center"/>
    </xf>
    <xf numFmtId="3" fontId="5" fillId="2" borderId="0" xfId="0" applyNumberFormat="1" applyFont="1" applyFill="1" applyAlignment="1">
      <alignment vertical="center"/>
    </xf>
    <xf numFmtId="3" fontId="5" fillId="2" borderId="0" xfId="0" applyNumberFormat="1" applyFont="1" applyFill="1" applyBorder="1" applyAlignment="1">
      <alignment vertical="center"/>
    </xf>
    <xf numFmtId="0" fontId="11" fillId="2" borderId="0" xfId="1" applyFont="1" applyFill="1" applyBorder="1" applyAlignment="1">
      <alignment horizontal="center"/>
    </xf>
    <xf numFmtId="165" fontId="11" fillId="2" borderId="0" xfId="1" applyNumberFormat="1" applyFont="1" applyFill="1" applyBorder="1" applyAlignment="1">
      <alignment horizontal="center"/>
    </xf>
    <xf numFmtId="9" fontId="11" fillId="2" borderId="0" xfId="1" applyNumberFormat="1" applyFont="1" applyFill="1" applyBorder="1" applyAlignment="1">
      <alignment horizontal="center"/>
    </xf>
    <xf numFmtId="0" fontId="3" fillId="0" borderId="0" xfId="0" applyFont="1" applyAlignment="1">
      <alignment vertical="center" wrapText="1"/>
    </xf>
    <xf numFmtId="9" fontId="5" fillId="0" borderId="0" xfId="0" applyNumberFormat="1" applyFont="1" applyBorder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3" fontId="46" fillId="0" borderId="2" xfId="0" applyNumberFormat="1" applyFont="1" applyFill="1" applyBorder="1" applyAlignment="1">
      <alignment vertical="center"/>
    </xf>
    <xf numFmtId="3" fontId="1" fillId="0" borderId="0" xfId="0" applyNumberFormat="1" applyFont="1" applyFill="1" applyAlignment="1">
      <alignment vertical="center"/>
    </xf>
    <xf numFmtId="3" fontId="47" fillId="0" borderId="0" xfId="0" applyNumberFormat="1" applyFont="1" applyFill="1" applyAlignment="1">
      <alignment vertical="center"/>
    </xf>
    <xf numFmtId="3" fontId="48" fillId="0" borderId="0" xfId="0" applyNumberFormat="1" applyFont="1" applyFill="1" applyAlignment="1">
      <alignment vertical="center"/>
    </xf>
    <xf numFmtId="3" fontId="5" fillId="0" borderId="0" xfId="0" applyNumberFormat="1" applyFont="1" applyFill="1" applyAlignment="1">
      <alignment vertical="center"/>
    </xf>
    <xf numFmtId="0" fontId="55" fillId="0" borderId="0" xfId="0" applyFont="1" applyAlignment="1">
      <alignment vertical="center" wrapText="1"/>
    </xf>
    <xf numFmtId="0" fontId="25" fillId="0" borderId="0" xfId="1" applyFont="1" applyAlignment="1"/>
    <xf numFmtId="0" fontId="24" fillId="0" borderId="0" xfId="1" applyFont="1" applyAlignment="1"/>
    <xf numFmtId="0" fontId="12" fillId="0" borderId="0" xfId="1" applyFont="1" applyBorder="1" applyAlignment="1">
      <alignment horizontal="right" wrapText="1"/>
    </xf>
    <xf numFmtId="0" fontId="9" fillId="0" borderId="0" xfId="1" applyBorder="1" applyAlignment="1">
      <alignment horizontal="right" wrapText="1"/>
    </xf>
    <xf numFmtId="10" fontId="22" fillId="0" borderId="17" xfId="1" applyNumberFormat="1" applyFont="1" applyBorder="1" applyAlignment="1">
      <alignment horizontal="left" wrapText="1"/>
    </xf>
    <xf numFmtId="0" fontId="0" fillId="0" borderId="0" xfId="0" applyAlignment="1">
      <alignment wrapText="1"/>
    </xf>
    <xf numFmtId="0" fontId="0" fillId="0" borderId="10" xfId="0" applyBorder="1" applyAlignment="1">
      <alignment wrapText="1"/>
    </xf>
    <xf numFmtId="0" fontId="21" fillId="0" borderId="15" xfId="1" applyFont="1" applyBorder="1" applyAlignment="1">
      <alignment horizontal="center" wrapText="1"/>
    </xf>
    <xf numFmtId="0" fontId="30" fillId="0" borderId="4" xfId="0" applyFont="1" applyBorder="1" applyAlignment="1">
      <alignment horizontal="center" wrapText="1"/>
    </xf>
    <xf numFmtId="0" fontId="30" fillId="0" borderId="16" xfId="0" applyFont="1" applyBorder="1" applyAlignment="1">
      <alignment horizontal="center" wrapText="1"/>
    </xf>
    <xf numFmtId="0" fontId="19" fillId="0" borderId="15" xfId="1" applyFont="1" applyBorder="1" applyAlignment="1">
      <alignment horizontal="center"/>
    </xf>
    <xf numFmtId="0" fontId="34" fillId="0" borderId="4" xfId="0" applyFont="1" applyBorder="1" applyAlignment="1"/>
    <xf numFmtId="0" fontId="34" fillId="0" borderId="16" xfId="0" applyFont="1" applyBorder="1" applyAlignment="1"/>
    <xf numFmtId="0" fontId="2" fillId="0" borderId="0" xfId="0" applyNumberFormat="1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52" fillId="0" borderId="0" xfId="0" applyNumberFormat="1" applyFont="1" applyAlignment="1">
      <alignment vertical="center" wrapText="1"/>
    </xf>
    <xf numFmtId="0" fontId="51" fillId="0" borderId="0" xfId="0" applyFont="1" applyAlignment="1">
      <alignment vertical="center" wrapText="1"/>
    </xf>
    <xf numFmtId="0" fontId="2" fillId="0" borderId="0" xfId="0" applyNumberFormat="1" applyFont="1" applyAlignment="1">
      <alignment vertical="center" wrapText="1"/>
    </xf>
    <xf numFmtId="0" fontId="48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50" fillId="0" borderId="0" xfId="0" applyFont="1" applyBorder="1" applyAlignment="1">
      <alignment vertical="center" wrapText="1"/>
    </xf>
    <xf numFmtId="0" fontId="50" fillId="0" borderId="0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8" fillId="0" borderId="0" xfId="2" applyFont="1" applyBorder="1" applyAlignment="1">
      <alignment horizontal="left" vertical="center" wrapText="1"/>
    </xf>
    <xf numFmtId="166" fontId="28" fillId="0" borderId="0" xfId="2" applyNumberFormat="1" applyFont="1" applyBorder="1" applyAlignment="1">
      <alignment horizontal="left" vertical="center" wrapText="1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Income</a:t>
            </a:r>
          </a:p>
        </c:rich>
      </c:tx>
      <c:layout>
        <c:manualLayout>
          <c:xMode val="edge"/>
          <c:yMode val="edge"/>
          <c:x val="0.74785985880643202"/>
          <c:y val="3.40425531914893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1640388626839305"/>
          <c:y val="0.1785813369073547"/>
          <c:w val="0.34809889813892597"/>
          <c:h val="0.6206529290221700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CDD-491E-93B0-D6C4E928C6E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CDD-491E-93B0-D6C4E928C6E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8CDD-491E-93B0-D6C4E928C6E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8CDD-491E-93B0-D6C4E928C6E7}"/>
              </c:ext>
            </c:extLst>
          </c:dPt>
          <c:dLbls>
            <c:dLbl>
              <c:idx val="0"/>
              <c:layout>
                <c:manualLayout>
                  <c:x val="3.2387092789871855E-2"/>
                  <c:y val="1.0624869074464227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CDD-491E-93B0-D6C4E928C6E7}"/>
                </c:ext>
              </c:extLst>
            </c:dLbl>
            <c:dLbl>
              <c:idx val="1"/>
              <c:layout>
                <c:manualLayout>
                  <c:x val="-0.23042564786800218"/>
                  <c:y val="-5.5925059576758029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CDD-491E-93B0-D6C4E928C6E7}"/>
                </c:ext>
              </c:extLst>
            </c:dLbl>
            <c:dLbl>
              <c:idx val="2"/>
              <c:layout>
                <c:manualLayout>
                  <c:x val="-8.1960172639517909E-2"/>
                  <c:y val="0.10689025796461635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CDD-491E-93B0-D6C4E928C6E7}"/>
                </c:ext>
              </c:extLst>
            </c:dLbl>
            <c:dLbl>
              <c:idx val="3"/>
              <c:layout>
                <c:manualLayout>
                  <c:x val="2.6568820902160499E-2"/>
                  <c:y val="-4.69214465346643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673825318374582"/>
                      <c:h val="0.100167583654553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8CDD-491E-93B0-D6C4E928C6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'Water Summary'!$B$6:$B$9</c:f>
              <c:strCache>
                <c:ptCount val="4"/>
                <c:pt idx="0">
                  <c:v>Residential</c:v>
                </c:pt>
                <c:pt idx="1">
                  <c:v>Fire Protection</c:v>
                </c:pt>
                <c:pt idx="2">
                  <c:v>Commercial</c:v>
                </c:pt>
                <c:pt idx="3">
                  <c:v>Other metered service</c:v>
                </c:pt>
              </c:strCache>
            </c:strRef>
          </c:cat>
          <c:val>
            <c:numRef>
              <c:f>'Water Summary'!$C$6:$C$9</c:f>
              <c:numCache>
                <c:formatCode>"$"#,##0</c:formatCode>
                <c:ptCount val="4"/>
                <c:pt idx="0">
                  <c:v>280000</c:v>
                </c:pt>
                <c:pt idx="1">
                  <c:v>236025</c:v>
                </c:pt>
                <c:pt idx="2">
                  <c:v>100000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DD-491E-93B0-D6C4E928C6E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478-4A64-9A32-56F477011E6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478-4A64-9A32-56F477011E6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478-4A64-9A32-56F477011E64}"/>
              </c:ext>
            </c:extLst>
          </c:dPt>
          <c:cat>
            <c:strRef>
              <c:f>'Water Summary'!$B$6:$B$9</c:f>
              <c:strCache>
                <c:ptCount val="4"/>
                <c:pt idx="0">
                  <c:v>Residential</c:v>
                </c:pt>
                <c:pt idx="1">
                  <c:v>Fire Protection</c:v>
                </c:pt>
                <c:pt idx="2">
                  <c:v>Commercial</c:v>
                </c:pt>
                <c:pt idx="3">
                  <c:v>Other metered service</c:v>
                </c:pt>
              </c:strCache>
            </c:strRef>
          </c:cat>
          <c:val>
            <c:numRef>
              <c:f>'Water Summary'!$D$6:$D$8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DD-491E-93B0-D6C4E928C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Expenses</a:t>
            </a:r>
          </a:p>
        </c:rich>
      </c:tx>
      <c:layout>
        <c:manualLayout>
          <c:xMode val="edge"/>
          <c:yMode val="edge"/>
          <c:x val="0.6742342519685039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9799999999999999"/>
          <c:y val="0.23025996155694736"/>
          <c:w val="0.39150024606299211"/>
          <c:h val="0.5923405773010266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D2EF-44F4-94CD-441CC2D62FC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30D-4886-8DF2-76F1661CEF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2EF-44F4-94CD-441CC2D62FC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D2EF-44F4-94CD-441CC2D62FC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30D-4886-8DF2-76F1661CEF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D2EF-44F4-94CD-441CC2D62FC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2EF-44F4-94CD-441CC2D62FC1}"/>
              </c:ext>
            </c:extLst>
          </c:dPt>
          <c:dLbls>
            <c:dLbl>
              <c:idx val="0"/>
              <c:layout>
                <c:manualLayout>
                  <c:x val="4.1218722659667542E-2"/>
                  <c:y val="-0.11421077573636629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2EF-44F4-94CD-441CC2D62FC1}"/>
                </c:ext>
              </c:extLst>
            </c:dLbl>
            <c:dLbl>
              <c:idx val="1"/>
              <c:layout>
                <c:manualLayout>
                  <c:x val="8.839640748031484E-2"/>
                  <c:y val="3.4593535267943665E-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30D-4886-8DF2-76F1661CEF29}"/>
                </c:ext>
              </c:extLst>
            </c:dLbl>
            <c:dLbl>
              <c:idx val="2"/>
              <c:layout>
                <c:manualLayout>
                  <c:x val="-9.6772309711286086E-2"/>
                  <c:y val="-5.2628681831437735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2EF-44F4-94CD-441CC2D62FC1}"/>
                </c:ext>
              </c:extLst>
            </c:dLbl>
            <c:dLbl>
              <c:idx val="3"/>
              <c:layout>
                <c:manualLayout>
                  <c:x val="-8.0111986001749777E-2"/>
                  <c:y val="-3.721456692913385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2EF-44F4-94CD-441CC2D62FC1}"/>
                </c:ext>
              </c:extLst>
            </c:dLbl>
            <c:dLbl>
              <c:idx val="5"/>
              <c:layout>
                <c:manualLayout>
                  <c:x val="-2.3546793735653892E-2"/>
                  <c:y val="-4.6617054862389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2EF-44F4-94CD-441CC2D62FC1}"/>
                </c:ext>
              </c:extLst>
            </c:dLbl>
            <c:dLbl>
              <c:idx val="6"/>
              <c:layout>
                <c:manualLayout>
                  <c:x val="0.14588385826771655"/>
                  <c:y val="1.2347494518905263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2EF-44F4-94CD-441CC2D62F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'Water Summary'!$B$16:$B$22</c:f>
              <c:strCache>
                <c:ptCount val="7"/>
                <c:pt idx="0">
                  <c:v>Personnel</c:v>
                </c:pt>
                <c:pt idx="1">
                  <c:v>Debt Service</c:v>
                </c:pt>
                <c:pt idx="2">
                  <c:v>Materials</c:v>
                </c:pt>
                <c:pt idx="3">
                  <c:v>Power</c:v>
                </c:pt>
                <c:pt idx="4">
                  <c:v>Contracted Services</c:v>
                </c:pt>
                <c:pt idx="5">
                  <c:v>Capital Improvements</c:v>
                </c:pt>
                <c:pt idx="6">
                  <c:v>Other</c:v>
                </c:pt>
              </c:strCache>
            </c:strRef>
          </c:cat>
          <c:val>
            <c:numRef>
              <c:f>'Water Summary'!$C$16:$C$22</c:f>
              <c:numCache>
                <c:formatCode>"$"#,##0</c:formatCode>
                <c:ptCount val="7"/>
                <c:pt idx="0">
                  <c:v>295145.14</c:v>
                </c:pt>
                <c:pt idx="1">
                  <c:v>129853</c:v>
                </c:pt>
                <c:pt idx="2">
                  <c:v>79300</c:v>
                </c:pt>
                <c:pt idx="3">
                  <c:v>48600</c:v>
                </c:pt>
                <c:pt idx="4">
                  <c:v>38600</c:v>
                </c:pt>
                <c:pt idx="5">
                  <c:v>0</c:v>
                </c:pt>
                <c:pt idx="6">
                  <c:v>28732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EF-44F4-94CD-441CC2D62FC1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30D-4886-8DF2-76F1661CEF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B30D-4886-8DF2-76F1661CEF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B30D-4886-8DF2-76F1661CEF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B30D-4886-8DF2-76F1661CEF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B30D-4886-8DF2-76F1661CEF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B30D-4886-8DF2-76F1661CEF2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B30D-4886-8DF2-76F1661CEF29}"/>
              </c:ext>
            </c:extLst>
          </c:dPt>
          <c:cat>
            <c:strRef>
              <c:f>'Water Summary'!$B$16:$B$22</c:f>
              <c:strCache>
                <c:ptCount val="7"/>
                <c:pt idx="0">
                  <c:v>Personnel</c:v>
                </c:pt>
                <c:pt idx="1">
                  <c:v>Debt Service</c:v>
                </c:pt>
                <c:pt idx="2">
                  <c:v>Materials</c:v>
                </c:pt>
                <c:pt idx="3">
                  <c:v>Power</c:v>
                </c:pt>
                <c:pt idx="4">
                  <c:v>Contracted Services</c:v>
                </c:pt>
                <c:pt idx="5">
                  <c:v>Capital Improvements</c:v>
                </c:pt>
                <c:pt idx="6">
                  <c:v>Other</c:v>
                </c:pt>
              </c:strCache>
            </c:strRef>
          </c:cat>
          <c:val>
            <c:numRef>
              <c:f>'Water Summary'!$D$16:$D$22</c:f>
              <c:numCache>
                <c:formatCode>0%</c:formatCode>
                <c:ptCount val="7"/>
                <c:pt idx="0">
                  <c:v>0.47586391077350743</c:v>
                </c:pt>
                <c:pt idx="1">
                  <c:v>0.20936260853108493</c:v>
                </c:pt>
                <c:pt idx="2">
                  <c:v>0.12785576657077646</c:v>
                </c:pt>
                <c:pt idx="3">
                  <c:v>7.8358010786125296E-2</c:v>
                </c:pt>
                <c:pt idx="4">
                  <c:v>6.2234963299268233E-2</c:v>
                </c:pt>
                <c:pt idx="5">
                  <c:v>0</c:v>
                </c:pt>
                <c:pt idx="6">
                  <c:v>4.6324740039237693E-2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EF-44F4-94CD-441CC2D62F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Income</a:t>
            </a:r>
          </a:p>
        </c:rich>
      </c:tx>
      <c:layout>
        <c:manualLayout>
          <c:xMode val="edge"/>
          <c:yMode val="edge"/>
          <c:x val="0.73927780511811036"/>
          <c:y val="7.12871085289096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6635373437671139"/>
          <c:y val="0.27074054099401956"/>
          <c:w val="0.40047572178477692"/>
          <c:h val="0.6674595363079615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0C15-45CA-8B31-37429792159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C15-45CA-8B31-37429792159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0C15-45CA-8B31-374297921597}"/>
              </c:ext>
            </c:extLst>
          </c:dPt>
          <c:dLbls>
            <c:dLbl>
              <c:idx val="0"/>
              <c:layout>
                <c:manualLayout>
                  <c:x val="0.10408267716535433"/>
                  <c:y val="-0.19208588509769611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15-45CA-8B31-374297921597}"/>
                </c:ext>
              </c:extLst>
            </c:dLbl>
            <c:dLbl>
              <c:idx val="1"/>
              <c:layout>
                <c:manualLayout>
                  <c:x val="-2.6701554114081955E-2"/>
                  <c:y val="-5.0746054003523541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C15-45CA-8B31-374297921597}"/>
                </c:ext>
              </c:extLst>
            </c:dLbl>
            <c:dLbl>
              <c:idx val="2"/>
              <c:layout>
                <c:manualLayout>
                  <c:x val="-5.8631889763779539E-2"/>
                  <c:y val="-1.1673540807399074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C15-45CA-8B31-3742979215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'Sewer Summary'!$B$4:$B$6</c:f>
              <c:strCache>
                <c:ptCount val="3"/>
                <c:pt idx="0">
                  <c:v>Residential</c:v>
                </c:pt>
                <c:pt idx="1">
                  <c:v>Commercial</c:v>
                </c:pt>
                <c:pt idx="2">
                  <c:v>Public</c:v>
                </c:pt>
              </c:strCache>
            </c:strRef>
          </c:cat>
          <c:val>
            <c:numRef>
              <c:f>'Sewer Summary'!$C$4:$C$6</c:f>
              <c:numCache>
                <c:formatCode>"$"#,##0</c:formatCode>
                <c:ptCount val="3"/>
                <c:pt idx="0">
                  <c:v>356370</c:v>
                </c:pt>
                <c:pt idx="1">
                  <c:v>181440</c:v>
                </c:pt>
                <c:pt idx="2">
                  <c:v>39690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5-45CA-8B31-37429792159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492-4B77-B5F6-D9A7453C172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492-4B77-B5F6-D9A7453C172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492-4B77-B5F6-D9A7453C172E}"/>
              </c:ext>
            </c:extLst>
          </c:dPt>
          <c:cat>
            <c:strRef>
              <c:f>'Sewer Summary'!$B$4:$B$6</c:f>
              <c:strCache>
                <c:ptCount val="3"/>
                <c:pt idx="0">
                  <c:v>Residential</c:v>
                </c:pt>
                <c:pt idx="1">
                  <c:v>Commercial</c:v>
                </c:pt>
                <c:pt idx="2">
                  <c:v>Public</c:v>
                </c:pt>
              </c:strCache>
            </c:strRef>
          </c:cat>
          <c:val>
            <c:numRef>
              <c:f>'Sewer Summary'!$D$4:$D$6</c:f>
              <c:numCache>
                <c:formatCode>0%</c:formatCode>
                <c:ptCount val="3"/>
                <c:pt idx="0">
                  <c:v>0.61709090909090913</c:v>
                </c:pt>
                <c:pt idx="1">
                  <c:v>0.31418181818181817</c:v>
                </c:pt>
                <c:pt idx="2">
                  <c:v>6.8727272727272734E-2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15-45CA-8B31-374297921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Expenses</a:t>
            </a:r>
          </a:p>
        </c:rich>
      </c:tx>
      <c:layout>
        <c:manualLayout>
          <c:xMode val="edge"/>
          <c:yMode val="edge"/>
          <c:x val="0.7270971128608924"/>
          <c:y val="6.9444444444444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561-49C5-AB61-75AA5893C0C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561-49C5-AB61-75AA5893C0C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561-49C5-AB61-75AA5893C0C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E561-49C5-AB61-75AA5893C0C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AF3-4490-8BE7-2A359F0DA17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E561-49C5-AB61-75AA5893C0C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AF3-4490-8BE7-2A359F0DA17B}"/>
              </c:ext>
            </c:extLst>
          </c:dPt>
          <c:dLbls>
            <c:dLbl>
              <c:idx val="0"/>
              <c:layout>
                <c:manualLayout>
                  <c:x val="2.1989050011282527E-2"/>
                  <c:y val="-6.954344912072010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561-49C5-AB61-75AA5893C0C3}"/>
                </c:ext>
              </c:extLst>
            </c:dLbl>
            <c:dLbl>
              <c:idx val="1"/>
              <c:layout>
                <c:manualLayout>
                  <c:x val="0.29432287027469983"/>
                  <c:y val="-4.3773491109552684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561-49C5-AB61-75AA5893C0C3}"/>
                </c:ext>
              </c:extLst>
            </c:dLbl>
            <c:dLbl>
              <c:idx val="2"/>
              <c:layout>
                <c:manualLayout>
                  <c:x val="-6.0318523532974684E-2"/>
                  <c:y val="8.431854699109615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561-49C5-AB61-75AA5893C0C3}"/>
                </c:ext>
              </c:extLst>
            </c:dLbl>
            <c:dLbl>
              <c:idx val="3"/>
              <c:layout>
                <c:manualLayout>
                  <c:x val="-2.5336991247134834E-3"/>
                  <c:y val="5.709771058775484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05580693815986"/>
                      <c:h val="0.175670977993590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E561-49C5-AB61-75AA5893C0C3}"/>
                </c:ext>
              </c:extLst>
            </c:dLbl>
            <c:dLbl>
              <c:idx val="4"/>
              <c:layout>
                <c:manualLayout>
                  <c:x val="-0.13677462262918491"/>
                  <c:y val="-8.384273273619825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212669683257921"/>
                      <c:h val="0.1080947012401352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BAF3-4490-8BE7-2A359F0DA17B}"/>
                </c:ext>
              </c:extLst>
            </c:dLbl>
            <c:dLbl>
              <c:idx val="5"/>
              <c:layout>
                <c:manualLayout>
                  <c:x val="-0.11613876319758679"/>
                  <c:y val="-8.78601674227023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46003016591252"/>
                      <c:h val="9.808342728297632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E561-49C5-AB61-75AA5893C0C3}"/>
                </c:ext>
              </c:extLst>
            </c:dLbl>
            <c:dLbl>
              <c:idx val="6"/>
              <c:layout>
                <c:manualLayout>
                  <c:x val="9.3514328808446401E-2"/>
                  <c:y val="-2.980017576720609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733031674208143"/>
                      <c:h val="0.148816234498308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BAF3-4490-8BE7-2A359F0DA1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'Sewer Summary'!$B$13:$B$19</c:f>
              <c:strCache>
                <c:ptCount val="7"/>
                <c:pt idx="0">
                  <c:v>Materials</c:v>
                </c:pt>
                <c:pt idx="1">
                  <c:v>Personnel</c:v>
                </c:pt>
                <c:pt idx="2">
                  <c:v>Debt Service</c:v>
                </c:pt>
                <c:pt idx="3">
                  <c:v>Capital Improvements</c:v>
                </c:pt>
                <c:pt idx="4">
                  <c:v>Power</c:v>
                </c:pt>
                <c:pt idx="5">
                  <c:v>Other</c:v>
                </c:pt>
                <c:pt idx="6">
                  <c:v>Contracted Services</c:v>
                </c:pt>
              </c:strCache>
            </c:strRef>
          </c:cat>
          <c:val>
            <c:numRef>
              <c:f>'Sewer Summary'!$C$13:$C$19</c:f>
              <c:numCache>
                <c:formatCode>"$"#,##0</c:formatCode>
                <c:ptCount val="7"/>
                <c:pt idx="0">
                  <c:v>230300</c:v>
                </c:pt>
                <c:pt idx="1">
                  <c:v>168217.97589</c:v>
                </c:pt>
                <c:pt idx="2">
                  <c:v>105182</c:v>
                </c:pt>
                <c:pt idx="3">
                  <c:v>0</c:v>
                </c:pt>
                <c:pt idx="4">
                  <c:v>34800</c:v>
                </c:pt>
                <c:pt idx="5">
                  <c:v>19900</c:v>
                </c:pt>
                <c:pt idx="6">
                  <c:v>9300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61-49C5-AB61-75AA5893C0C3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AF3-4490-8BE7-2A359F0DA17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BAF3-4490-8BE7-2A359F0DA17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BAF3-4490-8BE7-2A359F0DA17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BAF3-4490-8BE7-2A359F0DA17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BAF3-4490-8BE7-2A359F0DA17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BAF3-4490-8BE7-2A359F0DA17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BAF3-4490-8BE7-2A359F0DA17B}"/>
              </c:ext>
            </c:extLst>
          </c:dPt>
          <c:cat>
            <c:strRef>
              <c:f>'Sewer Summary'!$B$13:$B$19</c:f>
              <c:strCache>
                <c:ptCount val="7"/>
                <c:pt idx="0">
                  <c:v>Materials</c:v>
                </c:pt>
                <c:pt idx="1">
                  <c:v>Personnel</c:v>
                </c:pt>
                <c:pt idx="2">
                  <c:v>Debt Service</c:v>
                </c:pt>
                <c:pt idx="3">
                  <c:v>Capital Improvements</c:v>
                </c:pt>
                <c:pt idx="4">
                  <c:v>Power</c:v>
                </c:pt>
                <c:pt idx="5">
                  <c:v>Other</c:v>
                </c:pt>
                <c:pt idx="6">
                  <c:v>Contracted Services</c:v>
                </c:pt>
              </c:strCache>
            </c:strRef>
          </c:cat>
          <c:val>
            <c:numRef>
              <c:f>'Sewer Summary'!$D$13:$D$19</c:f>
              <c:numCache>
                <c:formatCode>0%</c:formatCode>
                <c:ptCount val="7"/>
                <c:pt idx="0">
                  <c:v>0.40567202709309946</c:v>
                </c:pt>
                <c:pt idx="1">
                  <c:v>0.29631492519667579</c:v>
                </c:pt>
                <c:pt idx="2">
                  <c:v>0.18527744313376635</c:v>
                </c:pt>
                <c:pt idx="3">
                  <c:v>0</c:v>
                </c:pt>
                <c:pt idx="4">
                  <c:v>6.1299984988449248E-2</c:v>
                </c:pt>
                <c:pt idx="5">
                  <c:v>3.5053727047992526E-2</c:v>
                </c:pt>
                <c:pt idx="6">
                  <c:v>1.638189254001661E-2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61-49C5-AB61-75AA5893C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152400</xdr:colOff>
          <xdr:row>0</xdr:row>
          <xdr:rowOff>228600</xdr:rowOff>
        </xdr:to>
        <xdr:sp macro="" textlink="">
          <xdr:nvSpPr>
            <xdr:cNvPr id="2049" name="FILTER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152400</xdr:colOff>
          <xdr:row>0</xdr:row>
          <xdr:rowOff>228600</xdr:rowOff>
        </xdr:to>
        <xdr:sp macro="" textlink="">
          <xdr:nvSpPr>
            <xdr:cNvPr id="2050" name="HEADER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5</xdr:col>
          <xdr:colOff>57150</xdr:colOff>
          <xdr:row>0</xdr:row>
          <xdr:rowOff>228600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5</xdr:col>
          <xdr:colOff>57150</xdr:colOff>
          <xdr:row>0</xdr:row>
          <xdr:rowOff>228600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142875</xdr:colOff>
      <xdr:row>0</xdr:row>
      <xdr:rowOff>187325</xdr:rowOff>
    </xdr:from>
    <xdr:to>
      <xdr:col>10</xdr:col>
      <xdr:colOff>476250</xdr:colOff>
      <xdr:row>13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209550</xdr:colOff>
      <xdr:row>14</xdr:row>
      <xdr:rowOff>63499</xdr:rowOff>
    </xdr:from>
    <xdr:to>
      <xdr:col>11</xdr:col>
      <xdr:colOff>6350</xdr:colOff>
      <xdr:row>28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215900</xdr:colOff>
      <xdr:row>0</xdr:row>
      <xdr:rowOff>184151</xdr:rowOff>
    </xdr:from>
    <xdr:to>
      <xdr:col>11</xdr:col>
      <xdr:colOff>107950</xdr:colOff>
      <xdr:row>11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234950</xdr:colOff>
      <xdr:row>12</xdr:row>
      <xdr:rowOff>66675</xdr:rowOff>
    </xdr:from>
    <xdr:to>
      <xdr:col>11</xdr:col>
      <xdr:colOff>177800</xdr:colOff>
      <xdr:row>27</xdr:row>
      <xdr:rowOff>120650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3"/>
  <sheetViews>
    <sheetView zoomScale="96" zoomScaleNormal="96" workbookViewId="0">
      <pane ySplit="3" topLeftCell="A11" activePane="bottomLeft" state="frozen"/>
      <selection pane="bottomLeft" activeCell="F29" sqref="F29"/>
    </sheetView>
  </sheetViews>
  <sheetFormatPr defaultColWidth="9.140625" defaultRowHeight="15.75" x14ac:dyDescent="0.25"/>
  <cols>
    <col min="1" max="1" width="26.7109375" style="44" customWidth="1"/>
    <col min="2" max="2" width="8.140625" style="44" customWidth="1"/>
    <col min="3" max="3" width="7.42578125" style="44" customWidth="1"/>
    <col min="4" max="4" width="12.140625" style="44" bestFit="1" customWidth="1"/>
    <col min="5" max="5" width="9.5703125" style="44" bestFit="1" customWidth="1"/>
    <col min="6" max="6" width="14.28515625" style="44" customWidth="1"/>
    <col min="7" max="7" width="12.140625" style="44" bestFit="1" customWidth="1"/>
    <col min="8" max="8" width="12.85546875" style="44" bestFit="1" customWidth="1"/>
    <col min="9" max="9" width="12.7109375" style="44" customWidth="1"/>
    <col min="10" max="10" width="11.7109375" style="44" bestFit="1" customWidth="1"/>
    <col min="11" max="11" width="12.85546875" style="44" customWidth="1"/>
    <col min="12" max="12" width="13" style="44" bestFit="1" customWidth="1"/>
    <col min="13" max="13" width="23.140625" style="44" bestFit="1" customWidth="1"/>
    <col min="14" max="14" width="12.42578125" style="44" bestFit="1" customWidth="1"/>
    <col min="15" max="16384" width="9.140625" style="44"/>
  </cols>
  <sheetData>
    <row r="1" spans="1:14" ht="18.75" x14ac:dyDescent="0.3">
      <c r="A1" s="361" t="s">
        <v>509</v>
      </c>
      <c r="B1" s="361"/>
      <c r="C1" s="362"/>
      <c r="D1" s="362"/>
      <c r="E1" s="362"/>
      <c r="F1" s="362"/>
      <c r="G1" s="362"/>
      <c r="H1" s="362"/>
      <c r="I1" s="362"/>
      <c r="J1" s="362"/>
      <c r="K1" s="362"/>
      <c r="L1" s="362"/>
    </row>
    <row r="2" spans="1:14" ht="16.5" thickBot="1" x14ac:dyDescent="0.3">
      <c r="A2" s="45" t="s">
        <v>329</v>
      </c>
      <c r="B2" s="45"/>
      <c r="D2" s="46" t="s">
        <v>456</v>
      </c>
      <c r="E2" s="46"/>
      <c r="F2" s="47"/>
      <c r="G2" s="47"/>
      <c r="H2" s="47"/>
      <c r="J2" s="328" t="s">
        <v>529</v>
      </c>
      <c r="K2" s="329">
        <v>2.5000000000000001E-2</v>
      </c>
    </row>
    <row r="3" spans="1:14" s="51" customFormat="1" ht="32.25" hidden="1" thickBot="1" x14ac:dyDescent="0.3">
      <c r="A3" s="48" t="s">
        <v>330</v>
      </c>
      <c r="B3" s="48" t="s">
        <v>331</v>
      </c>
      <c r="C3" s="48" t="s">
        <v>350</v>
      </c>
      <c r="D3" s="48" t="s">
        <v>365</v>
      </c>
      <c r="E3" s="49" t="s">
        <v>364</v>
      </c>
      <c r="F3" s="50" t="s">
        <v>363</v>
      </c>
      <c r="G3" s="50" t="s">
        <v>357</v>
      </c>
      <c r="H3" s="50" t="s">
        <v>358</v>
      </c>
      <c r="I3" s="50" t="s">
        <v>359</v>
      </c>
      <c r="J3" s="50" t="s">
        <v>360</v>
      </c>
      <c r="K3" s="50" t="s">
        <v>361</v>
      </c>
      <c r="L3" s="50" t="s">
        <v>362</v>
      </c>
      <c r="M3" s="118" t="s">
        <v>150</v>
      </c>
    </row>
    <row r="4" spans="1:14" s="51" customFormat="1" ht="48.75" thickTop="1" thickBot="1" x14ac:dyDescent="0.3">
      <c r="A4" s="160" t="s">
        <v>368</v>
      </c>
      <c r="B4" s="74" t="s">
        <v>331</v>
      </c>
      <c r="C4" s="74" t="s">
        <v>350</v>
      </c>
      <c r="D4" s="74" t="s">
        <v>365</v>
      </c>
      <c r="E4" s="74" t="s">
        <v>332</v>
      </c>
      <c r="F4" s="75" t="s">
        <v>533</v>
      </c>
      <c r="G4" s="75" t="s">
        <v>340</v>
      </c>
      <c r="H4" s="75" t="s">
        <v>341</v>
      </c>
      <c r="I4" s="75" t="s">
        <v>342</v>
      </c>
      <c r="J4" s="75" t="s">
        <v>343</v>
      </c>
      <c r="K4" s="75" t="s">
        <v>534</v>
      </c>
      <c r="L4" s="75" t="s">
        <v>349</v>
      </c>
      <c r="M4" s="119" t="s">
        <v>356</v>
      </c>
      <c r="N4" s="51" t="s">
        <v>475</v>
      </c>
    </row>
    <row r="5" spans="1:14" ht="17.25" thickTop="1" thickBot="1" x14ac:dyDescent="0.3">
      <c r="A5" s="52" t="s">
        <v>333</v>
      </c>
      <c r="B5" s="287">
        <v>40</v>
      </c>
      <c r="C5" s="288">
        <f>40.41*(1+$K$2)</f>
        <v>41.420249999999996</v>
      </c>
      <c r="D5" s="117">
        <f t="shared" ref="D5:D12" si="0">C5*B5</f>
        <v>1656.81</v>
      </c>
      <c r="E5" s="293">
        <v>0.75</v>
      </c>
      <c r="F5" s="54">
        <f t="shared" ref="F5:F12" si="1">D5*52*E5</f>
        <v>64615.59</v>
      </c>
      <c r="G5" s="54">
        <f t="shared" ref="G5:G12" si="2">F5*0.0765</f>
        <v>4943.092635</v>
      </c>
      <c r="H5" s="54">
        <f>D37*E5</f>
        <v>12635.25</v>
      </c>
      <c r="I5" s="54">
        <f t="shared" ref="I5:I11" si="3">F5*0.014</f>
        <v>904.61825999999996</v>
      </c>
      <c r="J5" s="54">
        <f t="shared" ref="J5:J11" si="4">F5*0.06</f>
        <v>3876.9353999999998</v>
      </c>
      <c r="K5" s="54">
        <f>F5*0.043</f>
        <v>2778.4703699999995</v>
      </c>
      <c r="L5" s="54">
        <f>SUM(F5:K5)</f>
        <v>89753.956664999991</v>
      </c>
      <c r="M5" s="303"/>
      <c r="N5" s="228">
        <f t="shared" ref="N5:N10" si="5">L5+L21</f>
        <v>119671.94222</v>
      </c>
    </row>
    <row r="6" spans="1:14" x14ac:dyDescent="0.25">
      <c r="A6" s="52" t="s">
        <v>385</v>
      </c>
      <c r="B6" s="289">
        <v>30</v>
      </c>
      <c r="C6" s="290">
        <f>20.6*(1+$K$2)</f>
        <v>21.114999999999998</v>
      </c>
      <c r="D6" s="117">
        <f t="shared" si="0"/>
        <v>633.44999999999993</v>
      </c>
      <c r="E6" s="294">
        <v>0.75</v>
      </c>
      <c r="F6" s="54">
        <f t="shared" si="1"/>
        <v>24704.549999999996</v>
      </c>
      <c r="G6" s="54">
        <f>F6*0.0765</f>
        <v>1889.8980749999996</v>
      </c>
      <c r="H6" s="54">
        <f>IF(B6&gt;=40,D38*E6,0)</f>
        <v>0</v>
      </c>
      <c r="I6" s="54">
        <f>F6*0.014</f>
        <v>345.86369999999994</v>
      </c>
      <c r="J6" s="54">
        <f>F6*0.06</f>
        <v>1482.2729999999997</v>
      </c>
      <c r="K6" s="54">
        <f t="shared" ref="K6:K12" si="6">F6*0.043</f>
        <v>1062.2956499999998</v>
      </c>
      <c r="L6" s="54">
        <f>SUM(F6:K6)</f>
        <v>29484.880424999999</v>
      </c>
      <c r="M6" s="303"/>
      <c r="N6" s="228">
        <f t="shared" si="5"/>
        <v>39313.173899999994</v>
      </c>
    </row>
    <row r="7" spans="1:14" x14ac:dyDescent="0.25">
      <c r="A7" s="52" t="s">
        <v>565</v>
      </c>
      <c r="B7" s="289">
        <v>40</v>
      </c>
      <c r="C7" s="290">
        <v>19.36</v>
      </c>
      <c r="D7" s="117">
        <f t="shared" si="0"/>
        <v>774.4</v>
      </c>
      <c r="E7" s="294">
        <v>1</v>
      </c>
      <c r="F7" s="54">
        <f t="shared" si="1"/>
        <v>40268.799999999996</v>
      </c>
      <c r="G7" s="54">
        <f>F7*0.0765</f>
        <v>3080.5631999999996</v>
      </c>
      <c r="H7" s="54">
        <f>IF(B7&gt;=40,D39*E7,0)</f>
        <v>16847</v>
      </c>
      <c r="I7" s="54">
        <f>F7*0.014</f>
        <v>563.76319999999998</v>
      </c>
      <c r="J7" s="54">
        <f>F7*0.06</f>
        <v>2416.1279999999997</v>
      </c>
      <c r="K7" s="54">
        <f t="shared" si="6"/>
        <v>1731.5583999999997</v>
      </c>
      <c r="L7" s="54">
        <f>SUM(F7:K7)</f>
        <v>64907.812799999992</v>
      </c>
      <c r="M7" s="304"/>
      <c r="N7" s="228">
        <f t="shared" si="5"/>
        <v>64907.812799999992</v>
      </c>
    </row>
    <row r="8" spans="1:14" x14ac:dyDescent="0.25">
      <c r="A8" s="52" t="s">
        <v>511</v>
      </c>
      <c r="B8" s="289">
        <v>40</v>
      </c>
      <c r="C8" s="290">
        <v>18.5</v>
      </c>
      <c r="D8" s="117">
        <f t="shared" si="0"/>
        <v>740</v>
      </c>
      <c r="E8" s="294">
        <v>0.75</v>
      </c>
      <c r="F8" s="54">
        <f t="shared" si="1"/>
        <v>28860</v>
      </c>
      <c r="G8" s="54">
        <f t="shared" si="2"/>
        <v>2207.79</v>
      </c>
      <c r="H8" s="54">
        <f>D40*E8</f>
        <v>0</v>
      </c>
      <c r="I8" s="54">
        <f t="shared" si="3"/>
        <v>404.04</v>
      </c>
      <c r="J8" s="54">
        <f t="shared" si="4"/>
        <v>1731.6</v>
      </c>
      <c r="K8" s="54">
        <f t="shared" si="6"/>
        <v>1240.9799999999998</v>
      </c>
      <c r="L8" s="54">
        <f t="shared" ref="L8:L17" si="7">SUM(F8:K8)</f>
        <v>34444.410000000003</v>
      </c>
      <c r="M8" s="305"/>
      <c r="N8" s="228">
        <f t="shared" si="5"/>
        <v>45925.880000000005</v>
      </c>
    </row>
    <row r="9" spans="1:14" x14ac:dyDescent="0.25">
      <c r="A9" s="52" t="s">
        <v>334</v>
      </c>
      <c r="B9" s="289">
        <v>40</v>
      </c>
      <c r="C9" s="290">
        <f>26*(1+$K$2)</f>
        <v>26.65</v>
      </c>
      <c r="D9" s="117">
        <f t="shared" si="0"/>
        <v>1066</v>
      </c>
      <c r="E9" s="294">
        <v>0</v>
      </c>
      <c r="F9" s="54">
        <f t="shared" si="1"/>
        <v>0</v>
      </c>
      <c r="G9" s="54">
        <f t="shared" si="2"/>
        <v>0</v>
      </c>
      <c r="H9" s="54">
        <f>D41*E9</f>
        <v>0</v>
      </c>
      <c r="I9" s="54">
        <f t="shared" si="3"/>
        <v>0</v>
      </c>
      <c r="J9" s="54">
        <f t="shared" si="4"/>
        <v>0</v>
      </c>
      <c r="K9" s="54">
        <f t="shared" si="6"/>
        <v>0</v>
      </c>
      <c r="L9" s="54">
        <f t="shared" si="7"/>
        <v>0</v>
      </c>
      <c r="M9" s="304"/>
      <c r="N9" s="228">
        <f t="shared" si="5"/>
        <v>89318.092000000004</v>
      </c>
    </row>
    <row r="10" spans="1:14" ht="16.5" thickBot="1" x14ac:dyDescent="0.3">
      <c r="A10" s="52" t="s">
        <v>510</v>
      </c>
      <c r="B10" s="291">
        <v>40</v>
      </c>
      <c r="C10" s="292">
        <v>18.62</v>
      </c>
      <c r="D10" s="117">
        <f t="shared" si="0"/>
        <v>744.80000000000007</v>
      </c>
      <c r="E10" s="295">
        <v>0.75</v>
      </c>
      <c r="F10" s="120">
        <f t="shared" si="1"/>
        <v>29047.200000000004</v>
      </c>
      <c r="G10" s="120">
        <f t="shared" si="2"/>
        <v>2222.1108000000004</v>
      </c>
      <c r="H10" s="54">
        <f>D43*E10</f>
        <v>7740</v>
      </c>
      <c r="I10" s="120">
        <f t="shared" si="3"/>
        <v>406.66080000000005</v>
      </c>
      <c r="J10" s="120">
        <f t="shared" si="4"/>
        <v>1742.8320000000001</v>
      </c>
      <c r="K10" s="120">
        <f t="shared" si="6"/>
        <v>1249.0296000000001</v>
      </c>
      <c r="L10" s="120">
        <f t="shared" si="7"/>
        <v>42407.833200000008</v>
      </c>
      <c r="M10" s="306"/>
      <c r="N10" s="231">
        <f t="shared" si="5"/>
        <v>56543.777600000009</v>
      </c>
    </row>
    <row r="11" spans="1:14" ht="16.5" thickTop="1" x14ac:dyDescent="0.25">
      <c r="A11" s="52" t="s">
        <v>579</v>
      </c>
      <c r="B11" s="345">
        <v>5</v>
      </c>
      <c r="C11" s="346">
        <v>11</v>
      </c>
      <c r="D11" s="117">
        <f t="shared" si="0"/>
        <v>55</v>
      </c>
      <c r="E11" s="347">
        <v>1</v>
      </c>
      <c r="F11" s="120">
        <f t="shared" si="1"/>
        <v>2860</v>
      </c>
      <c r="G11" s="120">
        <f t="shared" si="2"/>
        <v>218.79</v>
      </c>
      <c r="H11" s="54"/>
      <c r="I11" s="120">
        <f t="shared" si="3"/>
        <v>40.04</v>
      </c>
      <c r="J11" s="120">
        <f t="shared" si="4"/>
        <v>171.6</v>
      </c>
      <c r="K11" s="120">
        <f t="shared" si="6"/>
        <v>122.97999999999999</v>
      </c>
      <c r="L11" s="120"/>
      <c r="M11" s="306"/>
      <c r="N11" s="231"/>
    </row>
    <row r="12" spans="1:14" x14ac:dyDescent="0.25">
      <c r="A12" s="52" t="s">
        <v>570</v>
      </c>
      <c r="B12" s="345">
        <v>3</v>
      </c>
      <c r="C12" s="346">
        <v>22.91</v>
      </c>
      <c r="D12" s="117">
        <f t="shared" si="0"/>
        <v>68.73</v>
      </c>
      <c r="E12" s="347">
        <v>1</v>
      </c>
      <c r="F12" s="120">
        <f t="shared" si="1"/>
        <v>3573.96</v>
      </c>
      <c r="G12" s="120">
        <f t="shared" si="2"/>
        <v>273.40794</v>
      </c>
      <c r="H12" s="54"/>
      <c r="I12" s="120">
        <v>0</v>
      </c>
      <c r="J12" s="120">
        <v>0</v>
      </c>
      <c r="K12" s="120">
        <f t="shared" si="6"/>
        <v>153.68027999999998</v>
      </c>
      <c r="L12" s="120"/>
      <c r="M12" s="306"/>
      <c r="N12" s="231"/>
    </row>
    <row r="13" spans="1:14" x14ac:dyDescent="0.25">
      <c r="A13" s="61" t="s">
        <v>352</v>
      </c>
      <c r="B13" s="62"/>
      <c r="C13" s="54"/>
      <c r="D13" s="54"/>
      <c r="E13" s="63"/>
      <c r="F13" s="64">
        <f>SUM(F5:F12)</f>
        <v>193930.09999999998</v>
      </c>
      <c r="G13" s="64">
        <f>SUM(G5:G12)</f>
        <v>14835.65265</v>
      </c>
      <c r="H13" s="64">
        <f>SUM(H5:H10)</f>
        <v>37222.25</v>
      </c>
      <c r="I13" s="64">
        <f>SUM(I5:I12)</f>
        <v>2664.98596</v>
      </c>
      <c r="J13" s="64">
        <f>SUM(J5:J12)</f>
        <v>11421.368399999999</v>
      </c>
      <c r="K13" s="64">
        <f>SUM(K5:K12)</f>
        <v>8338.9942999999985</v>
      </c>
      <c r="L13" s="64">
        <f>SUM(L5:L10)</f>
        <v>260998.89308999997</v>
      </c>
      <c r="M13" s="304"/>
      <c r="N13" s="228">
        <f>L13+L27</f>
        <v>415680.67851999996</v>
      </c>
    </row>
    <row r="14" spans="1:14" ht="16.5" thickBot="1" x14ac:dyDescent="0.3">
      <c r="A14" s="164" t="s">
        <v>411</v>
      </c>
      <c r="B14" s="165"/>
      <c r="C14" s="54"/>
      <c r="D14" s="54"/>
      <c r="E14" s="63"/>
      <c r="F14" s="166"/>
      <c r="G14" s="166"/>
      <c r="H14" s="166">
        <v>2000</v>
      </c>
      <c r="I14" s="166"/>
      <c r="J14" s="166"/>
      <c r="K14" s="166"/>
      <c r="L14" s="54">
        <f>SUM(F14:K14)</f>
        <v>2000</v>
      </c>
      <c r="M14" s="304"/>
      <c r="N14" s="228">
        <f>L14+L28</f>
        <v>3000</v>
      </c>
    </row>
    <row r="15" spans="1:14" ht="17.25" thickTop="1" thickBot="1" x14ac:dyDescent="0.3">
      <c r="A15" s="52" t="s">
        <v>335</v>
      </c>
      <c r="B15" s="53"/>
      <c r="C15" s="117"/>
      <c r="D15" s="58"/>
      <c r="E15" s="59"/>
      <c r="F15" s="296">
        <f>5*(100*12+100)/2</f>
        <v>3250</v>
      </c>
      <c r="G15" s="54">
        <f>F15*0.0765</f>
        <v>248.625</v>
      </c>
      <c r="H15" s="130">
        <v>0</v>
      </c>
      <c r="I15" s="130">
        <v>0</v>
      </c>
      <c r="J15" s="130">
        <v>0</v>
      </c>
      <c r="K15" s="60">
        <f>F15*0.037</f>
        <v>120.25</v>
      </c>
      <c r="L15" s="54">
        <f>SUM(F15:K15)</f>
        <v>3618.875</v>
      </c>
      <c r="M15" s="307" t="s">
        <v>566</v>
      </c>
      <c r="N15" s="228">
        <f>L15+L29</f>
        <v>7237.75</v>
      </c>
    </row>
    <row r="16" spans="1:14" x14ac:dyDescent="0.25">
      <c r="A16" s="52" t="s">
        <v>336</v>
      </c>
      <c r="B16" s="65"/>
      <c r="C16" s="54"/>
      <c r="D16" s="54"/>
      <c r="E16" s="63"/>
      <c r="F16" s="297">
        <v>3000</v>
      </c>
      <c r="G16" s="54">
        <f>F16*0.0765</f>
        <v>229.5</v>
      </c>
      <c r="H16" s="60"/>
      <c r="I16" s="60"/>
      <c r="J16" s="60"/>
      <c r="K16" s="60">
        <f>F16*0.037</f>
        <v>111</v>
      </c>
      <c r="L16" s="54">
        <f t="shared" si="7"/>
        <v>3340.5</v>
      </c>
      <c r="M16" s="55"/>
      <c r="N16" s="228">
        <f>L16+L30</f>
        <v>5567.5</v>
      </c>
    </row>
    <row r="17" spans="1:14" ht="16.5" thickBot="1" x14ac:dyDescent="0.3">
      <c r="A17" s="52" t="s">
        <v>521</v>
      </c>
      <c r="B17" s="65"/>
      <c r="C17" s="66"/>
      <c r="D17" s="66"/>
      <c r="E17" s="63"/>
      <c r="F17" s="298">
        <v>3600</v>
      </c>
      <c r="G17" s="120">
        <f>F17*0.0765</f>
        <v>275.39999999999998</v>
      </c>
      <c r="H17" s="54"/>
      <c r="I17" s="54"/>
      <c r="J17" s="54"/>
      <c r="K17" s="120">
        <f>F17*0.037</f>
        <v>133.19999999999999</v>
      </c>
      <c r="L17" s="120">
        <f t="shared" si="7"/>
        <v>4008.6</v>
      </c>
      <c r="M17" s="55"/>
      <c r="N17" s="231">
        <f>L17+L31</f>
        <v>8017.2</v>
      </c>
    </row>
    <row r="18" spans="1:14" s="72" customFormat="1" ht="17.25" thickTop="1" thickBot="1" x14ac:dyDescent="0.3">
      <c r="A18" s="67" t="s">
        <v>351</v>
      </c>
      <c r="B18" s="68"/>
      <c r="C18" s="70"/>
      <c r="D18" s="70"/>
      <c r="E18" s="69"/>
      <c r="F18" s="222">
        <f t="shared" ref="F18:L18" si="8">SUM(F13:F17)</f>
        <v>203780.09999999998</v>
      </c>
      <c r="G18" s="70">
        <f t="shared" si="8"/>
        <v>15589.17765</v>
      </c>
      <c r="H18" s="70">
        <f t="shared" si="8"/>
        <v>39222.25</v>
      </c>
      <c r="I18" s="70">
        <f t="shared" si="8"/>
        <v>2664.98596</v>
      </c>
      <c r="J18" s="70">
        <f t="shared" si="8"/>
        <v>11421.368399999999</v>
      </c>
      <c r="K18" s="70">
        <f t="shared" si="8"/>
        <v>8703.4442999999992</v>
      </c>
      <c r="L18" s="70">
        <f t="shared" si="8"/>
        <v>273966.86808999995</v>
      </c>
      <c r="M18" s="71"/>
      <c r="N18" s="232">
        <f>SUM(N13:N17)</f>
        <v>439503.12851999997</v>
      </c>
    </row>
    <row r="19" spans="1:14" s="72" customFormat="1" ht="17.25" thickTop="1" thickBot="1" x14ac:dyDescent="0.3">
      <c r="A19" s="335"/>
      <c r="B19" s="336"/>
      <c r="C19" s="337"/>
      <c r="D19" s="337"/>
      <c r="E19" s="73"/>
      <c r="F19" s="338"/>
      <c r="G19" s="337"/>
      <c r="H19" s="337"/>
      <c r="I19" s="337"/>
      <c r="J19" s="337"/>
      <c r="K19" s="337"/>
      <c r="L19" s="337"/>
      <c r="M19" s="339"/>
      <c r="N19" s="232"/>
    </row>
    <row r="20" spans="1:14" s="334" customFormat="1" ht="48" thickTop="1" x14ac:dyDescent="0.25">
      <c r="A20" s="330" t="s">
        <v>369</v>
      </c>
      <c r="B20" s="331" t="str">
        <f>B3</f>
        <v>Total hrs/wk</v>
      </c>
      <c r="C20" s="331" t="s">
        <v>350</v>
      </c>
      <c r="D20" s="331" t="s">
        <v>365</v>
      </c>
      <c r="E20" s="331" t="s">
        <v>337</v>
      </c>
      <c r="F20" s="332" t="s">
        <v>531</v>
      </c>
      <c r="G20" s="332" t="s">
        <v>344</v>
      </c>
      <c r="H20" s="332" t="s">
        <v>345</v>
      </c>
      <c r="I20" s="332" t="s">
        <v>346</v>
      </c>
      <c r="J20" s="332" t="s">
        <v>347</v>
      </c>
      <c r="K20" s="332" t="s">
        <v>532</v>
      </c>
      <c r="L20" s="332" t="s">
        <v>366</v>
      </c>
      <c r="M20" s="333" t="s">
        <v>367</v>
      </c>
    </row>
    <row r="21" spans="1:14" s="72" customFormat="1" x14ac:dyDescent="0.25">
      <c r="A21" s="52" t="str">
        <f t="shared" ref="A21:D23" si="9">A5</f>
        <v>District Manager (Kenney)</v>
      </c>
      <c r="B21" s="213">
        <f t="shared" si="9"/>
        <v>40</v>
      </c>
      <c r="C21" s="214">
        <f t="shared" si="9"/>
        <v>41.420249999999996</v>
      </c>
      <c r="D21" s="214">
        <f t="shared" si="9"/>
        <v>1656.81</v>
      </c>
      <c r="E21" s="215">
        <f t="shared" ref="E21:E26" si="10">1-E5</f>
        <v>0.25</v>
      </c>
      <c r="F21" s="54">
        <f t="shared" ref="F21:F26" si="11">D21*52*E21</f>
        <v>21538.53</v>
      </c>
      <c r="G21" s="54">
        <f t="shared" ref="G21:G26" si="12">F21*0.0765</f>
        <v>1647.697545</v>
      </c>
      <c r="H21" s="54">
        <f>D37*E21</f>
        <v>4211.75</v>
      </c>
      <c r="I21" s="54">
        <f t="shared" ref="I21:I26" si="13">F21*0.014</f>
        <v>301.53942000000001</v>
      </c>
      <c r="J21" s="54">
        <f t="shared" ref="J21:J26" si="14">F21*0.06</f>
        <v>1292.3117999999999</v>
      </c>
      <c r="K21" s="54">
        <f t="shared" ref="K21:K26" si="15">F21*0.043</f>
        <v>926.15678999999989</v>
      </c>
      <c r="L21" s="54">
        <f t="shared" ref="L21:L31" si="16">SUM(F21:K21)</f>
        <v>29917.985554999999</v>
      </c>
      <c r="M21" s="55">
        <f>M5</f>
        <v>0</v>
      </c>
    </row>
    <row r="22" spans="1:14" s="72" customFormat="1" x14ac:dyDescent="0.25">
      <c r="A22" s="52" t="str">
        <f t="shared" si="9"/>
        <v>Office Mgr (Novak, part-time)</v>
      </c>
      <c r="B22" s="213">
        <f t="shared" si="9"/>
        <v>30</v>
      </c>
      <c r="C22" s="214">
        <f t="shared" si="9"/>
        <v>21.114999999999998</v>
      </c>
      <c r="D22" s="214">
        <f t="shared" si="9"/>
        <v>633.44999999999993</v>
      </c>
      <c r="E22" s="215">
        <f t="shared" si="10"/>
        <v>0.25</v>
      </c>
      <c r="F22" s="54">
        <f t="shared" si="11"/>
        <v>8234.8499999999985</v>
      </c>
      <c r="G22" s="54">
        <f>F22*0.0765</f>
        <v>629.96602499999983</v>
      </c>
      <c r="H22" s="54">
        <f>IF(B22&gt;=40,D38*E22,0)</f>
        <v>0</v>
      </c>
      <c r="I22" s="54">
        <f>F22*0.014</f>
        <v>115.28789999999998</v>
      </c>
      <c r="J22" s="54">
        <f>F22*0.06</f>
        <v>494.09099999999989</v>
      </c>
      <c r="K22" s="54">
        <f t="shared" si="15"/>
        <v>354.09854999999993</v>
      </c>
      <c r="L22" s="54">
        <f>SUM(F22:K22)</f>
        <v>9828.2934749999986</v>
      </c>
      <c r="M22" s="55">
        <f>M6</f>
        <v>0</v>
      </c>
    </row>
    <row r="23" spans="1:14" s="72" customFormat="1" x14ac:dyDescent="0.25">
      <c r="A23" s="52" t="str">
        <f t="shared" si="9"/>
        <v>Water Sys Op (Conray)</v>
      </c>
      <c r="B23" s="213">
        <f t="shared" si="9"/>
        <v>40</v>
      </c>
      <c r="C23" s="214">
        <f t="shared" si="9"/>
        <v>19.36</v>
      </c>
      <c r="D23" s="214">
        <f t="shared" si="9"/>
        <v>774.4</v>
      </c>
      <c r="E23" s="215">
        <f t="shared" si="10"/>
        <v>0</v>
      </c>
      <c r="F23" s="54">
        <f t="shared" ref="F23" si="17">D23*52*E23</f>
        <v>0</v>
      </c>
      <c r="G23" s="54">
        <f t="shared" ref="G23" si="18">F23*0.0765</f>
        <v>0</v>
      </c>
      <c r="H23" s="54">
        <f>IF(B23&gt;=40,D39*E23,0)</f>
        <v>0</v>
      </c>
      <c r="I23" s="54">
        <f t="shared" ref="I23" si="19">F23*0.014</f>
        <v>0</v>
      </c>
      <c r="J23" s="54">
        <f t="shared" ref="J23" si="20">F23*0.06</f>
        <v>0</v>
      </c>
      <c r="K23" s="54">
        <f t="shared" si="15"/>
        <v>0</v>
      </c>
      <c r="L23" s="54">
        <f t="shared" ref="L23" si="21">SUM(F23:K23)</f>
        <v>0</v>
      </c>
      <c r="M23" s="55">
        <f>M7</f>
        <v>0</v>
      </c>
    </row>
    <row r="24" spans="1:14" s="72" customFormat="1" ht="47.25" x14ac:dyDescent="0.25">
      <c r="A24" s="52" t="str">
        <f t="shared" ref="A24:B26" si="22">A8</f>
        <v>Field Tech (Schoff)</v>
      </c>
      <c r="B24" s="213">
        <f t="shared" si="22"/>
        <v>40</v>
      </c>
      <c r="C24" s="214">
        <v>18</v>
      </c>
      <c r="D24" s="214">
        <f>D8</f>
        <v>740</v>
      </c>
      <c r="E24" s="215">
        <f t="shared" si="10"/>
        <v>0.25</v>
      </c>
      <c r="F24" s="54">
        <f t="shared" si="11"/>
        <v>9620</v>
      </c>
      <c r="G24" s="54">
        <f t="shared" si="12"/>
        <v>735.93</v>
      </c>
      <c r="H24" s="54">
        <f>IF(B24&gt;=40,D40*E24,0)</f>
        <v>0</v>
      </c>
      <c r="I24" s="54">
        <f t="shared" si="13"/>
        <v>134.68</v>
      </c>
      <c r="J24" s="54">
        <f t="shared" si="14"/>
        <v>577.19999999999993</v>
      </c>
      <c r="K24" s="54">
        <f t="shared" si="15"/>
        <v>413.65999999999997</v>
      </c>
      <c r="L24" s="54">
        <f t="shared" si="16"/>
        <v>11481.470000000001</v>
      </c>
      <c r="M24" s="310" t="s">
        <v>537</v>
      </c>
    </row>
    <row r="25" spans="1:14" s="72" customFormat="1" x14ac:dyDescent="0.25">
      <c r="A25" s="52" t="str">
        <f t="shared" si="22"/>
        <v>Wastewater Sys Op (Farley)</v>
      </c>
      <c r="B25" s="213">
        <f t="shared" si="22"/>
        <v>40</v>
      </c>
      <c r="C25" s="214">
        <f>C9</f>
        <v>26.65</v>
      </c>
      <c r="D25" s="214">
        <f>D9</f>
        <v>1066</v>
      </c>
      <c r="E25" s="215">
        <f t="shared" si="10"/>
        <v>1</v>
      </c>
      <c r="F25" s="54">
        <f t="shared" si="11"/>
        <v>55432</v>
      </c>
      <c r="G25" s="54">
        <f t="shared" si="12"/>
        <v>4240.5479999999998</v>
      </c>
      <c r="H25" s="54">
        <f>D41*E25</f>
        <v>23160</v>
      </c>
      <c r="I25" s="54">
        <f t="shared" si="13"/>
        <v>776.048</v>
      </c>
      <c r="J25" s="54">
        <f t="shared" si="14"/>
        <v>3325.92</v>
      </c>
      <c r="K25" s="54">
        <f t="shared" si="15"/>
        <v>2383.576</v>
      </c>
      <c r="L25" s="54">
        <f t="shared" si="16"/>
        <v>89318.092000000004</v>
      </c>
      <c r="M25" s="55">
        <f>M9</f>
        <v>0</v>
      </c>
    </row>
    <row r="26" spans="1:14" s="72" customFormat="1" x14ac:dyDescent="0.25">
      <c r="A26" s="52" t="str">
        <f t="shared" si="22"/>
        <v>Field Tech (Davis)</v>
      </c>
      <c r="B26" s="213">
        <f t="shared" si="22"/>
        <v>40</v>
      </c>
      <c r="C26" s="214">
        <v>18.25</v>
      </c>
      <c r="D26" s="214">
        <f>D10</f>
        <v>744.80000000000007</v>
      </c>
      <c r="E26" s="215">
        <f t="shared" si="10"/>
        <v>0.25</v>
      </c>
      <c r="F26" s="54">
        <f t="shared" si="11"/>
        <v>9682.4000000000015</v>
      </c>
      <c r="G26" s="54">
        <f t="shared" si="12"/>
        <v>740.70360000000005</v>
      </c>
      <c r="H26" s="54">
        <f>D43*E26</f>
        <v>2580</v>
      </c>
      <c r="I26" s="54">
        <f t="shared" si="13"/>
        <v>135.55360000000002</v>
      </c>
      <c r="J26" s="54">
        <f t="shared" si="14"/>
        <v>580.94400000000007</v>
      </c>
      <c r="K26" s="54">
        <f t="shared" si="15"/>
        <v>416.34320000000002</v>
      </c>
      <c r="L26" s="54">
        <f t="shared" si="16"/>
        <v>14135.9444</v>
      </c>
      <c r="M26" s="136" t="s">
        <v>536</v>
      </c>
    </row>
    <row r="27" spans="1:14" s="72" customFormat="1" x14ac:dyDescent="0.25">
      <c r="A27" s="61" t="s">
        <v>355</v>
      </c>
      <c r="B27" s="216"/>
      <c r="C27" s="217"/>
      <c r="D27" s="218">
        <f>D13</f>
        <v>0</v>
      </c>
      <c r="E27" s="218"/>
      <c r="F27" s="64">
        <f t="shared" ref="F27:K27" si="23">SUM(F21:F26)</f>
        <v>104507.78</v>
      </c>
      <c r="G27" s="64">
        <f t="shared" si="23"/>
        <v>7994.8451699999996</v>
      </c>
      <c r="H27" s="64">
        <f t="shared" si="23"/>
        <v>29951.75</v>
      </c>
      <c r="I27" s="64">
        <f t="shared" si="23"/>
        <v>1463.1089199999999</v>
      </c>
      <c r="J27" s="64">
        <f t="shared" si="23"/>
        <v>6270.4668000000001</v>
      </c>
      <c r="K27" s="64">
        <f t="shared" si="23"/>
        <v>4493.8345399999998</v>
      </c>
      <c r="L27" s="64">
        <f t="shared" si="16"/>
        <v>154681.78543000002</v>
      </c>
      <c r="M27" s="133">
        <f>M13</f>
        <v>0</v>
      </c>
    </row>
    <row r="28" spans="1:14" s="72" customFormat="1" ht="16.5" thickBot="1" x14ac:dyDescent="0.3">
      <c r="A28" s="164" t="s">
        <v>411</v>
      </c>
      <c r="B28" s="219"/>
      <c r="C28" s="218"/>
      <c r="D28" s="218"/>
      <c r="E28" s="217"/>
      <c r="F28" s="166"/>
      <c r="G28" s="166"/>
      <c r="H28" s="166">
        <v>1000</v>
      </c>
      <c r="I28" s="166"/>
      <c r="J28" s="166"/>
      <c r="K28" s="64"/>
      <c r="L28" s="54">
        <f>SUM(F28:K28)</f>
        <v>1000</v>
      </c>
      <c r="M28" s="133"/>
    </row>
    <row r="29" spans="1:14" s="72" customFormat="1" ht="16.5" thickTop="1" x14ac:dyDescent="0.25">
      <c r="A29" s="52" t="str">
        <f>A15</f>
        <v>Trustees</v>
      </c>
      <c r="B29" s="213"/>
      <c r="C29" s="214"/>
      <c r="D29" s="214"/>
      <c r="E29" s="214"/>
      <c r="F29" s="296">
        <f>5*(100*12+100)/2</f>
        <v>3250</v>
      </c>
      <c r="G29" s="54">
        <f>F29*0.0765</f>
        <v>248.625</v>
      </c>
      <c r="H29" s="130">
        <v>0</v>
      </c>
      <c r="I29" s="130">
        <v>0</v>
      </c>
      <c r="J29" s="130">
        <v>0</v>
      </c>
      <c r="K29" s="60">
        <f>F29*0.037</f>
        <v>120.25</v>
      </c>
      <c r="L29" s="54">
        <f>SUM(F29:K29)</f>
        <v>3618.875</v>
      </c>
      <c r="M29" s="57" t="str">
        <f>M15</f>
        <v>5 members, 12 mtg/year</v>
      </c>
    </row>
    <row r="30" spans="1:14" s="72" customFormat="1" x14ac:dyDescent="0.25">
      <c r="A30" s="52" t="str">
        <f>A16</f>
        <v>Overtime</v>
      </c>
      <c r="B30" s="213"/>
      <c r="C30" s="217"/>
      <c r="D30" s="218">
        <f>D16</f>
        <v>0</v>
      </c>
      <c r="E30" s="218"/>
      <c r="F30" s="297">
        <v>2000</v>
      </c>
      <c r="G30" s="54">
        <f>F30*0.0765</f>
        <v>153</v>
      </c>
      <c r="H30" s="60"/>
      <c r="I30" s="60"/>
      <c r="J30" s="60"/>
      <c r="K30" s="60">
        <f>F30*0.037</f>
        <v>74</v>
      </c>
      <c r="L30" s="54">
        <f t="shared" si="16"/>
        <v>2227</v>
      </c>
      <c r="M30" s="134">
        <f>M16</f>
        <v>0</v>
      </c>
    </row>
    <row r="31" spans="1:14" s="72" customFormat="1" ht="16.5" thickBot="1" x14ac:dyDescent="0.3">
      <c r="A31" s="52" t="str">
        <f>A17</f>
        <v>On-call Stipend</v>
      </c>
      <c r="B31" s="213"/>
      <c r="C31" s="217"/>
      <c r="D31" s="217">
        <f>D17</f>
        <v>0</v>
      </c>
      <c r="E31" s="217"/>
      <c r="F31" s="299">
        <v>3600</v>
      </c>
      <c r="G31" s="120">
        <f>F31*0.0765</f>
        <v>275.39999999999998</v>
      </c>
      <c r="H31" s="54"/>
      <c r="I31" s="54"/>
      <c r="J31" s="54"/>
      <c r="K31" s="120">
        <f>F31*0.037</f>
        <v>133.19999999999999</v>
      </c>
      <c r="L31" s="54">
        <f t="shared" si="16"/>
        <v>4008.6</v>
      </c>
      <c r="M31" s="134">
        <f>M17</f>
        <v>0</v>
      </c>
    </row>
    <row r="32" spans="1:14" s="72" customFormat="1" ht="17.25" thickTop="1" thickBot="1" x14ac:dyDescent="0.3">
      <c r="A32" s="67" t="s">
        <v>348</v>
      </c>
      <c r="B32" s="220"/>
      <c r="C32" s="221"/>
      <c r="D32" s="221">
        <f>D18</f>
        <v>0</v>
      </c>
      <c r="E32" s="221"/>
      <c r="F32" s="69">
        <f t="shared" ref="F32:K32" si="24">SUM(F27:F31)</f>
        <v>113357.78</v>
      </c>
      <c r="G32" s="70">
        <f t="shared" si="24"/>
        <v>8671.8701700000001</v>
      </c>
      <c r="H32" s="70">
        <f t="shared" si="24"/>
        <v>30951.75</v>
      </c>
      <c r="I32" s="70">
        <f t="shared" si="24"/>
        <v>1463.1089199999999</v>
      </c>
      <c r="J32" s="70">
        <f t="shared" si="24"/>
        <v>6270.4668000000001</v>
      </c>
      <c r="K32" s="70">
        <f t="shared" si="24"/>
        <v>4821.2845399999997</v>
      </c>
      <c r="L32" s="70">
        <f>SUM(F32:K32)</f>
        <v>165536.26042999997</v>
      </c>
      <c r="M32" s="135">
        <f>M18</f>
        <v>0</v>
      </c>
    </row>
    <row r="33" spans="1:13" s="72" customFormat="1" ht="17.25" thickTop="1" thickBot="1" x14ac:dyDescent="0.3">
      <c r="A33" s="225" t="s">
        <v>470</v>
      </c>
      <c r="B33" s="225"/>
      <c r="C33" s="226"/>
      <c r="D33" s="226"/>
      <c r="E33" s="226"/>
      <c r="F33" s="227">
        <f t="shared" ref="F33:L33" si="25">F32+F18</f>
        <v>317137.88</v>
      </c>
      <c r="G33" s="227">
        <f t="shared" si="25"/>
        <v>24261.04782</v>
      </c>
      <c r="H33" s="227">
        <f t="shared" si="25"/>
        <v>70174</v>
      </c>
      <c r="I33" s="227">
        <f t="shared" si="25"/>
        <v>4128.0948799999996</v>
      </c>
      <c r="J33" s="227">
        <f t="shared" si="25"/>
        <v>17691.835200000001</v>
      </c>
      <c r="K33" s="227">
        <f t="shared" si="25"/>
        <v>13524.72884</v>
      </c>
      <c r="L33" s="227">
        <f t="shared" si="25"/>
        <v>439503.12851999991</v>
      </c>
    </row>
    <row r="34" spans="1:13" ht="17.25" thickTop="1" thickBot="1" x14ac:dyDescent="0.3">
      <c r="A34" s="153" t="s">
        <v>386</v>
      </c>
      <c r="B34" s="76"/>
      <c r="C34" s="76"/>
      <c r="D34" s="76"/>
      <c r="E34" s="76"/>
      <c r="F34" s="76"/>
      <c r="G34" s="76"/>
      <c r="H34" s="77"/>
      <c r="I34" s="77"/>
      <c r="J34" s="77"/>
      <c r="K34" s="77"/>
      <c r="L34" s="77"/>
      <c r="M34" s="78"/>
    </row>
    <row r="35" spans="1:13" ht="17.25" thickTop="1" thickBot="1" x14ac:dyDescent="0.3">
      <c r="A35" s="79"/>
      <c r="B35" s="80" t="s">
        <v>516</v>
      </c>
      <c r="C35" s="212">
        <v>7.0000000000000007E-2</v>
      </c>
      <c r="D35" s="81"/>
      <c r="E35" s="81"/>
      <c r="F35" s="152"/>
      <c r="G35" s="81"/>
      <c r="H35" s="65"/>
      <c r="I35" s="65"/>
      <c r="J35" s="65"/>
      <c r="K35" s="65"/>
      <c r="L35" s="65"/>
      <c r="M35" s="57"/>
    </row>
    <row r="36" spans="1:13" s="87" customFormat="1" ht="45.95" customHeight="1" thickTop="1" x14ac:dyDescent="0.25">
      <c r="A36" s="82"/>
      <c r="B36" s="363" t="s">
        <v>518</v>
      </c>
      <c r="C36" s="364"/>
      <c r="D36" s="364"/>
      <c r="E36" s="83"/>
      <c r="F36" s="140"/>
      <c r="G36" s="141"/>
      <c r="H36" s="141"/>
      <c r="I36" s="142"/>
      <c r="J36" s="138"/>
      <c r="K36" s="84"/>
      <c r="L36" s="85"/>
      <c r="M36" s="86"/>
    </row>
    <row r="37" spans="1:13" x14ac:dyDescent="0.25">
      <c r="A37" s="52" t="str">
        <f>A5</f>
        <v>District Manager (Kenney)</v>
      </c>
      <c r="B37" s="53"/>
      <c r="C37" s="88"/>
      <c r="D37" s="317">
        <v>16847</v>
      </c>
      <c r="E37" s="318" t="s">
        <v>574</v>
      </c>
      <c r="F37" s="319"/>
      <c r="G37" s="319"/>
      <c r="H37" s="319"/>
      <c r="I37" s="320"/>
      <c r="J37" s="139"/>
      <c r="K37" s="89"/>
      <c r="L37" s="90"/>
      <c r="M37" s="91"/>
    </row>
    <row r="38" spans="1:13" ht="31.5" x14ac:dyDescent="0.25">
      <c r="A38" s="82" t="str">
        <f>A6</f>
        <v>Office Mgr (Novak, part-time)</v>
      </c>
      <c r="B38" s="92"/>
      <c r="C38" s="88"/>
      <c r="D38" s="317">
        <v>0</v>
      </c>
      <c r="E38" s="318"/>
      <c r="F38" s="319"/>
      <c r="G38" s="319"/>
      <c r="H38" s="319"/>
      <c r="I38" s="320"/>
      <c r="J38" s="139"/>
      <c r="K38" s="89"/>
      <c r="L38" s="90"/>
      <c r="M38" s="91"/>
    </row>
    <row r="39" spans="1:13" x14ac:dyDescent="0.25">
      <c r="A39" s="52" t="str">
        <f>A7</f>
        <v>Water Sys Op (Conray)</v>
      </c>
      <c r="B39" s="92"/>
      <c r="C39" s="88"/>
      <c r="D39" s="317">
        <v>16847</v>
      </c>
      <c r="E39" s="318" t="s">
        <v>574</v>
      </c>
      <c r="F39" s="319"/>
      <c r="G39" s="319"/>
      <c r="H39" s="319"/>
      <c r="I39" s="320"/>
      <c r="J39" s="139"/>
      <c r="K39" s="89"/>
      <c r="L39" s="90"/>
      <c r="M39" s="91"/>
    </row>
    <row r="40" spans="1:13" x14ac:dyDescent="0.25">
      <c r="A40" s="52" t="str">
        <f>A8</f>
        <v>Field Tech (Schoff)</v>
      </c>
      <c r="B40" s="53"/>
      <c r="C40" s="88"/>
      <c r="D40" s="317">
        <v>0</v>
      </c>
      <c r="E40" s="318"/>
      <c r="F40" s="319"/>
      <c r="G40" s="319"/>
      <c r="H40" s="319"/>
      <c r="I40" s="320"/>
      <c r="J40" s="139"/>
      <c r="K40" s="89"/>
      <c r="L40" s="90"/>
      <c r="M40" s="91"/>
    </row>
    <row r="41" spans="1:13" x14ac:dyDescent="0.25">
      <c r="A41" s="52" t="str">
        <f>A9</f>
        <v>Wastewater Sys Op (Farley)</v>
      </c>
      <c r="B41" s="53"/>
      <c r="C41" s="88"/>
      <c r="D41" s="317">
        <v>23160</v>
      </c>
      <c r="E41" s="318" t="s">
        <v>576</v>
      </c>
      <c r="F41" s="319"/>
      <c r="G41" s="319"/>
      <c r="H41" s="319"/>
      <c r="I41" s="320"/>
      <c r="J41" s="139"/>
      <c r="K41" s="89"/>
      <c r="L41" s="90"/>
      <c r="M41" s="91"/>
    </row>
    <row r="42" spans="1:13" x14ac:dyDescent="0.25">
      <c r="A42" s="82"/>
      <c r="B42" s="92"/>
      <c r="C42" s="88"/>
      <c r="D42" s="317">
        <v>0</v>
      </c>
      <c r="E42" s="318"/>
      <c r="F42" s="319"/>
      <c r="G42" s="319"/>
      <c r="H42" s="319"/>
      <c r="I42" s="320"/>
      <c r="J42" s="139"/>
      <c r="K42" s="89"/>
      <c r="L42" s="90"/>
      <c r="M42" s="91"/>
    </row>
    <row r="43" spans="1:13" x14ac:dyDescent="0.25">
      <c r="A43" s="52" t="str">
        <f>A10</f>
        <v>Field Tech (Davis)</v>
      </c>
      <c r="B43" s="92"/>
      <c r="C43" s="88"/>
      <c r="D43" s="317">
        <v>10320</v>
      </c>
      <c r="E43" s="318" t="s">
        <v>575</v>
      </c>
      <c r="F43" s="319"/>
      <c r="G43" s="319"/>
      <c r="H43" s="319"/>
      <c r="I43" s="320"/>
      <c r="J43" s="139"/>
      <c r="K43" s="89"/>
      <c r="L43" s="90"/>
      <c r="M43" s="91"/>
    </row>
    <row r="44" spans="1:13" ht="16.5" thickBot="1" x14ac:dyDescent="0.3">
      <c r="A44" s="93"/>
      <c r="B44" s="94"/>
      <c r="C44" s="95"/>
      <c r="D44" s="137">
        <f>I44*(1+C$35)</f>
        <v>0</v>
      </c>
      <c r="E44" s="96"/>
      <c r="F44" s="97"/>
      <c r="G44" s="97"/>
      <c r="H44" s="97"/>
      <c r="I44" s="143"/>
      <c r="J44" s="143"/>
      <c r="K44" s="98"/>
      <c r="L44" s="99"/>
      <c r="M44" s="100"/>
    </row>
    <row r="45" spans="1:13" ht="17.25" thickTop="1" thickBot="1" x14ac:dyDescent="0.3">
      <c r="A45" s="109"/>
      <c r="B45" s="110"/>
      <c r="C45" s="110"/>
      <c r="D45" s="110"/>
      <c r="E45" s="110"/>
      <c r="F45" s="110"/>
      <c r="G45" s="110"/>
      <c r="H45" s="110"/>
      <c r="I45" s="110"/>
      <c r="J45" s="111"/>
      <c r="K45" s="112"/>
      <c r="L45" s="113"/>
    </row>
    <row r="46" spans="1:13" ht="17.25" thickTop="1" thickBot="1" x14ac:dyDescent="0.3">
      <c r="A46" s="200" t="s">
        <v>371</v>
      </c>
      <c r="B46" s="77"/>
      <c r="C46" s="77"/>
      <c r="D46" s="77"/>
      <c r="E46" s="77"/>
      <c r="F46" s="101"/>
      <c r="G46" s="101"/>
      <c r="H46" s="101"/>
      <c r="I46" s="101"/>
      <c r="J46" s="101"/>
      <c r="K46" s="102"/>
      <c r="L46" s="103"/>
      <c r="M46" s="78"/>
    </row>
    <row r="47" spans="1:13" ht="36.6" customHeight="1" x14ac:dyDescent="0.25">
      <c r="A47" s="52" t="s">
        <v>338</v>
      </c>
      <c r="B47" s="371" t="s">
        <v>517</v>
      </c>
      <c r="C47" s="372"/>
      <c r="D47" s="372"/>
      <c r="E47" s="373"/>
      <c r="F47" s="187"/>
      <c r="G47" s="368" t="s">
        <v>405</v>
      </c>
      <c r="H47" s="369"/>
      <c r="I47" s="369"/>
      <c r="J47" s="370"/>
      <c r="K47" s="104"/>
      <c r="L47" s="105"/>
      <c r="M47" s="57"/>
    </row>
    <row r="48" spans="1:13" ht="48" thickBot="1" x14ac:dyDescent="0.3">
      <c r="A48" s="82"/>
      <c r="B48" s="201" t="s">
        <v>372</v>
      </c>
      <c r="C48" s="202" t="s">
        <v>373</v>
      </c>
      <c r="D48" s="202" t="s">
        <v>453</v>
      </c>
      <c r="E48" s="203" t="s">
        <v>374</v>
      </c>
      <c r="F48" s="106"/>
      <c r="G48" s="188" t="s">
        <v>372</v>
      </c>
      <c r="H48" s="189" t="s">
        <v>373</v>
      </c>
      <c r="I48" s="190" t="s">
        <v>452</v>
      </c>
      <c r="J48" s="191" t="s">
        <v>374</v>
      </c>
      <c r="K48" s="365" t="s">
        <v>404</v>
      </c>
      <c r="L48" s="366"/>
      <c r="M48" s="367"/>
    </row>
    <row r="49" spans="1:13" ht="16.5" thickTop="1" x14ac:dyDescent="0.25">
      <c r="A49" s="52" t="s">
        <v>339</v>
      </c>
      <c r="B49" s="204">
        <v>0</v>
      </c>
      <c r="C49" s="206">
        <f>D49</f>
        <v>860.3977000000001</v>
      </c>
      <c r="D49" s="300">
        <f>804.11*(1+$C$35)</f>
        <v>860.3977000000001</v>
      </c>
      <c r="E49" s="208">
        <f>C49*12</f>
        <v>10324.772400000002</v>
      </c>
      <c r="F49" s="107"/>
      <c r="G49" s="192">
        <v>0</v>
      </c>
      <c r="H49" s="193">
        <f>I49</f>
        <v>758.59</v>
      </c>
      <c r="I49" s="198">
        <v>758.59</v>
      </c>
      <c r="J49" s="194">
        <f>H49*12</f>
        <v>9103.08</v>
      </c>
      <c r="K49" s="146" t="s">
        <v>378</v>
      </c>
      <c r="L49" s="147" t="s">
        <v>379</v>
      </c>
      <c r="M49" s="148" t="s">
        <v>382</v>
      </c>
    </row>
    <row r="50" spans="1:13" x14ac:dyDescent="0.25">
      <c r="A50" s="52" t="s">
        <v>454</v>
      </c>
      <c r="B50" s="204"/>
      <c r="C50" s="206">
        <f>D$49+0.5*(D50-D$49)</f>
        <v>1132.16165</v>
      </c>
      <c r="D50" s="301">
        <f>1312.08*(1+$C$35)</f>
        <v>1403.9256</v>
      </c>
      <c r="E50" s="208">
        <f t="shared" ref="E50:E52" si="26">C50*12</f>
        <v>13585.9398</v>
      </c>
      <c r="F50" s="107"/>
      <c r="G50" s="192">
        <f>I50-H50</f>
        <v>239.6099999999999</v>
      </c>
      <c r="H50" s="193">
        <f>I$49+0.5*(I50-I$49)</f>
        <v>998.2</v>
      </c>
      <c r="I50" s="198">
        <v>1237.81</v>
      </c>
      <c r="J50" s="194">
        <f>H50*12</f>
        <v>11978.400000000001</v>
      </c>
      <c r="K50" s="145" t="s">
        <v>375</v>
      </c>
      <c r="L50" s="147" t="s">
        <v>380</v>
      </c>
      <c r="M50" s="148" t="s">
        <v>383</v>
      </c>
    </row>
    <row r="51" spans="1:13" x14ac:dyDescent="0.25">
      <c r="A51" s="52" t="s">
        <v>455</v>
      </c>
      <c r="B51" s="204"/>
      <c r="C51" s="206">
        <f>D$49+0.5*(D51-D$49)</f>
        <v>1395.1997500000002</v>
      </c>
      <c r="D51" s="301">
        <f>1803.74*(1+$C$35)</f>
        <v>1930.0018000000002</v>
      </c>
      <c r="E51" s="208">
        <f t="shared" si="26"/>
        <v>16742.397000000004</v>
      </c>
      <c r="F51" s="107"/>
      <c r="G51" s="192">
        <f>I51-H51</f>
        <v>471.52500000000009</v>
      </c>
      <c r="H51" s="193">
        <f>I$49+0.5*(I51-I$49)</f>
        <v>1230.115</v>
      </c>
      <c r="I51" s="198">
        <v>1701.64</v>
      </c>
      <c r="J51" s="194">
        <f>H51*12</f>
        <v>14761.380000000001</v>
      </c>
      <c r="K51" s="145" t="s">
        <v>381</v>
      </c>
      <c r="L51" s="147" t="s">
        <v>377</v>
      </c>
      <c r="M51" s="148" t="s">
        <v>384</v>
      </c>
    </row>
    <row r="52" spans="1:13" ht="16.5" thickBot="1" x14ac:dyDescent="0.3">
      <c r="A52" s="93" t="s">
        <v>580</v>
      </c>
      <c r="B52" s="205"/>
      <c r="C52" s="207">
        <f>D$49+0.5*(D52-D$49)</f>
        <v>1395.1997500000002</v>
      </c>
      <c r="D52" s="302">
        <f>1803.74*(1+$C$35)</f>
        <v>1930.0018000000002</v>
      </c>
      <c r="E52" s="209">
        <f t="shared" si="26"/>
        <v>16742.397000000004</v>
      </c>
      <c r="F52" s="108"/>
      <c r="G52" s="195">
        <f>I52-H52</f>
        <v>471.52500000000009</v>
      </c>
      <c r="H52" s="196">
        <f>I$49+0.5*(I52-I$49)</f>
        <v>1230.115</v>
      </c>
      <c r="I52" s="199">
        <v>1701.64</v>
      </c>
      <c r="J52" s="197">
        <f>H52*12</f>
        <v>14761.380000000001</v>
      </c>
      <c r="K52" s="149" t="s">
        <v>376</v>
      </c>
      <c r="L52" s="150" t="s">
        <v>377</v>
      </c>
      <c r="M52" s="151" t="s">
        <v>384</v>
      </c>
    </row>
    <row r="53" spans="1:13" ht="16.5" thickTop="1" x14ac:dyDescent="0.25">
      <c r="B53" s="114"/>
      <c r="C53" s="114"/>
      <c r="D53" s="114"/>
      <c r="E53" s="114"/>
      <c r="F53" s="114"/>
      <c r="G53" s="114"/>
    </row>
    <row r="54" spans="1:13" x14ac:dyDescent="0.25">
      <c r="A54" s="321" t="s">
        <v>471</v>
      </c>
      <c r="H54" s="229" t="s">
        <v>472</v>
      </c>
      <c r="J54" s="56"/>
    </row>
    <row r="55" spans="1:13" x14ac:dyDescent="0.25">
      <c r="A55" s="44" t="s">
        <v>474</v>
      </c>
      <c r="H55" s="228"/>
      <c r="J55" s="56"/>
    </row>
    <row r="56" spans="1:13" x14ac:dyDescent="0.25">
      <c r="A56" s="44" t="s">
        <v>473</v>
      </c>
      <c r="H56" s="228"/>
      <c r="J56" s="56"/>
    </row>
    <row r="57" spans="1:13" x14ac:dyDescent="0.25">
      <c r="H57" s="228"/>
      <c r="J57" s="56"/>
    </row>
    <row r="58" spans="1:13" x14ac:dyDescent="0.25">
      <c r="H58" s="228"/>
      <c r="J58" s="56"/>
    </row>
    <row r="59" spans="1:13" x14ac:dyDescent="0.25">
      <c r="H59" s="228"/>
      <c r="J59" s="56"/>
    </row>
    <row r="60" spans="1:13" x14ac:dyDescent="0.25">
      <c r="H60" s="228"/>
      <c r="J60" s="56"/>
    </row>
    <row r="61" spans="1:13" x14ac:dyDescent="0.25">
      <c r="H61" s="228"/>
      <c r="J61" s="56"/>
    </row>
    <row r="62" spans="1:13" x14ac:dyDescent="0.25">
      <c r="G62" s="56"/>
      <c r="I62" s="56"/>
    </row>
    <row r="63" spans="1:13" x14ac:dyDescent="0.25">
      <c r="G63" s="56"/>
      <c r="I63" s="56"/>
    </row>
    <row r="64" spans="1:13" x14ac:dyDescent="0.25">
      <c r="G64" s="56"/>
      <c r="I64" s="56"/>
    </row>
    <row r="65" spans="1:9" x14ac:dyDescent="0.25">
      <c r="G65" s="56"/>
      <c r="I65" s="56"/>
    </row>
    <row r="66" spans="1:9" x14ac:dyDescent="0.25">
      <c r="G66" s="56"/>
      <c r="I66" s="56"/>
    </row>
    <row r="67" spans="1:9" x14ac:dyDescent="0.25">
      <c r="G67" s="56"/>
      <c r="I67" s="56"/>
    </row>
    <row r="68" spans="1:9" x14ac:dyDescent="0.25">
      <c r="G68" s="56"/>
      <c r="I68" s="56"/>
    </row>
    <row r="69" spans="1:9" x14ac:dyDescent="0.25">
      <c r="A69" s="45"/>
      <c r="B69" s="45"/>
      <c r="G69" s="56"/>
    </row>
    <row r="70" spans="1:9" s="115" customFormat="1" x14ac:dyDescent="0.25"/>
    <row r="71" spans="1:9" x14ac:dyDescent="0.25">
      <c r="G71" s="56"/>
      <c r="H71" s="116"/>
      <c r="I71" s="56"/>
    </row>
    <row r="72" spans="1:9" x14ac:dyDescent="0.25">
      <c r="G72" s="56"/>
      <c r="H72" s="116"/>
      <c r="I72" s="56"/>
    </row>
    <row r="73" spans="1:9" x14ac:dyDescent="0.25">
      <c r="G73" s="56"/>
      <c r="H73" s="116"/>
      <c r="I73" s="56"/>
    </row>
    <row r="74" spans="1:9" x14ac:dyDescent="0.25">
      <c r="G74" s="56"/>
      <c r="H74" s="116"/>
      <c r="I74" s="56"/>
    </row>
    <row r="75" spans="1:9" x14ac:dyDescent="0.25">
      <c r="G75" s="56"/>
      <c r="H75" s="116"/>
      <c r="I75" s="56"/>
    </row>
    <row r="76" spans="1:9" x14ac:dyDescent="0.25">
      <c r="G76" s="56"/>
      <c r="I76" s="56"/>
    </row>
    <row r="77" spans="1:9" x14ac:dyDescent="0.25">
      <c r="G77" s="56"/>
      <c r="I77" s="56"/>
    </row>
    <row r="78" spans="1:9" x14ac:dyDescent="0.25">
      <c r="G78" s="56"/>
      <c r="I78" s="56"/>
    </row>
    <row r="79" spans="1:9" x14ac:dyDescent="0.25">
      <c r="G79" s="56"/>
      <c r="I79" s="56"/>
    </row>
    <row r="80" spans="1:9" x14ac:dyDescent="0.25">
      <c r="G80" s="56"/>
      <c r="I80" s="56"/>
    </row>
    <row r="81" spans="7:7" x14ac:dyDescent="0.25">
      <c r="G81" s="56"/>
    </row>
    <row r="82" spans="7:7" x14ac:dyDescent="0.25">
      <c r="G82" s="56"/>
    </row>
    <row r="83" spans="7:7" x14ac:dyDescent="0.25">
      <c r="G83" s="56"/>
    </row>
  </sheetData>
  <mergeCells count="5">
    <mergeCell ref="A1:L1"/>
    <mergeCell ref="B36:D36"/>
    <mergeCell ref="K48:M48"/>
    <mergeCell ref="G47:J47"/>
    <mergeCell ref="B47:E47"/>
  </mergeCells>
  <printOptions horizontalCentered="1" gridLines="1"/>
  <pageMargins left="0.5" right="0.5" top="1" bottom="0.5" header="0" footer="0"/>
  <pageSetup scale="72" fitToHeight="2" orientation="landscape" r:id="rId1"/>
  <headerFooter alignWithMargins="0"/>
  <rowBreaks count="1" manualBreakCount="1">
    <brk id="33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M201"/>
  <sheetViews>
    <sheetView zoomScaleNormal="100" workbookViewId="0">
      <pane xSplit="6" ySplit="1" topLeftCell="G2" activePane="bottomRight" state="frozenSplit"/>
      <selection pane="topRight" activeCell="H1" sqref="H1"/>
      <selection pane="bottomLeft" activeCell="A3" sqref="A3"/>
      <selection pane="bottomRight" activeCell="L198" sqref="L198"/>
    </sheetView>
  </sheetViews>
  <sheetFormatPr defaultColWidth="8.7109375" defaultRowHeight="15" x14ac:dyDescent="0.25"/>
  <cols>
    <col min="1" max="5" width="2.85546875" style="6" customWidth="1"/>
    <col min="6" max="6" width="28.5703125" style="6" customWidth="1"/>
    <col min="7" max="7" width="9.28515625" style="15" customWidth="1"/>
    <col min="8" max="8" width="9.28515625" style="21" hidden="1" customWidth="1"/>
    <col min="9" max="9" width="9.28515625" style="327" bestFit="1" customWidth="1"/>
    <col min="10" max="10" width="9.28515625" style="15" customWidth="1"/>
    <col min="11" max="11" width="8.85546875" style="15" customWidth="1"/>
    <col min="12" max="12" width="28.5703125" style="17" customWidth="1"/>
    <col min="13" max="13" width="26.5703125" style="17" hidden="1" customWidth="1"/>
    <col min="14" max="16384" width="8.7109375" style="2"/>
  </cols>
  <sheetData>
    <row r="1" spans="1:13" s="33" customFormat="1" ht="24" thickTop="1" thickBot="1" x14ac:dyDescent="0.3">
      <c r="A1" s="32"/>
      <c r="B1" s="32"/>
      <c r="C1" s="32"/>
      <c r="D1" s="32"/>
      <c r="E1" s="210" t="s">
        <v>457</v>
      </c>
      <c r="F1" s="211">
        <f>J198</f>
        <v>110794.85999999999</v>
      </c>
      <c r="G1" s="30" t="s">
        <v>494</v>
      </c>
      <c r="H1" s="30" t="s">
        <v>121</v>
      </c>
      <c r="I1" s="322" t="s">
        <v>577</v>
      </c>
      <c r="J1" s="121" t="s">
        <v>519</v>
      </c>
      <c r="K1" s="30" t="s">
        <v>578</v>
      </c>
      <c r="L1" s="36" t="s">
        <v>526</v>
      </c>
      <c r="M1" s="36" t="s">
        <v>353</v>
      </c>
    </row>
    <row r="2" spans="1:13" s="33" customFormat="1" ht="15.75" thickTop="1" x14ac:dyDescent="0.25">
      <c r="A2" s="32"/>
      <c r="B2" s="32"/>
      <c r="C2" s="32"/>
      <c r="D2" s="32"/>
      <c r="E2" s="210" t="s">
        <v>508</v>
      </c>
      <c r="F2" s="274"/>
      <c r="G2" s="272"/>
      <c r="H2" s="272"/>
      <c r="I2" s="323"/>
      <c r="J2" s="275"/>
      <c r="K2" s="272"/>
      <c r="L2" s="273"/>
      <c r="M2" s="273"/>
    </row>
    <row r="3" spans="1:13" x14ac:dyDescent="0.25">
      <c r="A3" s="34" t="s">
        <v>0</v>
      </c>
      <c r="B3" s="1"/>
      <c r="C3" s="1"/>
      <c r="D3" s="1"/>
      <c r="E3" s="1"/>
      <c r="F3" s="1"/>
      <c r="G3" s="8"/>
      <c r="H3" s="8"/>
      <c r="I3" s="16"/>
      <c r="J3" s="122"/>
      <c r="K3" s="8"/>
    </row>
    <row r="4" spans="1:13" x14ac:dyDescent="0.25">
      <c r="A4" s="1"/>
      <c r="B4" s="34" t="s">
        <v>480</v>
      </c>
      <c r="C4" s="1"/>
      <c r="D4" s="1"/>
      <c r="E4" s="1"/>
      <c r="F4" s="1"/>
      <c r="G4" s="8"/>
      <c r="H4" s="8"/>
      <c r="I4" s="16"/>
      <c r="J4" s="122"/>
      <c r="K4" s="8"/>
    </row>
    <row r="5" spans="1:13" x14ac:dyDescent="0.25">
      <c r="A5" s="1"/>
      <c r="B5" s="1"/>
      <c r="C5" s="1" t="s">
        <v>305</v>
      </c>
      <c r="D5" s="1"/>
      <c r="E5" s="1"/>
      <c r="F5" s="1"/>
      <c r="G5" s="8"/>
      <c r="H5" s="8"/>
      <c r="I5" s="16"/>
      <c r="J5" s="122"/>
      <c r="K5" s="8"/>
    </row>
    <row r="6" spans="1:13" x14ac:dyDescent="0.25">
      <c r="A6" s="1"/>
      <c r="B6" s="1"/>
      <c r="C6" s="1"/>
      <c r="D6" s="1" t="s">
        <v>304</v>
      </c>
      <c r="E6" s="1"/>
      <c r="F6" s="1"/>
      <c r="G6" s="233"/>
      <c r="H6" s="233"/>
      <c r="I6" s="16"/>
      <c r="J6" s="122"/>
      <c r="K6" s="8"/>
    </row>
    <row r="7" spans="1:13" x14ac:dyDescent="0.25">
      <c r="A7" s="1"/>
      <c r="B7" s="1"/>
      <c r="C7" s="1"/>
      <c r="D7" s="1"/>
      <c r="E7" s="1" t="s">
        <v>571</v>
      </c>
      <c r="F7" s="1" t="s">
        <v>572</v>
      </c>
      <c r="G7" s="233">
        <v>0</v>
      </c>
      <c r="H7" s="233"/>
      <c r="I7" s="16">
        <v>0</v>
      </c>
      <c r="J7" s="122">
        <v>0</v>
      </c>
      <c r="K7" s="8"/>
      <c r="L7" s="224"/>
      <c r="M7" s="340"/>
    </row>
    <row r="8" spans="1:13" x14ac:dyDescent="0.25">
      <c r="A8" s="1"/>
      <c r="B8" s="1"/>
      <c r="C8" s="1"/>
      <c r="D8" s="1"/>
      <c r="E8" s="1" t="s">
        <v>303</v>
      </c>
      <c r="F8" s="1"/>
      <c r="G8" s="233">
        <v>225077</v>
      </c>
      <c r="H8" s="29">
        <v>285000</v>
      </c>
      <c r="I8" s="29">
        <v>287921</v>
      </c>
      <c r="J8" s="250">
        <v>280000</v>
      </c>
      <c r="K8" s="8">
        <f>J8-I8</f>
        <v>-7921</v>
      </c>
      <c r="L8" s="224"/>
      <c r="M8" s="17" t="s">
        <v>306</v>
      </c>
    </row>
    <row r="9" spans="1:13" x14ac:dyDescent="0.25">
      <c r="A9" s="1"/>
      <c r="B9" s="1"/>
      <c r="C9" s="1"/>
      <c r="D9" s="1"/>
      <c r="E9" s="1" t="s">
        <v>302</v>
      </c>
      <c r="F9" s="1"/>
      <c r="G9" s="233">
        <v>105041</v>
      </c>
      <c r="H9" s="29">
        <v>102000</v>
      </c>
      <c r="I9" s="29">
        <v>98705</v>
      </c>
      <c r="J9" s="250">
        <v>100000</v>
      </c>
      <c r="K9" s="8">
        <f>J9-I9</f>
        <v>1295</v>
      </c>
      <c r="L9" s="224"/>
      <c r="M9" s="17" t="s">
        <v>306</v>
      </c>
    </row>
    <row r="10" spans="1:13" ht="15.75" thickBot="1" x14ac:dyDescent="0.3">
      <c r="A10" s="1"/>
      <c r="B10" s="1"/>
      <c r="C10" s="1"/>
      <c r="D10" s="1"/>
      <c r="E10" s="1" t="s">
        <v>301</v>
      </c>
      <c r="F10" s="1"/>
      <c r="G10" s="234">
        <v>29747</v>
      </c>
      <c r="H10" s="235">
        <v>31000</v>
      </c>
      <c r="I10" s="235">
        <v>32800</v>
      </c>
      <c r="J10" s="251">
        <v>32000</v>
      </c>
      <c r="K10" s="11">
        <f t="shared" ref="K10:K73" si="0">J10-I10</f>
        <v>-800</v>
      </c>
      <c r="L10" s="351"/>
      <c r="M10" s="17" t="s">
        <v>306</v>
      </c>
    </row>
    <row r="11" spans="1:13" ht="33.75" x14ac:dyDescent="0.25">
      <c r="A11" s="1"/>
      <c r="B11" s="1"/>
      <c r="C11" s="1"/>
      <c r="D11" s="1" t="s">
        <v>300</v>
      </c>
      <c r="E11" s="1"/>
      <c r="F11" s="1"/>
      <c r="G11" s="233">
        <f>ROUND(SUM(G6:G10),5)</f>
        <v>359865</v>
      </c>
      <c r="H11" s="29">
        <f>ROUND(SUM(H6:H10),5)</f>
        <v>418000</v>
      </c>
      <c r="I11" s="29">
        <f>ROUND(SUM(I6:I10),5)</f>
        <v>419426</v>
      </c>
      <c r="J11" s="250">
        <f>ROUND(SUM(J6:J10),5)</f>
        <v>412000</v>
      </c>
      <c r="K11" s="8">
        <f t="shared" si="0"/>
        <v>-7426</v>
      </c>
      <c r="M11" s="17" t="s">
        <v>390</v>
      </c>
    </row>
    <row r="12" spans="1:13" x14ac:dyDescent="0.25">
      <c r="A12" s="1"/>
      <c r="B12" s="1"/>
      <c r="C12" s="1"/>
      <c r="D12" s="1" t="s">
        <v>299</v>
      </c>
      <c r="E12" s="1"/>
      <c r="F12" s="1"/>
      <c r="G12" s="233"/>
      <c r="H12" s="29"/>
      <c r="I12" s="29"/>
      <c r="J12" s="250"/>
      <c r="K12" s="8">
        <f t="shared" si="0"/>
        <v>0</v>
      </c>
    </row>
    <row r="13" spans="1:13" x14ac:dyDescent="0.25">
      <c r="A13" s="1"/>
      <c r="B13" s="1"/>
      <c r="C13" s="1"/>
      <c r="D13" s="1"/>
      <c r="E13" s="1" t="s">
        <v>298</v>
      </c>
      <c r="F13" s="1"/>
      <c r="G13" s="233">
        <v>201025</v>
      </c>
      <c r="H13" s="29">
        <v>201000</v>
      </c>
      <c r="I13" s="29">
        <v>201025</v>
      </c>
      <c r="J13" s="122">
        <v>201025</v>
      </c>
      <c r="K13" s="8">
        <f t="shared" si="0"/>
        <v>0</v>
      </c>
      <c r="L13" s="224"/>
      <c r="M13" s="17" t="s">
        <v>306</v>
      </c>
    </row>
    <row r="14" spans="1:13" ht="15.75" thickBot="1" x14ac:dyDescent="0.3">
      <c r="A14" s="1"/>
      <c r="B14" s="1"/>
      <c r="C14" s="1"/>
      <c r="D14" s="1"/>
      <c r="E14" s="1" t="s">
        <v>297</v>
      </c>
      <c r="F14" s="1"/>
      <c r="G14" s="236">
        <v>14125</v>
      </c>
      <c r="H14" s="237">
        <v>23000</v>
      </c>
      <c r="I14" s="237">
        <v>36002</v>
      </c>
      <c r="J14" s="252">
        <v>35000</v>
      </c>
      <c r="K14" s="12">
        <f t="shared" si="0"/>
        <v>-1002</v>
      </c>
      <c r="L14" s="224"/>
      <c r="M14" s="17" t="s">
        <v>306</v>
      </c>
    </row>
    <row r="15" spans="1:13" ht="15.75" thickBot="1" x14ac:dyDescent="0.3">
      <c r="A15" s="1"/>
      <c r="B15" s="1"/>
      <c r="C15" s="1"/>
      <c r="D15" s="1" t="s">
        <v>296</v>
      </c>
      <c r="E15" s="1"/>
      <c r="F15" s="1"/>
      <c r="G15" s="238">
        <f>ROUND(SUM(G12:G14),5)</f>
        <v>215150</v>
      </c>
      <c r="H15" s="239">
        <f>ROUND(SUM(H12:H14),5)</f>
        <v>224000</v>
      </c>
      <c r="I15" s="24">
        <f>ROUND(SUM(I12:I14),5)</f>
        <v>237027</v>
      </c>
      <c r="J15" s="125">
        <f>ROUND(SUM(J12:J14),5)</f>
        <v>236025</v>
      </c>
      <c r="K15" s="9">
        <f t="shared" si="0"/>
        <v>-1002</v>
      </c>
    </row>
    <row r="16" spans="1:13" x14ac:dyDescent="0.25">
      <c r="A16" s="1"/>
      <c r="B16" s="1"/>
      <c r="C16" s="1" t="s">
        <v>295</v>
      </c>
      <c r="D16" s="1"/>
      <c r="E16" s="1"/>
      <c r="F16" s="1"/>
      <c r="G16" s="233">
        <v>645015</v>
      </c>
      <c r="H16" s="29" t="e">
        <f>ROUND(#REF!+H11+H15,5)</f>
        <v>#REF!</v>
      </c>
      <c r="I16" s="16">
        <v>656426</v>
      </c>
      <c r="J16" s="122">
        <v>648025</v>
      </c>
      <c r="K16" s="8">
        <v>9813</v>
      </c>
    </row>
    <row r="17" spans="1:13" x14ac:dyDescent="0.25">
      <c r="A17" s="1"/>
      <c r="B17" s="34" t="s">
        <v>16</v>
      </c>
      <c r="C17" s="34"/>
      <c r="D17" s="34"/>
      <c r="E17" s="34"/>
      <c r="F17" s="34"/>
      <c r="G17" s="240">
        <f>G16</f>
        <v>645015</v>
      </c>
      <c r="H17" s="240" t="e">
        <f t="shared" ref="H17:I17" si="1">H16</f>
        <v>#REF!</v>
      </c>
      <c r="I17" s="281">
        <f t="shared" si="1"/>
        <v>656426</v>
      </c>
      <c r="J17" s="144">
        <v>648025</v>
      </c>
      <c r="K17" s="8">
        <v>0</v>
      </c>
      <c r="L17" s="224"/>
    </row>
    <row r="18" spans="1:13" x14ac:dyDescent="0.25">
      <c r="A18" s="1"/>
      <c r="B18" s="34" t="s">
        <v>478</v>
      </c>
      <c r="C18" s="1"/>
      <c r="D18" s="1"/>
      <c r="E18" s="1"/>
      <c r="F18" s="1"/>
      <c r="G18" s="233"/>
      <c r="H18" s="233"/>
      <c r="I18" s="16"/>
      <c r="J18" s="122"/>
      <c r="K18" s="8"/>
    </row>
    <row r="19" spans="1:13" x14ac:dyDescent="0.25">
      <c r="A19" s="1"/>
      <c r="B19" s="1"/>
      <c r="C19" s="1" t="s">
        <v>286</v>
      </c>
      <c r="D19" s="1"/>
      <c r="E19" s="1"/>
      <c r="F19" s="1"/>
      <c r="G19" s="233"/>
      <c r="H19" s="233"/>
      <c r="I19" s="16"/>
      <c r="J19" s="122"/>
      <c r="K19" s="8"/>
    </row>
    <row r="20" spans="1:13" x14ac:dyDescent="0.25">
      <c r="A20" s="1"/>
      <c r="B20" s="1"/>
      <c r="C20" s="1"/>
      <c r="D20" s="1" t="s">
        <v>294</v>
      </c>
      <c r="E20" s="1"/>
      <c r="F20" s="1"/>
      <c r="G20" s="233"/>
      <c r="H20" s="29"/>
      <c r="I20" s="16"/>
      <c r="J20" s="122"/>
      <c r="K20" s="8"/>
    </row>
    <row r="21" spans="1:13" x14ac:dyDescent="0.25">
      <c r="A21" s="1"/>
      <c r="B21" s="1"/>
      <c r="C21" s="1"/>
      <c r="D21" s="1"/>
      <c r="E21" s="1" t="s">
        <v>293</v>
      </c>
      <c r="F21" s="1"/>
      <c r="G21" s="233">
        <v>5</v>
      </c>
      <c r="H21" s="29"/>
      <c r="I21" s="16">
        <v>0</v>
      </c>
      <c r="J21" s="122">
        <f>I21</f>
        <v>0</v>
      </c>
      <c r="K21" s="8">
        <f t="shared" si="0"/>
        <v>0</v>
      </c>
    </row>
    <row r="22" spans="1:13" ht="45.75" thickBot="1" x14ac:dyDescent="0.3">
      <c r="A22" s="1"/>
      <c r="B22" s="1"/>
      <c r="C22" s="1"/>
      <c r="D22" s="1"/>
      <c r="E22" s="1" t="s">
        <v>292</v>
      </c>
      <c r="F22" s="1"/>
      <c r="G22" s="234">
        <v>9564</v>
      </c>
      <c r="H22" s="235">
        <v>11540</v>
      </c>
      <c r="I22" s="25">
        <v>14371</v>
      </c>
      <c r="J22" s="123">
        <v>15400</v>
      </c>
      <c r="K22" s="11">
        <f t="shared" si="0"/>
        <v>1029</v>
      </c>
      <c r="L22" s="224" t="s">
        <v>538</v>
      </c>
    </row>
    <row r="23" spans="1:13" x14ac:dyDescent="0.25">
      <c r="A23" s="1"/>
      <c r="B23" s="1"/>
      <c r="C23" s="1"/>
      <c r="D23" s="1" t="s">
        <v>291</v>
      </c>
      <c r="E23" s="1"/>
      <c r="F23" s="1"/>
      <c r="G23" s="233">
        <f>ROUND(SUM(G20:G22),5)</f>
        <v>9569</v>
      </c>
      <c r="H23" s="233">
        <f>ROUND(SUM(H20:H22),5)</f>
        <v>11540</v>
      </c>
      <c r="I23" s="16">
        <f>ROUND(SUM(I20:I22),5)</f>
        <v>14371</v>
      </c>
      <c r="J23" s="122">
        <f>ROUND(SUM(J20:J22),5)</f>
        <v>15400</v>
      </c>
      <c r="K23" s="8">
        <f t="shared" si="0"/>
        <v>1029</v>
      </c>
    </row>
    <row r="24" spans="1:13" x14ac:dyDescent="0.25">
      <c r="A24" s="1"/>
      <c r="B24" s="1"/>
      <c r="C24" s="1"/>
      <c r="D24" s="1" t="s">
        <v>285</v>
      </c>
      <c r="E24" s="1"/>
      <c r="F24" s="1"/>
      <c r="G24" s="233"/>
      <c r="H24" s="233"/>
      <c r="I24" s="16"/>
      <c r="J24" s="122"/>
      <c r="K24" s="8"/>
    </row>
    <row r="25" spans="1:13" x14ac:dyDescent="0.25">
      <c r="A25" s="1"/>
      <c r="B25" s="1"/>
      <c r="C25" s="1"/>
      <c r="D25" s="1"/>
      <c r="E25" s="1" t="s">
        <v>284</v>
      </c>
      <c r="F25" s="1"/>
      <c r="G25" s="233"/>
      <c r="H25" s="233"/>
      <c r="I25" s="16"/>
      <c r="J25" s="122"/>
      <c r="K25" s="8"/>
    </row>
    <row r="26" spans="1:13" x14ac:dyDescent="0.25">
      <c r="A26" s="1"/>
      <c r="B26" s="1"/>
      <c r="C26" s="1"/>
      <c r="D26" s="1"/>
      <c r="E26" s="1"/>
      <c r="F26" s="1" t="s">
        <v>283</v>
      </c>
      <c r="G26" s="233">
        <v>58034</v>
      </c>
      <c r="H26" s="29">
        <v>66173</v>
      </c>
      <c r="I26" s="16">
        <v>99530</v>
      </c>
      <c r="J26" s="122">
        <v>95422</v>
      </c>
      <c r="K26" s="8">
        <f t="shared" si="0"/>
        <v>-4108</v>
      </c>
      <c r="L26" s="17" t="s">
        <v>402</v>
      </c>
      <c r="M26" s="17" t="s">
        <v>307</v>
      </c>
    </row>
    <row r="27" spans="1:13" x14ac:dyDescent="0.25">
      <c r="A27" s="1"/>
      <c r="B27" s="1"/>
      <c r="C27" s="1"/>
      <c r="D27" s="1"/>
      <c r="E27" s="1"/>
      <c r="F27" s="1" t="s">
        <v>282</v>
      </c>
      <c r="G27" s="233">
        <v>4303</v>
      </c>
      <c r="H27" s="29">
        <v>5000</v>
      </c>
      <c r="I27" s="16">
        <v>5000</v>
      </c>
      <c r="J27" s="122">
        <f>'Personnel 2019'!F16</f>
        <v>3000</v>
      </c>
      <c r="K27" s="8">
        <f t="shared" si="0"/>
        <v>-2000</v>
      </c>
      <c r="L27" s="17" t="s">
        <v>402</v>
      </c>
    </row>
    <row r="28" spans="1:13" ht="15.75" thickBot="1" x14ac:dyDescent="0.3">
      <c r="A28" s="1"/>
      <c r="B28" s="1"/>
      <c r="C28" s="1"/>
      <c r="D28" s="1"/>
      <c r="E28" s="1"/>
      <c r="F28" s="1" t="s">
        <v>281</v>
      </c>
      <c r="G28" s="234">
        <v>3096</v>
      </c>
      <c r="H28" s="235">
        <v>4562</v>
      </c>
      <c r="I28" s="25">
        <v>4562</v>
      </c>
      <c r="J28" s="123">
        <f>'Personnel 2019'!F17</f>
        <v>3600</v>
      </c>
      <c r="K28" s="11">
        <f t="shared" si="0"/>
        <v>-962</v>
      </c>
      <c r="L28" s="17" t="s">
        <v>402</v>
      </c>
    </row>
    <row r="29" spans="1:13" x14ac:dyDescent="0.25">
      <c r="A29" s="1"/>
      <c r="B29" s="1"/>
      <c r="C29" s="1"/>
      <c r="D29" s="1"/>
      <c r="E29" s="1" t="s">
        <v>280</v>
      </c>
      <c r="F29" s="1"/>
      <c r="G29" s="233">
        <f>ROUND(SUM(G25:G28),5)</f>
        <v>65433</v>
      </c>
      <c r="H29" s="29">
        <f>ROUND(SUM(H25:H28),5)</f>
        <v>75735</v>
      </c>
      <c r="I29" s="16">
        <f>ROUND(SUM(I25:I28),5)</f>
        <v>109092</v>
      </c>
      <c r="J29" s="122">
        <f>ROUND(SUM(J25:J28),5)</f>
        <v>102022</v>
      </c>
      <c r="K29" s="8">
        <f t="shared" si="0"/>
        <v>-7070</v>
      </c>
    </row>
    <row r="30" spans="1:13" x14ac:dyDescent="0.25">
      <c r="A30" s="1"/>
      <c r="B30" s="1"/>
      <c r="C30" s="1"/>
      <c r="D30" s="1"/>
      <c r="E30" s="1" t="s">
        <v>279</v>
      </c>
      <c r="F30" s="1"/>
      <c r="G30" s="233"/>
      <c r="H30" s="29"/>
      <c r="I30" s="16"/>
      <c r="J30" s="122"/>
      <c r="K30" s="8"/>
    </row>
    <row r="31" spans="1:13" x14ac:dyDescent="0.25">
      <c r="A31" s="1"/>
      <c r="B31" s="1"/>
      <c r="C31" s="1"/>
      <c r="D31" s="1"/>
      <c r="E31" s="1"/>
      <c r="F31" s="1" t="s">
        <v>278</v>
      </c>
      <c r="G31" s="233">
        <v>52938</v>
      </c>
      <c r="H31" s="29">
        <v>53040</v>
      </c>
      <c r="I31" s="16">
        <v>54629</v>
      </c>
      <c r="J31" s="122">
        <f>'Personnel 2019'!F5</f>
        <v>64615.59</v>
      </c>
      <c r="K31" s="8">
        <f t="shared" si="0"/>
        <v>9986.5899999999965</v>
      </c>
      <c r="L31" s="17" t="s">
        <v>402</v>
      </c>
      <c r="M31" s="17" t="s">
        <v>308</v>
      </c>
    </row>
    <row r="32" spans="1:13" x14ac:dyDescent="0.25">
      <c r="A32" s="1"/>
      <c r="B32" s="1"/>
      <c r="C32" s="1"/>
      <c r="D32" s="1"/>
      <c r="E32" s="1"/>
      <c r="F32" s="1" t="s">
        <v>277</v>
      </c>
      <c r="G32" s="233">
        <v>17688</v>
      </c>
      <c r="H32" s="29">
        <v>20280</v>
      </c>
      <c r="I32" s="16">
        <v>20888</v>
      </c>
      <c r="J32" s="122">
        <f>'Personnel 2019'!F6</f>
        <v>24704.549999999996</v>
      </c>
      <c r="K32" s="8">
        <f t="shared" si="0"/>
        <v>3816.5499999999956</v>
      </c>
      <c r="L32" s="17" t="s">
        <v>402</v>
      </c>
      <c r="M32" s="17" t="s">
        <v>309</v>
      </c>
    </row>
    <row r="33" spans="1:13" ht="15.75" thickBot="1" x14ac:dyDescent="0.3">
      <c r="A33" s="1"/>
      <c r="B33" s="1"/>
      <c r="C33" s="1"/>
      <c r="D33" s="1"/>
      <c r="E33" s="1"/>
      <c r="F33" s="1" t="s">
        <v>276</v>
      </c>
      <c r="G33" s="236">
        <v>539</v>
      </c>
      <c r="H33" s="237"/>
      <c r="I33" s="26">
        <v>0</v>
      </c>
      <c r="J33" s="124">
        <v>2000</v>
      </c>
      <c r="K33" s="12">
        <f t="shared" si="0"/>
        <v>2000</v>
      </c>
    </row>
    <row r="34" spans="1:13" ht="15.75" thickBot="1" x14ac:dyDescent="0.3">
      <c r="A34" s="1"/>
      <c r="B34" s="1"/>
      <c r="C34" s="1"/>
      <c r="D34" s="1"/>
      <c r="E34" s="1" t="s">
        <v>275</v>
      </c>
      <c r="F34" s="1"/>
      <c r="G34" s="238">
        <f>ROUND(SUM(G30:G33),5)</f>
        <v>71165</v>
      </c>
      <c r="H34" s="239">
        <f>ROUND(SUM(H30:H33),5)</f>
        <v>73320</v>
      </c>
      <c r="I34" s="24">
        <f>ROUND(SUM(I30:I33),5)</f>
        <v>75517</v>
      </c>
      <c r="J34" s="125">
        <f>ROUND(SUM(J30:J33),5)</f>
        <v>91320.14</v>
      </c>
      <c r="K34" s="9">
        <f t="shared" si="0"/>
        <v>15803.14</v>
      </c>
    </row>
    <row r="35" spans="1:13" x14ac:dyDescent="0.25">
      <c r="A35" s="1"/>
      <c r="B35" s="1"/>
      <c r="C35" s="1"/>
      <c r="D35" s="1" t="s">
        <v>274</v>
      </c>
      <c r="E35" s="1"/>
      <c r="F35" s="1"/>
      <c r="G35" s="233">
        <f>ROUND(G24+G29+G34,5)</f>
        <v>136598</v>
      </c>
      <c r="H35" s="29">
        <f>ROUND(H24+H29+H34,5)</f>
        <v>149055</v>
      </c>
      <c r="I35" s="16">
        <f>ROUND(I24+I29+I34,5)</f>
        <v>184609</v>
      </c>
      <c r="J35" s="122">
        <f>ROUND(J24+J29+J34,5)</f>
        <v>193342.14</v>
      </c>
      <c r="K35" s="10">
        <f t="shared" si="0"/>
        <v>8733.140000000014</v>
      </c>
    </row>
    <row r="36" spans="1:13" x14ac:dyDescent="0.25">
      <c r="A36" s="1"/>
      <c r="B36" s="1"/>
      <c r="C36" s="1"/>
      <c r="D36" s="1" t="s">
        <v>273</v>
      </c>
      <c r="E36" s="1"/>
      <c r="F36" s="1"/>
      <c r="G36" s="233"/>
      <c r="H36" s="29"/>
      <c r="I36" s="16"/>
      <c r="J36" s="122"/>
      <c r="K36" s="8"/>
    </row>
    <row r="37" spans="1:13" ht="34.5" thickBot="1" x14ac:dyDescent="0.3">
      <c r="A37" s="1"/>
      <c r="B37" s="1"/>
      <c r="C37" s="1"/>
      <c r="D37" s="1"/>
      <c r="E37" s="1" t="s">
        <v>272</v>
      </c>
      <c r="F37" s="1"/>
      <c r="G37" s="234">
        <v>0</v>
      </c>
      <c r="H37" s="235">
        <v>1800</v>
      </c>
      <c r="I37" s="25">
        <v>3250</v>
      </c>
      <c r="J37" s="123">
        <f>'Personnel 2019'!F15</f>
        <v>3250</v>
      </c>
      <c r="K37" s="11">
        <f t="shared" si="0"/>
        <v>0</v>
      </c>
      <c r="L37" s="224" t="s">
        <v>539</v>
      </c>
    </row>
    <row r="38" spans="1:13" x14ac:dyDescent="0.25">
      <c r="A38" s="1"/>
      <c r="B38" s="1"/>
      <c r="C38" s="1"/>
      <c r="D38" s="1" t="s">
        <v>271</v>
      </c>
      <c r="E38" s="1"/>
      <c r="F38" s="1"/>
      <c r="G38" s="233">
        <f>ROUND(SUM(G36:G37),5)</f>
        <v>0</v>
      </c>
      <c r="H38" s="29">
        <f>ROUND(SUM(H36:H37),5)</f>
        <v>1800</v>
      </c>
      <c r="I38" s="16">
        <f>ROUND(SUM(I36:I37),5)</f>
        <v>3250</v>
      </c>
      <c r="J38" s="122">
        <f>ROUND(SUM(J36:J37),5)</f>
        <v>3250</v>
      </c>
      <c r="K38" s="8">
        <f t="shared" si="0"/>
        <v>0</v>
      </c>
    </row>
    <row r="39" spans="1:13" x14ac:dyDescent="0.25">
      <c r="A39" s="1"/>
      <c r="B39" s="1"/>
      <c r="C39" s="1"/>
      <c r="D39" s="1" t="s">
        <v>270</v>
      </c>
      <c r="E39" s="1"/>
      <c r="F39" s="1"/>
      <c r="G39" s="233"/>
      <c r="H39" s="29"/>
      <c r="I39" s="16"/>
      <c r="J39" s="122"/>
      <c r="K39" s="8"/>
    </row>
    <row r="40" spans="1:13" x14ac:dyDescent="0.25">
      <c r="A40" s="1"/>
      <c r="B40" s="1"/>
      <c r="C40" s="1"/>
      <c r="D40" s="1"/>
      <c r="E40" s="253" t="s">
        <v>421</v>
      </c>
      <c r="F40" s="253"/>
      <c r="G40" s="233"/>
      <c r="H40" s="29">
        <v>0</v>
      </c>
      <c r="I40" s="16">
        <v>2277</v>
      </c>
      <c r="J40" s="343">
        <v>3000</v>
      </c>
      <c r="K40" s="8">
        <f t="shared" si="0"/>
        <v>723</v>
      </c>
      <c r="L40" s="224" t="s">
        <v>540</v>
      </c>
    </row>
    <row r="41" spans="1:13" x14ac:dyDescent="0.25">
      <c r="A41" s="1"/>
      <c r="B41" s="1"/>
      <c r="C41" s="1"/>
      <c r="D41" s="1"/>
      <c r="E41" s="253" t="s">
        <v>422</v>
      </c>
      <c r="F41" s="253"/>
      <c r="G41" s="233"/>
      <c r="H41" s="29">
        <v>0</v>
      </c>
      <c r="I41" s="16">
        <v>0</v>
      </c>
      <c r="J41" s="122">
        <f>I41</f>
        <v>0</v>
      </c>
      <c r="K41" s="8">
        <f t="shared" si="0"/>
        <v>0</v>
      </c>
    </row>
    <row r="42" spans="1:13" ht="79.5" thickBot="1" x14ac:dyDescent="0.3">
      <c r="A42" s="1"/>
      <c r="B42" s="1"/>
      <c r="C42" s="1"/>
      <c r="D42" s="1"/>
      <c r="E42" s="1" t="s">
        <v>269</v>
      </c>
      <c r="F42" s="1"/>
      <c r="G42" s="234">
        <v>45722</v>
      </c>
      <c r="H42" s="235">
        <f>61954-5384-11540</f>
        <v>45030</v>
      </c>
      <c r="I42" s="25">
        <v>71925</v>
      </c>
      <c r="J42" s="342">
        <v>70000</v>
      </c>
      <c r="K42" s="11"/>
      <c r="L42" s="17" t="s">
        <v>541</v>
      </c>
      <c r="M42" s="17" t="s">
        <v>391</v>
      </c>
    </row>
    <row r="43" spans="1:13" x14ac:dyDescent="0.25">
      <c r="A43" s="1"/>
      <c r="B43" s="1"/>
      <c r="C43" s="1"/>
      <c r="D43" s="1" t="s">
        <v>268</v>
      </c>
      <c r="E43" s="1"/>
      <c r="F43" s="1"/>
      <c r="G43" s="233">
        <f>ROUND(SUM(G39:G42),5)</f>
        <v>45722</v>
      </c>
      <c r="H43" s="233">
        <f>ROUND(SUM(H39:H42),5)</f>
        <v>45030</v>
      </c>
      <c r="I43" s="16">
        <f>ROUND(SUM(I39:I42),5)</f>
        <v>74202</v>
      </c>
      <c r="J43" s="122">
        <v>76250</v>
      </c>
      <c r="K43" s="10">
        <f t="shared" si="0"/>
        <v>2048</v>
      </c>
    </row>
    <row r="44" spans="1:13" x14ac:dyDescent="0.25">
      <c r="A44" s="1"/>
      <c r="B44" s="1"/>
      <c r="C44" s="1"/>
      <c r="D44" s="1" t="s">
        <v>267</v>
      </c>
      <c r="E44" s="1"/>
      <c r="F44" s="1"/>
      <c r="G44" s="233"/>
      <c r="H44" s="233"/>
      <c r="I44" s="16"/>
      <c r="J44" s="122"/>
      <c r="K44" s="8"/>
    </row>
    <row r="45" spans="1:13" ht="33.75" x14ac:dyDescent="0.25">
      <c r="A45" s="1"/>
      <c r="B45" s="1"/>
      <c r="C45" s="1"/>
      <c r="D45" s="1"/>
      <c r="E45" s="1" t="s">
        <v>266</v>
      </c>
      <c r="F45" s="1"/>
      <c r="G45" s="233">
        <v>31674</v>
      </c>
      <c r="H45" s="29">
        <v>21000</v>
      </c>
      <c r="I45" s="16">
        <v>32954</v>
      </c>
      <c r="J45" s="343">
        <v>28000</v>
      </c>
      <c r="K45" s="8">
        <f t="shared" si="0"/>
        <v>-4954</v>
      </c>
      <c r="L45" s="224" t="s">
        <v>542</v>
      </c>
    </row>
    <row r="46" spans="1:13" ht="33.75" x14ac:dyDescent="0.25">
      <c r="A46" s="1"/>
      <c r="B46" s="1"/>
      <c r="C46" s="1"/>
      <c r="D46" s="1"/>
      <c r="E46" s="1" t="s">
        <v>265</v>
      </c>
      <c r="F46" s="1"/>
      <c r="G46" s="233">
        <v>22086</v>
      </c>
      <c r="H46" s="29">
        <v>44000</v>
      </c>
      <c r="I46" s="16">
        <v>26186</v>
      </c>
      <c r="J46" s="343">
        <v>20000</v>
      </c>
      <c r="K46" s="8">
        <f t="shared" si="0"/>
        <v>-6186</v>
      </c>
      <c r="L46" s="224" t="s">
        <v>594</v>
      </c>
    </row>
    <row r="47" spans="1:13" ht="15.75" thickBot="1" x14ac:dyDescent="0.3">
      <c r="A47" s="1"/>
      <c r="B47" s="1"/>
      <c r="C47" s="1"/>
      <c r="D47" s="1"/>
      <c r="E47" s="1" t="s">
        <v>264</v>
      </c>
      <c r="F47" s="1"/>
      <c r="G47" s="234">
        <v>759</v>
      </c>
      <c r="H47" s="235"/>
      <c r="I47" s="25">
        <v>566</v>
      </c>
      <c r="J47" s="342">
        <v>600</v>
      </c>
      <c r="K47" s="11">
        <f t="shared" si="0"/>
        <v>34</v>
      </c>
      <c r="L47" s="224" t="s">
        <v>543</v>
      </c>
    </row>
    <row r="48" spans="1:13" x14ac:dyDescent="0.25">
      <c r="A48" s="1"/>
      <c r="B48" s="1"/>
      <c r="C48" s="1"/>
      <c r="D48" s="1" t="s">
        <v>263</v>
      </c>
      <c r="E48" s="1"/>
      <c r="F48" s="1"/>
      <c r="G48" s="233">
        <f>ROUND(SUM(G44:G47),5)</f>
        <v>54519</v>
      </c>
      <c r="H48" s="29">
        <f>ROUND(SUM(H44:H47),5)</f>
        <v>65000</v>
      </c>
      <c r="I48" s="16">
        <f>ROUND(SUM(I44:I47),5)</f>
        <v>59706</v>
      </c>
      <c r="J48" s="122">
        <v>48600</v>
      </c>
      <c r="K48" s="8">
        <f t="shared" si="0"/>
        <v>-11106</v>
      </c>
    </row>
    <row r="49" spans="1:13" x14ac:dyDescent="0.25">
      <c r="A49" s="1"/>
      <c r="B49" s="1"/>
      <c r="C49" s="1"/>
      <c r="D49" s="1" t="s">
        <v>262</v>
      </c>
      <c r="E49" s="1"/>
      <c r="F49" s="1"/>
      <c r="G49" s="233"/>
      <c r="H49" s="29"/>
      <c r="I49" s="16"/>
      <c r="J49" s="122"/>
      <c r="K49" s="8"/>
    </row>
    <row r="50" spans="1:13" ht="15.75" thickBot="1" x14ac:dyDescent="0.3">
      <c r="A50" s="1"/>
      <c r="B50" s="1"/>
      <c r="C50" s="1"/>
      <c r="D50" s="1"/>
      <c r="E50" s="1" t="s">
        <v>261</v>
      </c>
      <c r="F50" s="1"/>
      <c r="G50" s="234">
        <v>12444</v>
      </c>
      <c r="H50" s="235">
        <v>14000</v>
      </c>
      <c r="I50" s="25">
        <v>13266</v>
      </c>
      <c r="J50" s="123">
        <v>11000</v>
      </c>
      <c r="K50" s="11">
        <f t="shared" si="0"/>
        <v>-2266</v>
      </c>
      <c r="M50" s="17" t="s">
        <v>311</v>
      </c>
    </row>
    <row r="51" spans="1:13" x14ac:dyDescent="0.25">
      <c r="A51" s="1"/>
      <c r="B51" s="1"/>
      <c r="C51" s="1"/>
      <c r="D51" s="1" t="s">
        <v>260</v>
      </c>
      <c r="E51" s="1"/>
      <c r="F51" s="1"/>
      <c r="G51" s="233">
        <f>ROUND(SUM(G49:G50),5)</f>
        <v>12444</v>
      </c>
      <c r="H51" s="233">
        <f>ROUND(SUM(H49:H50),5)</f>
        <v>14000</v>
      </c>
      <c r="I51" s="16">
        <f>ROUND(SUM(I49:I50),5)</f>
        <v>13266</v>
      </c>
      <c r="J51" s="122">
        <f>ROUND(SUM(J49:J50),5)</f>
        <v>11000</v>
      </c>
      <c r="K51" s="8">
        <f t="shared" si="0"/>
        <v>-2266</v>
      </c>
      <c r="L51" s="224" t="s">
        <v>544</v>
      </c>
    </row>
    <row r="52" spans="1:13" x14ac:dyDescent="0.25">
      <c r="A52" s="1"/>
      <c r="B52" s="1"/>
      <c r="C52" s="1"/>
      <c r="D52" s="1" t="s">
        <v>259</v>
      </c>
      <c r="E52" s="1"/>
      <c r="F52" s="1"/>
      <c r="G52" s="233"/>
      <c r="H52" s="233"/>
      <c r="I52" s="16"/>
      <c r="J52" s="122"/>
      <c r="K52" s="8"/>
    </row>
    <row r="53" spans="1:13" x14ac:dyDescent="0.25">
      <c r="A53" s="1"/>
      <c r="B53" s="1"/>
      <c r="C53" s="1"/>
      <c r="D53" s="1"/>
      <c r="E53" s="1" t="s">
        <v>258</v>
      </c>
      <c r="F53" s="1"/>
      <c r="G53" s="233"/>
      <c r="H53" s="233"/>
      <c r="I53" s="16"/>
      <c r="J53" s="122"/>
      <c r="K53" s="8"/>
    </row>
    <row r="54" spans="1:13" ht="33.75" x14ac:dyDescent="0.25">
      <c r="A54" s="1"/>
      <c r="B54" s="1"/>
      <c r="C54" s="1"/>
      <c r="D54" s="1"/>
      <c r="E54" s="1"/>
      <c r="F54" s="1" t="s">
        <v>257</v>
      </c>
      <c r="G54" s="233">
        <v>1289.75</v>
      </c>
      <c r="H54" s="29">
        <v>6000</v>
      </c>
      <c r="I54" s="16">
        <v>2244</v>
      </c>
      <c r="J54" s="122">
        <v>2000</v>
      </c>
      <c r="K54" s="8">
        <f t="shared" si="0"/>
        <v>-244</v>
      </c>
      <c r="L54" s="224" t="s">
        <v>544</v>
      </c>
      <c r="M54" s="17" t="s">
        <v>312</v>
      </c>
    </row>
    <row r="55" spans="1:13" ht="15.75" thickBot="1" x14ac:dyDescent="0.3">
      <c r="A55" s="1"/>
      <c r="B55" s="1"/>
      <c r="C55" s="1"/>
      <c r="D55" s="1"/>
      <c r="E55" s="1"/>
      <c r="F55" s="1" t="s">
        <v>256</v>
      </c>
      <c r="G55" s="234">
        <v>2358</v>
      </c>
      <c r="H55" s="234"/>
      <c r="I55" s="25">
        <v>3054.91</v>
      </c>
      <c r="J55" s="342">
        <v>3000</v>
      </c>
      <c r="K55" s="11">
        <f t="shared" si="0"/>
        <v>-54.909999999999854</v>
      </c>
    </row>
    <row r="56" spans="1:13" x14ac:dyDescent="0.25">
      <c r="A56" s="1"/>
      <c r="B56" s="1"/>
      <c r="C56" s="1"/>
      <c r="D56" s="1"/>
      <c r="E56" s="1" t="s">
        <v>255</v>
      </c>
      <c r="F56" s="1"/>
      <c r="G56" s="233">
        <f>ROUND(SUM(G53:G55),5)</f>
        <v>3647.75</v>
      </c>
      <c r="H56" s="233">
        <f>ROUND(SUM(H53:H55),5)</f>
        <v>6000</v>
      </c>
      <c r="I56" s="16">
        <f>ROUND(SUM(I53:I55),5)</f>
        <v>5298.91</v>
      </c>
      <c r="J56" s="122">
        <f>ROUND(SUM(J53:J55),5)</f>
        <v>5000</v>
      </c>
      <c r="K56" s="8">
        <f t="shared" si="0"/>
        <v>-298.90999999999985</v>
      </c>
    </row>
    <row r="57" spans="1:13" x14ac:dyDescent="0.25">
      <c r="A57" s="1"/>
      <c r="B57" s="1"/>
      <c r="C57" s="1"/>
      <c r="D57" s="1"/>
      <c r="E57" s="1" t="s">
        <v>254</v>
      </c>
      <c r="F57" s="1"/>
      <c r="G57" s="233"/>
      <c r="H57" s="233"/>
      <c r="I57" s="16"/>
      <c r="J57" s="122"/>
      <c r="K57" s="8"/>
    </row>
    <row r="58" spans="1:13" ht="22.5" x14ac:dyDescent="0.25">
      <c r="A58" s="1"/>
      <c r="B58" s="1"/>
      <c r="C58" s="1"/>
      <c r="D58" s="1"/>
      <c r="E58" s="1"/>
      <c r="F58" s="1" t="s">
        <v>253</v>
      </c>
      <c r="G58" s="233">
        <v>240</v>
      </c>
      <c r="H58" s="29">
        <v>600</v>
      </c>
      <c r="I58" s="16">
        <v>0</v>
      </c>
      <c r="J58" s="343">
        <v>1000</v>
      </c>
      <c r="K58" s="8">
        <f t="shared" si="0"/>
        <v>1000</v>
      </c>
      <c r="L58" s="224" t="s">
        <v>545</v>
      </c>
    </row>
    <row r="59" spans="1:13" ht="22.5" x14ac:dyDescent="0.25">
      <c r="A59" s="1"/>
      <c r="B59" s="1"/>
      <c r="C59" s="1"/>
      <c r="D59" s="1"/>
      <c r="E59" s="1"/>
      <c r="F59" s="1" t="s">
        <v>252</v>
      </c>
      <c r="G59" s="233">
        <v>245</v>
      </c>
      <c r="H59" s="29">
        <v>600</v>
      </c>
      <c r="I59" s="16">
        <v>1099</v>
      </c>
      <c r="J59" s="343">
        <v>1000</v>
      </c>
      <c r="K59" s="8">
        <f t="shared" si="0"/>
        <v>-99</v>
      </c>
      <c r="L59" s="224" t="s">
        <v>545</v>
      </c>
    </row>
    <row r="60" spans="1:13" ht="33.75" x14ac:dyDescent="0.25">
      <c r="A60" s="1"/>
      <c r="B60" s="1"/>
      <c r="C60" s="1"/>
      <c r="D60" s="1"/>
      <c r="E60" s="1"/>
      <c r="F60" s="1" t="s">
        <v>251</v>
      </c>
      <c r="G60" s="233">
        <v>12964</v>
      </c>
      <c r="H60" s="29">
        <v>8600</v>
      </c>
      <c r="I60" s="16">
        <v>0</v>
      </c>
      <c r="J60" s="122">
        <f>I60</f>
        <v>0</v>
      </c>
      <c r="K60" s="8">
        <f t="shared" si="0"/>
        <v>0</v>
      </c>
      <c r="M60" s="17" t="s">
        <v>319</v>
      </c>
    </row>
    <row r="61" spans="1:13" x14ac:dyDescent="0.25">
      <c r="A61" s="1"/>
      <c r="B61" s="1"/>
      <c r="C61" s="1"/>
      <c r="D61" s="1"/>
      <c r="E61" s="1"/>
      <c r="F61" s="1" t="s">
        <v>250</v>
      </c>
      <c r="G61" s="233">
        <v>404.18</v>
      </c>
      <c r="H61" s="29">
        <v>600</v>
      </c>
      <c r="I61" s="16">
        <v>1088</v>
      </c>
      <c r="J61" s="122">
        <v>1100</v>
      </c>
      <c r="K61" s="8">
        <f t="shared" si="0"/>
        <v>12</v>
      </c>
      <c r="L61" s="224" t="s">
        <v>548</v>
      </c>
    </row>
    <row r="62" spans="1:13" ht="23.25" thickBot="1" x14ac:dyDescent="0.3">
      <c r="A62" s="1"/>
      <c r="B62" s="1"/>
      <c r="C62" s="1"/>
      <c r="D62" s="1"/>
      <c r="E62" s="1"/>
      <c r="F62" s="1" t="s">
        <v>249</v>
      </c>
      <c r="G62" s="234">
        <v>8320</v>
      </c>
      <c r="H62" s="235">
        <v>600</v>
      </c>
      <c r="I62" s="25">
        <v>1355</v>
      </c>
      <c r="J62" s="342">
        <v>1000</v>
      </c>
      <c r="K62" s="11">
        <f t="shared" si="0"/>
        <v>-355</v>
      </c>
      <c r="L62" s="224" t="s">
        <v>545</v>
      </c>
    </row>
    <row r="63" spans="1:13" ht="22.5" x14ac:dyDescent="0.25">
      <c r="A63" s="1"/>
      <c r="B63" s="1"/>
      <c r="C63" s="1"/>
      <c r="D63" s="1"/>
      <c r="E63" s="1" t="s">
        <v>248</v>
      </c>
      <c r="F63" s="1"/>
      <c r="G63" s="233">
        <f>ROUND(SUM(G57:G62),5)</f>
        <v>22173.18</v>
      </c>
      <c r="H63" s="233">
        <f>ROUND(SUM(H57:H62),5)</f>
        <v>11000</v>
      </c>
      <c r="I63" s="16">
        <f>ROUND(SUM(I57:I62),5)</f>
        <v>3542</v>
      </c>
      <c r="J63" s="122">
        <f>ROUND(SUM(J57:J62),5)</f>
        <v>4100</v>
      </c>
      <c r="K63" s="8">
        <f t="shared" si="0"/>
        <v>558</v>
      </c>
      <c r="M63" s="17" t="s">
        <v>313</v>
      </c>
    </row>
    <row r="64" spans="1:13" x14ac:dyDescent="0.25">
      <c r="A64" s="1"/>
      <c r="B64" s="1"/>
      <c r="C64" s="1"/>
      <c r="D64" s="1"/>
      <c r="E64" s="1" t="s">
        <v>247</v>
      </c>
      <c r="F64" s="1"/>
      <c r="G64" s="233"/>
      <c r="H64" s="29"/>
      <c r="I64" s="16"/>
      <c r="J64" s="122"/>
      <c r="K64" s="8"/>
    </row>
    <row r="65" spans="1:13" x14ac:dyDescent="0.25">
      <c r="A65" s="1"/>
      <c r="B65" s="1"/>
      <c r="C65" s="1"/>
      <c r="D65" s="1"/>
      <c r="E65" s="1"/>
      <c r="F65" s="1" t="s">
        <v>246</v>
      </c>
      <c r="G65" s="233">
        <v>5064</v>
      </c>
      <c r="H65" s="29">
        <v>6000</v>
      </c>
      <c r="I65" s="16">
        <v>5000</v>
      </c>
      <c r="J65" s="343">
        <v>6200</v>
      </c>
      <c r="K65" s="8">
        <f t="shared" si="0"/>
        <v>1200</v>
      </c>
    </row>
    <row r="66" spans="1:13" ht="15.75" thickBot="1" x14ac:dyDescent="0.3">
      <c r="A66" s="1"/>
      <c r="B66" s="1"/>
      <c r="C66" s="1"/>
      <c r="D66" s="1"/>
      <c r="E66" s="1"/>
      <c r="F66" s="1" t="s">
        <v>245</v>
      </c>
      <c r="G66" s="234">
        <v>12907</v>
      </c>
      <c r="H66" s="235">
        <v>8000</v>
      </c>
      <c r="I66" s="25">
        <v>12000</v>
      </c>
      <c r="J66" s="342">
        <v>6500</v>
      </c>
      <c r="K66" s="11">
        <f t="shared" si="0"/>
        <v>-5500</v>
      </c>
    </row>
    <row r="67" spans="1:13" x14ac:dyDescent="0.25">
      <c r="A67" s="1"/>
      <c r="B67" s="1"/>
      <c r="C67" s="1"/>
      <c r="D67" s="1"/>
      <c r="E67" s="1" t="s">
        <v>244</v>
      </c>
      <c r="F67" s="1"/>
      <c r="G67" s="233">
        <f>ROUND(SUM(G64:G66),5)</f>
        <v>17971</v>
      </c>
      <c r="H67" s="29">
        <f>ROUND(SUM(H64:H66),5)</f>
        <v>14000</v>
      </c>
      <c r="I67" s="16">
        <f>ROUND(SUM(I64:I66),5)</f>
        <v>17000</v>
      </c>
      <c r="J67" s="122">
        <f>ROUND(SUM(J64:J66),5)</f>
        <v>12700</v>
      </c>
      <c r="K67" s="8">
        <f t="shared" si="0"/>
        <v>-4300</v>
      </c>
    </row>
    <row r="68" spans="1:13" x14ac:dyDescent="0.25">
      <c r="A68" s="1"/>
      <c r="B68" s="1"/>
      <c r="C68" s="1"/>
      <c r="D68" s="1"/>
      <c r="E68" s="1" t="s">
        <v>243</v>
      </c>
      <c r="F68" s="1"/>
      <c r="G68" s="233"/>
      <c r="H68" s="29"/>
      <c r="I68" s="16"/>
      <c r="J68" s="122"/>
      <c r="K68" s="8"/>
    </row>
    <row r="69" spans="1:13" ht="33.75" x14ac:dyDescent="0.25">
      <c r="A69" s="1"/>
      <c r="B69" s="1"/>
      <c r="C69" s="1"/>
      <c r="D69" s="1"/>
      <c r="E69" s="1"/>
      <c r="F69" s="1" t="s">
        <v>242</v>
      </c>
      <c r="G69" s="233">
        <v>73</v>
      </c>
      <c r="H69" s="29">
        <v>2000</v>
      </c>
      <c r="I69" s="16">
        <v>0</v>
      </c>
      <c r="J69" s="122">
        <v>1000</v>
      </c>
      <c r="K69" s="8">
        <f t="shared" si="0"/>
        <v>1000</v>
      </c>
      <c r="L69" s="224" t="s">
        <v>546</v>
      </c>
    </row>
    <row r="70" spans="1:13" x14ac:dyDescent="0.25">
      <c r="A70" s="1"/>
      <c r="B70" s="1"/>
      <c r="C70" s="1"/>
      <c r="D70" s="1"/>
      <c r="E70" s="1"/>
      <c r="F70" s="1" t="s">
        <v>241</v>
      </c>
      <c r="G70" s="233">
        <v>1113.1500000000001</v>
      </c>
      <c r="H70" s="29">
        <v>7000</v>
      </c>
      <c r="I70" s="16">
        <v>0</v>
      </c>
      <c r="J70" s="122">
        <v>1000</v>
      </c>
      <c r="K70" s="8">
        <f t="shared" si="0"/>
        <v>1000</v>
      </c>
      <c r="L70" s="224" t="s">
        <v>547</v>
      </c>
    </row>
    <row r="71" spans="1:13" x14ac:dyDescent="0.25">
      <c r="A71" s="1"/>
      <c r="B71" s="1"/>
      <c r="C71" s="1"/>
      <c r="D71" s="1"/>
      <c r="E71" s="1"/>
      <c r="F71" s="1" t="s">
        <v>240</v>
      </c>
      <c r="G71" s="233">
        <v>404.18</v>
      </c>
      <c r="H71" s="29">
        <v>7000</v>
      </c>
      <c r="I71" s="16">
        <v>426</v>
      </c>
      <c r="J71" s="122">
        <v>500</v>
      </c>
      <c r="K71" s="8">
        <f t="shared" si="0"/>
        <v>74</v>
      </c>
      <c r="L71" s="224"/>
    </row>
    <row r="72" spans="1:13" ht="15.75" thickBot="1" x14ac:dyDescent="0.3">
      <c r="A72" s="1"/>
      <c r="B72" s="1"/>
      <c r="C72" s="1"/>
      <c r="D72" s="1"/>
      <c r="E72" s="1"/>
      <c r="F72" s="1" t="s">
        <v>239</v>
      </c>
      <c r="G72" s="234">
        <v>4740</v>
      </c>
      <c r="H72" s="235">
        <v>7000</v>
      </c>
      <c r="I72" s="25">
        <v>3537</v>
      </c>
      <c r="J72" s="123">
        <v>1500</v>
      </c>
      <c r="K72" s="11">
        <f t="shared" si="0"/>
        <v>-2037</v>
      </c>
      <c r="L72" s="224" t="s">
        <v>544</v>
      </c>
    </row>
    <row r="73" spans="1:13" ht="22.5" x14ac:dyDescent="0.25">
      <c r="A73" s="1"/>
      <c r="B73" s="1"/>
      <c r="C73" s="1"/>
      <c r="D73" s="1"/>
      <c r="E73" s="1" t="s">
        <v>238</v>
      </c>
      <c r="F73" s="1"/>
      <c r="G73" s="233">
        <f>ROUND(SUM(G68:G72),5)</f>
        <v>6330.33</v>
      </c>
      <c r="H73" s="233">
        <f>ROUND(SUM(H68:H72),5)</f>
        <v>23000</v>
      </c>
      <c r="I73" s="16">
        <f>ROUND(SUM(I68:I72),5)</f>
        <v>3963</v>
      </c>
      <c r="J73" s="122">
        <v>3500</v>
      </c>
      <c r="K73" s="8">
        <f t="shared" si="0"/>
        <v>-463</v>
      </c>
      <c r="M73" s="17" t="s">
        <v>315</v>
      </c>
    </row>
    <row r="74" spans="1:13" x14ac:dyDescent="0.25">
      <c r="A74" s="1"/>
      <c r="B74" s="1"/>
      <c r="C74" s="1"/>
      <c r="D74" s="1"/>
      <c r="E74" s="1" t="s">
        <v>237</v>
      </c>
      <c r="F74" s="1"/>
      <c r="G74" s="233"/>
      <c r="H74" s="233"/>
      <c r="I74" s="16"/>
      <c r="J74" s="122"/>
      <c r="K74" s="8"/>
    </row>
    <row r="75" spans="1:13" x14ac:dyDescent="0.25">
      <c r="A75" s="1"/>
      <c r="B75" s="1"/>
      <c r="C75" s="1"/>
      <c r="D75" s="1"/>
      <c r="E75" s="1"/>
      <c r="F75" s="1" t="s">
        <v>497</v>
      </c>
      <c r="G75" s="233">
        <v>2500</v>
      </c>
      <c r="H75" s="233"/>
      <c r="I75" s="16"/>
      <c r="J75" s="122"/>
      <c r="K75" s="8">
        <f t="shared" ref="K75:K137" si="2">J75-I75</f>
        <v>0</v>
      </c>
    </row>
    <row r="76" spans="1:13" ht="22.5" x14ac:dyDescent="0.25">
      <c r="A76" s="1"/>
      <c r="B76" s="1"/>
      <c r="C76" s="1"/>
      <c r="D76" s="1"/>
      <c r="E76" s="1"/>
      <c r="F76" s="1" t="s">
        <v>236</v>
      </c>
      <c r="G76" s="233">
        <v>42.9</v>
      </c>
      <c r="H76" s="233">
        <v>0</v>
      </c>
      <c r="I76" s="16">
        <v>0</v>
      </c>
      <c r="J76" s="343">
        <v>0</v>
      </c>
      <c r="K76" s="8">
        <f t="shared" si="2"/>
        <v>0</v>
      </c>
      <c r="L76" s="224" t="s">
        <v>595</v>
      </c>
    </row>
    <row r="77" spans="1:13" ht="15.75" thickBot="1" x14ac:dyDescent="0.3">
      <c r="A77" s="1"/>
      <c r="B77" s="1"/>
      <c r="C77" s="1"/>
      <c r="D77" s="1"/>
      <c r="E77" s="1"/>
      <c r="F77" s="1" t="s">
        <v>235</v>
      </c>
      <c r="G77" s="234">
        <v>1770</v>
      </c>
      <c r="H77" s="234">
        <v>0</v>
      </c>
      <c r="I77" s="25">
        <v>1750</v>
      </c>
      <c r="J77" s="123">
        <v>0</v>
      </c>
      <c r="K77" s="11">
        <f t="shared" si="2"/>
        <v>-1750</v>
      </c>
      <c r="L77" s="224" t="s">
        <v>581</v>
      </c>
    </row>
    <row r="78" spans="1:13" x14ac:dyDescent="0.25">
      <c r="A78" s="1"/>
      <c r="B78" s="1"/>
      <c r="C78" s="1"/>
      <c r="D78" s="1"/>
      <c r="E78" s="1" t="s">
        <v>234</v>
      </c>
      <c r="F78" s="1"/>
      <c r="G78" s="233">
        <f>ROUND(SUM(G75:G77),5)</f>
        <v>4312.8999999999996</v>
      </c>
      <c r="H78" s="233">
        <f>ROUND(SUM(H74:H77),5)</f>
        <v>0</v>
      </c>
      <c r="I78" s="16">
        <f>ROUND(SUM(I74:I77),5)</f>
        <v>1750</v>
      </c>
      <c r="J78" s="122">
        <f>ROUND(SUM(J74:J77),5)</f>
        <v>0</v>
      </c>
      <c r="K78" s="8">
        <f t="shared" si="2"/>
        <v>-1750</v>
      </c>
    </row>
    <row r="79" spans="1:13" x14ac:dyDescent="0.25">
      <c r="A79" s="1"/>
      <c r="B79" s="1"/>
      <c r="C79" s="1"/>
      <c r="D79" s="1"/>
      <c r="E79" s="1" t="s">
        <v>233</v>
      </c>
      <c r="F79" s="1"/>
      <c r="G79" s="233"/>
      <c r="H79" s="233"/>
      <c r="I79" s="16"/>
      <c r="J79" s="122"/>
      <c r="K79" s="8"/>
      <c r="L79" s="17" t="s">
        <v>412</v>
      </c>
    </row>
    <row r="80" spans="1:13" ht="22.5" x14ac:dyDescent="0.25">
      <c r="A80" s="1"/>
      <c r="B80" s="1"/>
      <c r="C80" s="1"/>
      <c r="D80" s="1"/>
      <c r="E80" s="1"/>
      <c r="F80" s="1" t="s">
        <v>232</v>
      </c>
      <c r="G80" s="233">
        <v>4210</v>
      </c>
      <c r="H80" s="29">
        <v>7000</v>
      </c>
      <c r="I80" s="16">
        <v>10403</v>
      </c>
      <c r="J80" s="343">
        <v>5000</v>
      </c>
      <c r="K80" s="8">
        <f t="shared" si="2"/>
        <v>-5403</v>
      </c>
      <c r="L80" s="224" t="s">
        <v>550</v>
      </c>
    </row>
    <row r="81" spans="1:13" x14ac:dyDescent="0.25">
      <c r="A81" s="1"/>
      <c r="B81" s="1"/>
      <c r="C81" s="1"/>
      <c r="D81" s="1"/>
      <c r="E81" s="1"/>
      <c r="F81" s="1" t="s">
        <v>231</v>
      </c>
      <c r="G81" s="233">
        <v>5672</v>
      </c>
      <c r="H81" s="29">
        <v>7000</v>
      </c>
      <c r="I81" s="16">
        <v>8892</v>
      </c>
      <c r="J81" s="343">
        <v>7000</v>
      </c>
      <c r="K81" s="8">
        <f t="shared" si="2"/>
        <v>-1892</v>
      </c>
      <c r="L81" s="224" t="s">
        <v>551</v>
      </c>
    </row>
    <row r="82" spans="1:13" x14ac:dyDescent="0.25">
      <c r="A82" s="1"/>
      <c r="B82" s="1"/>
      <c r="C82" s="1"/>
      <c r="D82" s="1"/>
      <c r="E82" s="1"/>
      <c r="F82" s="1" t="s">
        <v>230</v>
      </c>
      <c r="G82" s="233">
        <v>4832</v>
      </c>
      <c r="H82" s="29">
        <v>7000</v>
      </c>
      <c r="I82" s="16">
        <v>4176</v>
      </c>
      <c r="J82" s="343">
        <v>3000</v>
      </c>
      <c r="K82" s="8">
        <f t="shared" si="2"/>
        <v>-1176</v>
      </c>
      <c r="L82" s="224" t="s">
        <v>552</v>
      </c>
    </row>
    <row r="83" spans="1:13" ht="15.75" thickBot="1" x14ac:dyDescent="0.3">
      <c r="A83" s="1"/>
      <c r="B83" s="1"/>
      <c r="C83" s="1"/>
      <c r="D83" s="1"/>
      <c r="E83" s="1"/>
      <c r="F83" s="1" t="s">
        <v>229</v>
      </c>
      <c r="G83" s="234">
        <v>1518</v>
      </c>
      <c r="H83" s="235">
        <v>2000</v>
      </c>
      <c r="I83" s="25">
        <v>19294</v>
      </c>
      <c r="J83" s="123">
        <v>20000</v>
      </c>
      <c r="K83" s="11">
        <f t="shared" si="2"/>
        <v>706</v>
      </c>
      <c r="L83" s="224" t="s">
        <v>549</v>
      </c>
    </row>
    <row r="84" spans="1:13" ht="22.5" x14ac:dyDescent="0.25">
      <c r="A84" s="1"/>
      <c r="B84" s="1"/>
      <c r="C84" s="1"/>
      <c r="D84" s="1"/>
      <c r="E84" s="1" t="s">
        <v>228</v>
      </c>
      <c r="F84" s="1"/>
      <c r="G84" s="233">
        <f>ROUND(SUM(G79:G83),5)</f>
        <v>16232</v>
      </c>
      <c r="H84" s="233">
        <f>ROUND(SUM(H79:H83),5)</f>
        <v>23000</v>
      </c>
      <c r="I84" s="16">
        <f>ROUND(SUM(I79:I83),5)</f>
        <v>42765</v>
      </c>
      <c r="J84" s="122">
        <f>ROUND(SUM(J79:J83),5)</f>
        <v>35000</v>
      </c>
      <c r="K84" s="8">
        <f t="shared" si="2"/>
        <v>-7765</v>
      </c>
      <c r="M84" s="17" t="s">
        <v>314</v>
      </c>
    </row>
    <row r="85" spans="1:13" x14ac:dyDescent="0.25">
      <c r="A85" s="1"/>
      <c r="B85" s="1"/>
      <c r="C85" s="1"/>
      <c r="D85" s="1"/>
      <c r="E85" s="1" t="s">
        <v>227</v>
      </c>
      <c r="F85" s="1"/>
      <c r="G85" s="233"/>
      <c r="H85" s="233"/>
      <c r="I85" s="16"/>
      <c r="J85" s="122"/>
      <c r="K85" s="8"/>
    </row>
    <row r="86" spans="1:13" x14ac:dyDescent="0.25">
      <c r="A86" s="1"/>
      <c r="B86" s="1"/>
      <c r="C86" s="1"/>
      <c r="D86" s="1"/>
      <c r="E86" s="1"/>
      <c r="F86" s="1" t="s">
        <v>226</v>
      </c>
      <c r="G86" s="233">
        <v>2458</v>
      </c>
      <c r="H86" s="29">
        <v>0</v>
      </c>
      <c r="I86" s="16">
        <v>1275</v>
      </c>
      <c r="J86" s="343">
        <v>2000</v>
      </c>
      <c r="K86" s="8">
        <f t="shared" si="2"/>
        <v>725</v>
      </c>
      <c r="L86" s="224" t="s">
        <v>558</v>
      </c>
    </row>
    <row r="87" spans="1:13" ht="22.5" x14ac:dyDescent="0.25">
      <c r="A87" s="1"/>
      <c r="B87" s="1"/>
      <c r="C87" s="1"/>
      <c r="D87" s="1"/>
      <c r="E87" s="1"/>
      <c r="F87" s="1" t="s">
        <v>225</v>
      </c>
      <c r="G87" s="233">
        <v>5122</v>
      </c>
      <c r="H87" s="29">
        <v>0</v>
      </c>
      <c r="I87" s="16">
        <v>602</v>
      </c>
      <c r="J87" s="343">
        <v>5000</v>
      </c>
      <c r="K87" s="8">
        <f t="shared" si="2"/>
        <v>4398</v>
      </c>
      <c r="L87" s="224" t="s">
        <v>553</v>
      </c>
      <c r="M87" s="17" t="s">
        <v>316</v>
      </c>
    </row>
    <row r="88" spans="1:13" ht="15.75" thickBot="1" x14ac:dyDescent="0.3">
      <c r="A88" s="1"/>
      <c r="B88" s="1"/>
      <c r="C88" s="1"/>
      <c r="D88" s="1"/>
      <c r="E88" s="1"/>
      <c r="F88" s="1" t="s">
        <v>224</v>
      </c>
      <c r="G88" s="234">
        <v>76</v>
      </c>
      <c r="H88" s="235">
        <v>0</v>
      </c>
      <c r="I88" s="25">
        <v>0</v>
      </c>
      <c r="J88" s="123">
        <f>I88</f>
        <v>0</v>
      </c>
      <c r="K88" s="11">
        <f t="shared" si="2"/>
        <v>0</v>
      </c>
    </row>
    <row r="89" spans="1:13" x14ac:dyDescent="0.25">
      <c r="A89" s="1"/>
      <c r="B89" s="1"/>
      <c r="C89" s="1"/>
      <c r="D89" s="1"/>
      <c r="E89" s="1" t="s">
        <v>223</v>
      </c>
      <c r="F89" s="1"/>
      <c r="G89" s="233">
        <f>ROUND(SUM(G85:G88),5)</f>
        <v>7656</v>
      </c>
      <c r="H89" s="29">
        <f>ROUND(SUM(H85:H88),5)</f>
        <v>0</v>
      </c>
      <c r="I89" s="16">
        <f>ROUND(SUM(I85:I88),5)</f>
        <v>1877</v>
      </c>
      <c r="J89" s="122">
        <f>ROUND(SUM(J85:J88),5)</f>
        <v>7000</v>
      </c>
      <c r="K89" s="8">
        <f t="shared" si="2"/>
        <v>5123</v>
      </c>
    </row>
    <row r="90" spans="1:13" x14ac:dyDescent="0.25">
      <c r="A90" s="1"/>
      <c r="B90" s="1"/>
      <c r="C90" s="1"/>
      <c r="D90" s="1"/>
      <c r="E90" s="1" t="s">
        <v>222</v>
      </c>
      <c r="F90" s="1"/>
      <c r="G90" s="233"/>
      <c r="H90" s="29"/>
      <c r="I90" s="16"/>
      <c r="J90" s="122"/>
      <c r="K90" s="8"/>
    </row>
    <row r="91" spans="1:13" ht="22.5" x14ac:dyDescent="0.25">
      <c r="A91" s="1"/>
      <c r="B91" s="1"/>
      <c r="C91" s="1"/>
      <c r="D91" s="1"/>
      <c r="E91" s="1"/>
      <c r="F91" s="1" t="s">
        <v>221</v>
      </c>
      <c r="G91" s="233">
        <v>0</v>
      </c>
      <c r="H91" s="29">
        <v>500</v>
      </c>
      <c r="I91" s="16">
        <v>0</v>
      </c>
      <c r="J91" s="122">
        <f>I91</f>
        <v>0</v>
      </c>
      <c r="K91" s="8">
        <f t="shared" si="2"/>
        <v>0</v>
      </c>
      <c r="M91" s="17" t="s">
        <v>317</v>
      </c>
    </row>
    <row r="92" spans="1:13" ht="23.25" thickBot="1" x14ac:dyDescent="0.3">
      <c r="A92" s="1"/>
      <c r="B92" s="1"/>
      <c r="C92" s="1"/>
      <c r="D92" s="1"/>
      <c r="E92" s="1"/>
      <c r="F92" s="1" t="s">
        <v>220</v>
      </c>
      <c r="G92" s="236">
        <v>7008</v>
      </c>
      <c r="H92" s="237">
        <v>0</v>
      </c>
      <c r="I92" s="26">
        <v>4200</v>
      </c>
      <c r="J92" s="124">
        <f>I92</f>
        <v>4200</v>
      </c>
      <c r="K92" s="12">
        <f t="shared" si="2"/>
        <v>0</v>
      </c>
      <c r="L92" s="17" t="s">
        <v>418</v>
      </c>
    </row>
    <row r="93" spans="1:13" ht="15.75" thickBot="1" x14ac:dyDescent="0.3">
      <c r="A93" s="1"/>
      <c r="B93" s="1"/>
      <c r="C93" s="1"/>
      <c r="D93" s="1"/>
      <c r="E93" s="1" t="s">
        <v>219</v>
      </c>
      <c r="F93" s="1"/>
      <c r="G93" s="238">
        <f>ROUND(SUM(G90:G92),5)</f>
        <v>7008</v>
      </c>
      <c r="H93" s="239">
        <f>ROUND(SUM(H90:H92),5)</f>
        <v>500</v>
      </c>
      <c r="I93" s="24">
        <v>776</v>
      </c>
      <c r="J93" s="125">
        <v>1000</v>
      </c>
      <c r="K93" s="9">
        <f t="shared" si="2"/>
        <v>224</v>
      </c>
    </row>
    <row r="94" spans="1:13" x14ac:dyDescent="0.25">
      <c r="A94" s="1"/>
      <c r="B94" s="1"/>
      <c r="C94" s="1"/>
      <c r="D94" s="1" t="s">
        <v>218</v>
      </c>
      <c r="E94" s="1"/>
      <c r="F94" s="1"/>
      <c r="G94" s="233">
        <f>ROUND(G52+G56+G63+G67+G73+G78+G84+G89+G93,5)</f>
        <v>85331.16</v>
      </c>
      <c r="H94" s="29">
        <f>ROUND(H52+H56+H63+H67+H73+H78+H84+H89+H93,5)</f>
        <v>77500</v>
      </c>
      <c r="I94" s="16">
        <f>ROUND(I52+I56+I63+I67+I73+I78+I84+I89+I93,5)</f>
        <v>76971.91</v>
      </c>
      <c r="J94" s="122">
        <f>ROUND(J52+J56+J63+J67+J73+J78+J84+J89+J93,5)</f>
        <v>68300</v>
      </c>
      <c r="K94" s="8">
        <f t="shared" si="2"/>
        <v>-8671.9100000000035</v>
      </c>
    </row>
    <row r="95" spans="1:13" x14ac:dyDescent="0.25">
      <c r="A95" s="1"/>
      <c r="B95" s="1"/>
      <c r="C95" s="1"/>
      <c r="D95" s="1" t="s">
        <v>217</v>
      </c>
      <c r="E95" s="1"/>
      <c r="F95" s="1"/>
      <c r="G95" s="233"/>
      <c r="H95" s="29"/>
      <c r="I95" s="16"/>
      <c r="J95" s="122"/>
      <c r="K95" s="8"/>
    </row>
    <row r="96" spans="1:13" ht="15.75" thickBot="1" x14ac:dyDescent="0.3">
      <c r="A96" s="1"/>
      <c r="B96" s="1"/>
      <c r="C96" s="1"/>
      <c r="D96" s="1"/>
      <c r="E96" s="1" t="s">
        <v>216</v>
      </c>
      <c r="F96" s="1"/>
      <c r="G96" s="234">
        <v>0</v>
      </c>
      <c r="H96" s="235">
        <v>3000</v>
      </c>
      <c r="I96" s="25">
        <v>0</v>
      </c>
      <c r="J96" s="123">
        <f>I96</f>
        <v>0</v>
      </c>
      <c r="K96" s="11">
        <f t="shared" si="2"/>
        <v>0</v>
      </c>
    </row>
    <row r="97" spans="1:12" x14ac:dyDescent="0.25">
      <c r="A97" s="1"/>
      <c r="B97" s="1"/>
      <c r="C97" s="1"/>
      <c r="D97" s="1" t="s">
        <v>215</v>
      </c>
      <c r="E97" s="1"/>
      <c r="F97" s="1"/>
      <c r="G97" s="233">
        <f>ROUND(SUM(G95:G96),5)</f>
        <v>0</v>
      </c>
      <c r="H97" s="233">
        <f>ROUND(SUM(H95:H96),5)</f>
        <v>3000</v>
      </c>
      <c r="I97" s="16">
        <f>ROUND(SUM(I95:I96),5)</f>
        <v>0</v>
      </c>
      <c r="J97" s="122">
        <f>ROUND(SUM(J95:J96),5)</f>
        <v>0</v>
      </c>
      <c r="K97" s="8">
        <f t="shared" si="2"/>
        <v>0</v>
      </c>
    </row>
    <row r="98" spans="1:12" x14ac:dyDescent="0.25">
      <c r="A98" s="1"/>
      <c r="B98" s="1"/>
      <c r="C98" s="1"/>
      <c r="D98" s="1" t="s">
        <v>214</v>
      </c>
      <c r="E98" s="1"/>
      <c r="F98" s="1"/>
      <c r="G98" s="233"/>
      <c r="H98" s="233"/>
      <c r="I98" s="16"/>
      <c r="J98" s="122"/>
      <c r="K98" s="8"/>
    </row>
    <row r="99" spans="1:12" x14ac:dyDescent="0.25">
      <c r="A99" s="1"/>
      <c r="B99" s="1"/>
      <c r="C99" s="1"/>
      <c r="D99" s="1"/>
      <c r="E99" s="1" t="s">
        <v>213</v>
      </c>
      <c r="F99" s="1"/>
      <c r="G99" s="233">
        <v>9188.25</v>
      </c>
      <c r="H99" s="29">
        <v>4000</v>
      </c>
      <c r="I99" s="16">
        <v>4000</v>
      </c>
      <c r="J99" s="343">
        <v>6000</v>
      </c>
      <c r="K99" s="8">
        <f t="shared" si="2"/>
        <v>2000</v>
      </c>
      <c r="L99" s="224" t="s">
        <v>554</v>
      </c>
    </row>
    <row r="100" spans="1:12" x14ac:dyDescent="0.25">
      <c r="A100" s="1"/>
      <c r="B100" s="1"/>
      <c r="C100" s="1"/>
      <c r="D100" s="1"/>
      <c r="E100" s="1" t="s">
        <v>498</v>
      </c>
      <c r="F100" s="341"/>
      <c r="G100" s="233">
        <v>2170</v>
      </c>
      <c r="H100" s="29"/>
      <c r="I100" s="16"/>
      <c r="J100" s="122"/>
      <c r="K100" s="8">
        <f t="shared" si="2"/>
        <v>0</v>
      </c>
    </row>
    <row r="101" spans="1:12" x14ac:dyDescent="0.25">
      <c r="A101" s="1"/>
      <c r="B101" s="1"/>
      <c r="C101" s="1"/>
      <c r="D101" s="1"/>
      <c r="E101" s="1" t="s">
        <v>212</v>
      </c>
      <c r="F101" s="1"/>
      <c r="G101" s="233">
        <v>1075</v>
      </c>
      <c r="H101" s="29">
        <v>254</v>
      </c>
      <c r="I101" s="16">
        <v>1069</v>
      </c>
      <c r="J101" s="122">
        <v>1100</v>
      </c>
      <c r="K101" s="8">
        <f t="shared" si="2"/>
        <v>31</v>
      </c>
    </row>
    <row r="102" spans="1:12" x14ac:dyDescent="0.25">
      <c r="A102" s="1"/>
      <c r="B102" s="1"/>
      <c r="C102" s="1"/>
      <c r="D102" s="1"/>
      <c r="E102" s="1" t="s">
        <v>211</v>
      </c>
      <c r="F102" s="1"/>
      <c r="G102" s="233"/>
      <c r="H102" s="233"/>
      <c r="I102" s="16"/>
      <c r="J102" s="122">
        <f>I102</f>
        <v>0</v>
      </c>
      <c r="K102" s="8">
        <f t="shared" si="2"/>
        <v>0</v>
      </c>
    </row>
    <row r="103" spans="1:12" x14ac:dyDescent="0.25">
      <c r="A103" s="1"/>
      <c r="B103" s="1"/>
      <c r="C103" s="1"/>
      <c r="D103" s="1"/>
      <c r="E103" s="1"/>
      <c r="F103" s="1" t="s">
        <v>210</v>
      </c>
      <c r="G103" s="233">
        <v>1855</v>
      </c>
      <c r="H103" s="233">
        <v>0</v>
      </c>
      <c r="I103" s="16">
        <v>6843</v>
      </c>
      <c r="J103" s="343">
        <v>4000</v>
      </c>
      <c r="K103" s="8">
        <f t="shared" si="2"/>
        <v>-2843</v>
      </c>
      <c r="L103" s="224" t="s">
        <v>555</v>
      </c>
    </row>
    <row r="104" spans="1:12" x14ac:dyDescent="0.25">
      <c r="A104" s="1"/>
      <c r="B104" s="1"/>
      <c r="C104" s="1"/>
      <c r="D104" s="1"/>
      <c r="E104" s="1"/>
      <c r="F104" s="1" t="s">
        <v>209</v>
      </c>
      <c r="G104" s="233">
        <v>338</v>
      </c>
      <c r="H104" s="233">
        <v>0</v>
      </c>
      <c r="I104" s="16">
        <v>0</v>
      </c>
      <c r="J104" s="343">
        <f>I104</f>
        <v>0</v>
      </c>
      <c r="K104" s="8">
        <f t="shared" si="2"/>
        <v>0</v>
      </c>
    </row>
    <row r="105" spans="1:12" ht="15.75" thickBot="1" x14ac:dyDescent="0.3">
      <c r="A105" s="1"/>
      <c r="B105" s="1"/>
      <c r="C105" s="1"/>
      <c r="D105" s="1"/>
      <c r="E105" s="1"/>
      <c r="F105" s="1" t="s">
        <v>208</v>
      </c>
      <c r="G105" s="236"/>
      <c r="H105" s="236">
        <v>0</v>
      </c>
      <c r="I105" s="26">
        <v>0</v>
      </c>
      <c r="J105" s="124">
        <f>I105</f>
        <v>0</v>
      </c>
      <c r="K105" s="12">
        <f t="shared" si="2"/>
        <v>0</v>
      </c>
    </row>
    <row r="106" spans="1:12" ht="15.75" thickBot="1" x14ac:dyDescent="0.3">
      <c r="A106" s="1"/>
      <c r="B106" s="1"/>
      <c r="C106" s="1"/>
      <c r="D106" s="1"/>
      <c r="E106" s="1" t="s">
        <v>207</v>
      </c>
      <c r="F106" s="1"/>
      <c r="G106" s="238">
        <f>ROUND(SUM(G102:G105),5)</f>
        <v>2193</v>
      </c>
      <c r="H106" s="238">
        <f>ROUND(SUM(H102:H105),5)</f>
        <v>0</v>
      </c>
      <c r="I106" s="24">
        <f>ROUND(SUM(I102:I105),5)</f>
        <v>6843</v>
      </c>
      <c r="J106" s="125">
        <f>ROUND(SUM(J102:J105),5)</f>
        <v>4000</v>
      </c>
      <c r="K106" s="9">
        <f t="shared" si="2"/>
        <v>-2843</v>
      </c>
    </row>
    <row r="107" spans="1:12" x14ac:dyDescent="0.25">
      <c r="A107" s="1"/>
      <c r="B107" s="1"/>
      <c r="C107" s="1"/>
      <c r="D107" s="1" t="s">
        <v>206</v>
      </c>
      <c r="E107" s="1"/>
      <c r="F107" s="1"/>
      <c r="G107" s="233">
        <f>ROUND(SUM(G98:G101)+G106,5)</f>
        <v>14626.25</v>
      </c>
      <c r="H107" s="233">
        <f>ROUND(SUM(H98:H101)+H106,5)</f>
        <v>4254</v>
      </c>
      <c r="I107" s="16">
        <f>ROUND(SUM(I98:I101)+I106,5)</f>
        <v>11912</v>
      </c>
      <c r="J107" s="122">
        <f>ROUND(SUM(J98:J101)+J106,5)</f>
        <v>11100</v>
      </c>
      <c r="K107" s="8">
        <f t="shared" si="2"/>
        <v>-812</v>
      </c>
    </row>
    <row r="108" spans="1:12" x14ac:dyDescent="0.25">
      <c r="A108" s="1"/>
      <c r="B108" s="1"/>
      <c r="C108" s="1"/>
      <c r="D108" s="1" t="s">
        <v>205</v>
      </c>
      <c r="E108" s="1"/>
      <c r="F108" s="1"/>
      <c r="G108" s="233"/>
      <c r="H108" s="233"/>
      <c r="I108" s="16"/>
      <c r="J108" s="122"/>
      <c r="K108" s="8"/>
    </row>
    <row r="109" spans="1:12" ht="22.5" x14ac:dyDescent="0.25">
      <c r="A109" s="1"/>
      <c r="B109" s="1"/>
      <c r="C109" s="1"/>
      <c r="D109" s="1"/>
      <c r="E109" s="1" t="s">
        <v>204</v>
      </c>
      <c r="F109" s="1"/>
      <c r="G109" s="233">
        <v>9724</v>
      </c>
      <c r="H109" s="29">
        <v>1750</v>
      </c>
      <c r="I109" s="16">
        <v>6010</v>
      </c>
      <c r="J109" s="122">
        <v>2000</v>
      </c>
      <c r="K109" s="8">
        <f t="shared" si="2"/>
        <v>-4010</v>
      </c>
      <c r="L109" s="224" t="s">
        <v>556</v>
      </c>
    </row>
    <row r="110" spans="1:12" ht="15.75" thickBot="1" x14ac:dyDescent="0.3">
      <c r="A110" s="1"/>
      <c r="B110" s="1"/>
      <c r="C110" s="1"/>
      <c r="D110" s="1"/>
      <c r="E110" s="1" t="s">
        <v>203</v>
      </c>
      <c r="F110" s="1"/>
      <c r="G110" s="234">
        <v>897</v>
      </c>
      <c r="H110" s="235">
        <v>1750</v>
      </c>
      <c r="I110" s="25">
        <v>112</v>
      </c>
      <c r="J110" s="342">
        <v>500</v>
      </c>
      <c r="K110" s="11">
        <f t="shared" si="2"/>
        <v>388</v>
      </c>
    </row>
    <row r="111" spans="1:12" x14ac:dyDescent="0.25">
      <c r="A111" s="1"/>
      <c r="B111" s="1"/>
      <c r="C111" s="1"/>
      <c r="D111" s="1" t="s">
        <v>202</v>
      </c>
      <c r="E111" s="1"/>
      <c r="F111" s="1"/>
      <c r="G111" s="233">
        <f>ROUND(SUM(G108:G110),5)</f>
        <v>10621</v>
      </c>
      <c r="H111" s="233">
        <f>ROUND(SUM(H108:H110),5)</f>
        <v>3500</v>
      </c>
      <c r="I111" s="16">
        <f>ROUND(SUM(I108:I110),5)</f>
        <v>6122</v>
      </c>
      <c r="J111" s="122">
        <f>ROUND(SUM(J108:J110),5)</f>
        <v>2500</v>
      </c>
      <c r="K111" s="8">
        <f t="shared" si="2"/>
        <v>-3622</v>
      </c>
    </row>
    <row r="112" spans="1:12" x14ac:dyDescent="0.25">
      <c r="A112" s="1"/>
      <c r="B112" s="1"/>
      <c r="C112" s="1"/>
      <c r="D112" s="1" t="s">
        <v>201</v>
      </c>
      <c r="E112" s="1"/>
      <c r="F112" s="1"/>
      <c r="G112" s="233"/>
      <c r="H112" s="233"/>
      <c r="I112" s="16"/>
      <c r="J112" s="122"/>
      <c r="K112" s="8"/>
    </row>
    <row r="113" spans="1:13" x14ac:dyDescent="0.25">
      <c r="A113" s="1"/>
      <c r="B113" s="1"/>
      <c r="C113" s="1"/>
      <c r="D113" s="1"/>
      <c r="E113" s="1" t="s">
        <v>200</v>
      </c>
      <c r="F113" s="1"/>
      <c r="G113" s="233"/>
      <c r="H113" s="233"/>
      <c r="I113" s="16"/>
      <c r="J113" s="122"/>
      <c r="K113" s="8"/>
    </row>
    <row r="114" spans="1:13" x14ac:dyDescent="0.25">
      <c r="A114" s="1"/>
      <c r="B114" s="1"/>
      <c r="C114" s="1"/>
      <c r="D114" s="1"/>
      <c r="E114" s="1"/>
      <c r="F114" s="1" t="s">
        <v>199</v>
      </c>
      <c r="G114" s="233">
        <v>847.51</v>
      </c>
      <c r="H114" s="233">
        <v>0</v>
      </c>
      <c r="I114" s="16">
        <v>0</v>
      </c>
      <c r="J114" s="122">
        <v>0</v>
      </c>
      <c r="K114" s="8">
        <f t="shared" si="2"/>
        <v>0</v>
      </c>
    </row>
    <row r="115" spans="1:13" ht="15.75" thickBot="1" x14ac:dyDescent="0.3">
      <c r="A115" s="1"/>
      <c r="B115" s="1"/>
      <c r="C115" s="1"/>
      <c r="D115" s="1"/>
      <c r="E115" s="1"/>
      <c r="F115" s="1" t="s">
        <v>198</v>
      </c>
      <c r="G115" s="234">
        <v>2790.76</v>
      </c>
      <c r="H115" s="234">
        <v>0</v>
      </c>
      <c r="I115" s="25">
        <v>210</v>
      </c>
      <c r="J115" s="123">
        <v>1000</v>
      </c>
      <c r="K115" s="11">
        <f t="shared" si="2"/>
        <v>790</v>
      </c>
    </row>
    <row r="116" spans="1:13" x14ac:dyDescent="0.25">
      <c r="A116" s="1"/>
      <c r="B116" s="1"/>
      <c r="C116" s="1"/>
      <c r="D116" s="1"/>
      <c r="E116" s="1" t="s">
        <v>197</v>
      </c>
      <c r="F116" s="1"/>
      <c r="G116" s="233">
        <f>ROUND(SUM(G113:G115),5)</f>
        <v>3638.27</v>
      </c>
      <c r="H116" s="233">
        <f>ROUND(SUM(H113:H115),5)</f>
        <v>0</v>
      </c>
      <c r="I116" s="16">
        <f>ROUND(SUM(I113:I115),5)</f>
        <v>210</v>
      </c>
      <c r="J116" s="122">
        <f>ROUND(SUM(J113:J115),5)</f>
        <v>1000</v>
      </c>
      <c r="K116" s="8">
        <f t="shared" si="2"/>
        <v>790</v>
      </c>
    </row>
    <row r="117" spans="1:13" x14ac:dyDescent="0.25">
      <c r="A117" s="1"/>
      <c r="B117" s="1"/>
      <c r="C117" s="1"/>
      <c r="D117" s="1"/>
      <c r="E117" s="1" t="s">
        <v>196</v>
      </c>
      <c r="F117" s="1"/>
      <c r="G117" s="233"/>
      <c r="H117" s="233"/>
      <c r="I117" s="16"/>
      <c r="J117" s="122"/>
      <c r="K117" s="8"/>
    </row>
    <row r="118" spans="1:13" ht="15.75" thickBot="1" x14ac:dyDescent="0.3">
      <c r="A118" s="1"/>
      <c r="B118" s="1"/>
      <c r="C118" s="1"/>
      <c r="D118" s="1"/>
      <c r="E118" s="1"/>
      <c r="F118" s="1" t="s">
        <v>195</v>
      </c>
      <c r="G118" s="234">
        <v>420</v>
      </c>
      <c r="H118" s="234">
        <v>0</v>
      </c>
      <c r="I118" s="25">
        <v>0</v>
      </c>
      <c r="J118" s="123">
        <f>I118</f>
        <v>0</v>
      </c>
      <c r="K118" s="11">
        <f t="shared" si="2"/>
        <v>0</v>
      </c>
    </row>
    <row r="119" spans="1:13" x14ac:dyDescent="0.25">
      <c r="A119" s="1"/>
      <c r="B119" s="1"/>
      <c r="C119" s="1"/>
      <c r="D119" s="1"/>
      <c r="E119" s="1" t="s">
        <v>194</v>
      </c>
      <c r="F119" s="1"/>
      <c r="G119" s="233">
        <f>ROUND(SUM(G117:G118),5)</f>
        <v>420</v>
      </c>
      <c r="H119" s="233">
        <f>ROUND(SUM(H117:H118),5)</f>
        <v>0</v>
      </c>
      <c r="I119" s="16">
        <f>ROUND(SUM(I117:I118),5)</f>
        <v>0</v>
      </c>
      <c r="J119" s="122">
        <f>ROUND(SUM(J117:J118),5)</f>
        <v>0</v>
      </c>
      <c r="K119" s="8">
        <f t="shared" si="2"/>
        <v>0</v>
      </c>
    </row>
    <row r="120" spans="1:13" ht="22.5" x14ac:dyDescent="0.25">
      <c r="A120" s="1"/>
      <c r="B120" s="1"/>
      <c r="C120" s="1"/>
      <c r="D120" s="1"/>
      <c r="E120" s="1" t="s">
        <v>193</v>
      </c>
      <c r="F120" s="1"/>
      <c r="G120" s="233"/>
      <c r="H120" s="233"/>
      <c r="I120" s="16"/>
      <c r="J120" s="122"/>
      <c r="K120" s="8"/>
      <c r="L120" s="17" t="s">
        <v>458</v>
      </c>
    </row>
    <row r="121" spans="1:13" x14ac:dyDescent="0.25">
      <c r="A121" s="1"/>
      <c r="B121" s="1"/>
      <c r="C121" s="1"/>
      <c r="D121" s="1"/>
      <c r="E121" s="1"/>
      <c r="F121" s="1" t="s">
        <v>413</v>
      </c>
      <c r="G121" s="233"/>
      <c r="H121" s="233"/>
      <c r="I121" s="16">
        <v>0</v>
      </c>
      <c r="J121" s="122">
        <f>I121</f>
        <v>0</v>
      </c>
      <c r="K121" s="8">
        <f t="shared" si="2"/>
        <v>0</v>
      </c>
    </row>
    <row r="122" spans="1:13" x14ac:dyDescent="0.25">
      <c r="A122" s="1"/>
      <c r="B122" s="1"/>
      <c r="C122" s="1"/>
      <c r="D122" s="1"/>
      <c r="E122" s="1"/>
      <c r="F122" s="1" t="s">
        <v>414</v>
      </c>
      <c r="G122" s="233"/>
      <c r="H122" s="233"/>
      <c r="I122" s="16">
        <v>0</v>
      </c>
      <c r="J122" s="122">
        <f>I122</f>
        <v>0</v>
      </c>
      <c r="K122" s="8">
        <f t="shared" si="2"/>
        <v>0</v>
      </c>
    </row>
    <row r="123" spans="1:13" x14ac:dyDescent="0.25">
      <c r="A123" s="1"/>
      <c r="B123" s="1"/>
      <c r="C123" s="1"/>
      <c r="D123" s="1"/>
      <c r="E123" s="1"/>
      <c r="F123" s="1" t="s">
        <v>192</v>
      </c>
      <c r="G123" s="236">
        <v>6680</v>
      </c>
      <c r="H123" s="236">
        <v>0</v>
      </c>
      <c r="I123" s="26">
        <v>48.98</v>
      </c>
      <c r="J123" s="344">
        <v>5000</v>
      </c>
      <c r="K123" s="12">
        <f t="shared" si="2"/>
        <v>4951.0200000000004</v>
      </c>
      <c r="L123" s="224" t="s">
        <v>557</v>
      </c>
    </row>
    <row r="124" spans="1:13" ht="15.75" thickBot="1" x14ac:dyDescent="0.3">
      <c r="A124" s="1"/>
      <c r="B124" s="1"/>
      <c r="C124" s="1"/>
      <c r="D124" s="1"/>
      <c r="E124" s="1"/>
      <c r="F124" s="1" t="s">
        <v>415</v>
      </c>
      <c r="G124" s="234">
        <v>5719</v>
      </c>
      <c r="H124" s="234"/>
      <c r="I124" s="25">
        <v>1797</v>
      </c>
      <c r="J124" s="123">
        <v>5000</v>
      </c>
      <c r="K124" s="11">
        <f t="shared" si="2"/>
        <v>3203</v>
      </c>
    </row>
    <row r="125" spans="1:13" x14ac:dyDescent="0.25">
      <c r="A125" s="1"/>
      <c r="B125" s="1"/>
      <c r="C125" s="1"/>
      <c r="D125" s="1"/>
      <c r="E125" s="1"/>
      <c r="F125" s="1" t="s">
        <v>582</v>
      </c>
      <c r="G125" s="236"/>
      <c r="H125" s="236"/>
      <c r="I125" s="26">
        <v>4850</v>
      </c>
      <c r="J125" s="124">
        <v>5000</v>
      </c>
      <c r="K125" s="12"/>
      <c r="L125" s="348"/>
      <c r="M125" s="348"/>
    </row>
    <row r="126" spans="1:13" x14ac:dyDescent="0.25">
      <c r="A126" s="1"/>
      <c r="B126" s="1"/>
      <c r="C126" s="1"/>
      <c r="D126" s="1"/>
      <c r="E126" s="1" t="s">
        <v>191</v>
      </c>
      <c r="F126" s="1"/>
      <c r="G126" s="233">
        <f>ROUND(SUM(G120:G124),5)</f>
        <v>12399</v>
      </c>
      <c r="H126" s="233">
        <f>ROUND(SUM(H120:H124),5)</f>
        <v>0</v>
      </c>
      <c r="I126" s="16">
        <f>ROUND(SUM(I120:I124),5)</f>
        <v>1845.98</v>
      </c>
      <c r="J126" s="122">
        <f>ROUND(SUM(J120:J124),5)</f>
        <v>10000</v>
      </c>
      <c r="K126" s="8">
        <f t="shared" si="2"/>
        <v>8154.02</v>
      </c>
    </row>
    <row r="127" spans="1:13" x14ac:dyDescent="0.25">
      <c r="A127" s="1"/>
      <c r="B127" s="1"/>
      <c r="C127" s="1"/>
      <c r="D127" s="1"/>
      <c r="E127" s="1" t="s">
        <v>190</v>
      </c>
      <c r="F127" s="1"/>
      <c r="G127" s="233"/>
      <c r="H127" s="233"/>
      <c r="I127" s="16"/>
      <c r="J127" s="122"/>
      <c r="K127" s="8"/>
    </row>
    <row r="128" spans="1:13" ht="23.25" thickBot="1" x14ac:dyDescent="0.3">
      <c r="A128" s="1"/>
      <c r="B128" s="1"/>
      <c r="C128" s="1"/>
      <c r="D128" s="1"/>
      <c r="E128" s="1"/>
      <c r="F128" s="1" t="s">
        <v>189</v>
      </c>
      <c r="G128" s="234">
        <v>1178</v>
      </c>
      <c r="H128" s="234">
        <v>0</v>
      </c>
      <c r="I128" s="25">
        <v>40389</v>
      </c>
      <c r="J128" s="342">
        <v>10000</v>
      </c>
      <c r="K128" s="11">
        <f t="shared" si="2"/>
        <v>-30389</v>
      </c>
      <c r="L128" s="224" t="s">
        <v>583</v>
      </c>
    </row>
    <row r="129" spans="1:13" x14ac:dyDescent="0.25">
      <c r="A129" s="1"/>
      <c r="B129" s="1"/>
      <c r="C129" s="1"/>
      <c r="D129" s="1"/>
      <c r="E129" s="1" t="s">
        <v>188</v>
      </c>
      <c r="F129" s="1"/>
      <c r="G129" s="233">
        <f>ROUND(SUM(G127:G128),5)</f>
        <v>1178</v>
      </c>
      <c r="H129" s="233">
        <f>ROUND(SUM(H127:H128),5)</f>
        <v>0</v>
      </c>
      <c r="I129" s="16">
        <f>ROUND(SUM(I127:I128),5)</f>
        <v>40389</v>
      </c>
      <c r="J129" s="122">
        <f>ROUND(SUM(J127:J128),5)</f>
        <v>10000</v>
      </c>
      <c r="K129" s="8">
        <f t="shared" si="2"/>
        <v>-30389</v>
      </c>
    </row>
    <row r="130" spans="1:13" x14ac:dyDescent="0.25">
      <c r="A130" s="1"/>
      <c r="B130" s="1"/>
      <c r="C130" s="1"/>
      <c r="D130" s="1"/>
      <c r="E130" s="1" t="s">
        <v>187</v>
      </c>
      <c r="F130" s="1"/>
      <c r="G130" s="233"/>
      <c r="H130" s="233"/>
      <c r="I130" s="16"/>
      <c r="J130" s="122"/>
      <c r="K130" s="8"/>
    </row>
    <row r="131" spans="1:13" x14ac:dyDescent="0.25">
      <c r="A131" s="1"/>
      <c r="B131" s="1"/>
      <c r="C131" s="1"/>
      <c r="D131" s="1"/>
      <c r="E131" s="1"/>
      <c r="F131" s="1" t="s">
        <v>186</v>
      </c>
      <c r="G131" s="233">
        <v>85</v>
      </c>
      <c r="H131" s="29">
        <v>1500</v>
      </c>
      <c r="I131" s="16">
        <v>5027</v>
      </c>
      <c r="J131" s="122">
        <v>2000</v>
      </c>
      <c r="K131" s="8">
        <f t="shared" si="2"/>
        <v>-3027</v>
      </c>
      <c r="L131" s="17" t="s">
        <v>416</v>
      </c>
    </row>
    <row r="132" spans="1:13" ht="15.75" thickBot="1" x14ac:dyDescent="0.3">
      <c r="A132" s="1"/>
      <c r="B132" s="1"/>
      <c r="C132" s="1"/>
      <c r="D132" s="1"/>
      <c r="E132" s="1"/>
      <c r="F132" s="1" t="s">
        <v>185</v>
      </c>
      <c r="G132" s="236">
        <v>0</v>
      </c>
      <c r="H132" s="237">
        <v>3000</v>
      </c>
      <c r="I132" s="26">
        <v>778</v>
      </c>
      <c r="J132" s="124">
        <v>1000</v>
      </c>
      <c r="K132" s="12">
        <f t="shared" si="2"/>
        <v>222</v>
      </c>
      <c r="L132" s="224" t="s">
        <v>584</v>
      </c>
    </row>
    <row r="133" spans="1:13" ht="15.75" thickBot="1" x14ac:dyDescent="0.3">
      <c r="A133" s="1"/>
      <c r="B133" s="1"/>
      <c r="C133" s="1"/>
      <c r="D133" s="1"/>
      <c r="E133" s="1" t="s">
        <v>184</v>
      </c>
      <c r="F133" s="1"/>
      <c r="G133" s="238">
        <f>ROUND(SUM(G130:G132),5)</f>
        <v>85</v>
      </c>
      <c r="H133" s="239">
        <f>ROUND(SUM(H130:H132),5)</f>
        <v>4500</v>
      </c>
      <c r="I133" s="24">
        <f>ROUND(SUM(I130:I132),5)</f>
        <v>5805</v>
      </c>
      <c r="J133" s="125">
        <f>ROUND(SUM(J130:J132),5)</f>
        <v>3000</v>
      </c>
      <c r="K133" s="9">
        <f t="shared" si="2"/>
        <v>-2805</v>
      </c>
    </row>
    <row r="134" spans="1:13" x14ac:dyDescent="0.25">
      <c r="A134" s="1"/>
      <c r="B134" s="1"/>
      <c r="C134" s="1"/>
      <c r="D134" s="1" t="s">
        <v>183</v>
      </c>
      <c r="E134" s="1"/>
      <c r="F134" s="1"/>
      <c r="G134" s="233">
        <f>ROUND(G112+G116+G119+G126+G129+G133,5)</f>
        <v>17720.27</v>
      </c>
      <c r="H134" s="29">
        <f>ROUND(H112+H116+H119+H126+H129+H133,5)</f>
        <v>4500</v>
      </c>
      <c r="I134" s="16">
        <v>53152</v>
      </c>
      <c r="J134" s="122">
        <v>25000</v>
      </c>
      <c r="K134" s="8"/>
    </row>
    <row r="135" spans="1:13" x14ac:dyDescent="0.25">
      <c r="A135" s="1"/>
      <c r="B135" s="1"/>
      <c r="C135" s="1"/>
      <c r="D135" s="1" t="s">
        <v>182</v>
      </c>
      <c r="E135" s="1"/>
      <c r="F135" s="1"/>
      <c r="G135" s="233"/>
      <c r="H135" s="29"/>
      <c r="I135" s="16"/>
      <c r="J135" s="122"/>
      <c r="K135" s="8">
        <f t="shared" si="2"/>
        <v>0</v>
      </c>
    </row>
    <row r="136" spans="1:13" ht="15.75" thickBot="1" x14ac:dyDescent="0.3">
      <c r="A136" s="1"/>
      <c r="B136" s="1"/>
      <c r="C136" s="1"/>
      <c r="D136" s="1"/>
      <c r="E136" s="1" t="s">
        <v>181</v>
      </c>
      <c r="F136" s="1"/>
      <c r="G136" s="234">
        <v>900</v>
      </c>
      <c r="H136" s="235">
        <v>4680</v>
      </c>
      <c r="I136" s="25">
        <v>3600</v>
      </c>
      <c r="J136" s="123">
        <f>I136</f>
        <v>3600</v>
      </c>
      <c r="K136" s="11">
        <f t="shared" si="2"/>
        <v>0</v>
      </c>
      <c r="L136" s="17" t="s">
        <v>417</v>
      </c>
      <c r="M136" s="17" t="s">
        <v>310</v>
      </c>
    </row>
    <row r="137" spans="1:13" x14ac:dyDescent="0.25">
      <c r="A137" s="1"/>
      <c r="B137" s="1"/>
      <c r="C137" s="1"/>
      <c r="D137" s="1" t="s">
        <v>180</v>
      </c>
      <c r="E137" s="1"/>
      <c r="F137" s="1"/>
      <c r="G137" s="233">
        <f>ROUND(SUM(G135:G136),5)</f>
        <v>900</v>
      </c>
      <c r="H137" s="233">
        <f>ROUND(SUM(H135:H136),5)</f>
        <v>4680</v>
      </c>
      <c r="I137" s="16">
        <f>ROUND(SUM(I135:I136),5)</f>
        <v>3600</v>
      </c>
      <c r="J137" s="122">
        <f>ROUND(SUM(J135:J136),5)</f>
        <v>3600</v>
      </c>
      <c r="K137" s="8">
        <f t="shared" si="2"/>
        <v>0</v>
      </c>
    </row>
    <row r="138" spans="1:13" x14ac:dyDescent="0.25">
      <c r="A138" s="1"/>
      <c r="B138" s="1"/>
      <c r="C138" s="1"/>
      <c r="D138" s="1" t="s">
        <v>179</v>
      </c>
      <c r="E138" s="1"/>
      <c r="F138" s="1"/>
      <c r="G138" s="233"/>
      <c r="H138" s="233"/>
      <c r="I138" s="16"/>
      <c r="J138" s="122"/>
      <c r="K138" s="8"/>
    </row>
    <row r="139" spans="1:13" x14ac:dyDescent="0.25">
      <c r="A139" s="1"/>
      <c r="B139" s="1"/>
      <c r="C139" s="1"/>
      <c r="D139" s="1"/>
      <c r="E139" s="1" t="s">
        <v>178</v>
      </c>
      <c r="F139" s="1"/>
      <c r="G139" s="233">
        <v>2059</v>
      </c>
      <c r="H139" s="29">
        <v>1000</v>
      </c>
      <c r="I139" s="16">
        <v>4731</v>
      </c>
      <c r="J139" s="122">
        <f>I139</f>
        <v>4731</v>
      </c>
      <c r="K139" s="8">
        <f t="shared" ref="K139:K198" si="3">J139-I139</f>
        <v>0</v>
      </c>
    </row>
    <row r="140" spans="1:13" ht="15.75" thickBot="1" x14ac:dyDescent="0.3">
      <c r="A140" s="1"/>
      <c r="B140" s="1"/>
      <c r="C140" s="1"/>
      <c r="D140" s="1"/>
      <c r="E140" s="1" t="s">
        <v>177</v>
      </c>
      <c r="F140" s="1"/>
      <c r="G140" s="234">
        <v>5183</v>
      </c>
      <c r="H140" s="235">
        <v>2500</v>
      </c>
      <c r="I140" s="25">
        <v>5125</v>
      </c>
      <c r="J140" s="123">
        <v>5200</v>
      </c>
      <c r="K140" s="11">
        <f t="shared" si="3"/>
        <v>75</v>
      </c>
    </row>
    <row r="141" spans="1:13" x14ac:dyDescent="0.25">
      <c r="A141" s="1"/>
      <c r="B141" s="1"/>
      <c r="C141" s="1"/>
      <c r="D141" s="1" t="s">
        <v>176</v>
      </c>
      <c r="E141" s="1"/>
      <c r="F141" s="1"/>
      <c r="G141" s="233">
        <f>ROUND(SUM(G138:G140),5)</f>
        <v>7242</v>
      </c>
      <c r="H141" s="29">
        <f>ROUND(SUM(H138:H140),5)</f>
        <v>3500</v>
      </c>
      <c r="I141" s="16">
        <f>ROUND(SUM(I138:I140),5)</f>
        <v>9856</v>
      </c>
      <c r="J141" s="122">
        <f>ROUND(SUM(J138:J140),5)</f>
        <v>9931</v>
      </c>
      <c r="K141" s="8">
        <f t="shared" si="3"/>
        <v>75</v>
      </c>
    </row>
    <row r="142" spans="1:13" x14ac:dyDescent="0.25">
      <c r="A142" s="1"/>
      <c r="B142" s="1"/>
      <c r="C142" s="1"/>
      <c r="D142" s="1" t="s">
        <v>175</v>
      </c>
      <c r="E142" s="1"/>
      <c r="F142" s="1"/>
      <c r="G142" s="233"/>
      <c r="H142" s="29"/>
      <c r="I142" s="16"/>
      <c r="J142" s="122"/>
      <c r="K142" s="8"/>
    </row>
    <row r="143" spans="1:13" ht="15.75" thickBot="1" x14ac:dyDescent="0.3">
      <c r="A143" s="1"/>
      <c r="B143" s="1"/>
      <c r="C143" s="1"/>
      <c r="D143" s="1"/>
      <c r="E143" s="1" t="s">
        <v>174</v>
      </c>
      <c r="F143" s="1"/>
      <c r="G143" s="234">
        <v>610.5</v>
      </c>
      <c r="H143" s="235">
        <v>800</v>
      </c>
      <c r="I143" s="25">
        <v>1200</v>
      </c>
      <c r="J143" s="123">
        <v>1200</v>
      </c>
      <c r="K143" s="11">
        <f t="shared" si="3"/>
        <v>0</v>
      </c>
      <c r="L143" s="311" t="s">
        <v>527</v>
      </c>
    </row>
    <row r="144" spans="1:13" x14ac:dyDescent="0.25">
      <c r="A144" s="1"/>
      <c r="B144" s="1"/>
      <c r="C144" s="1"/>
      <c r="D144" s="1" t="s">
        <v>173</v>
      </c>
      <c r="E144" s="1"/>
      <c r="F144" s="1"/>
      <c r="G144" s="233">
        <f>ROUND(SUM(G142:G143),5)</f>
        <v>610.5</v>
      </c>
      <c r="H144" s="29">
        <f>ROUND(SUM(H142:H143),5)</f>
        <v>800</v>
      </c>
      <c r="I144" s="16">
        <f>ROUND(SUM(I142:I143),5)</f>
        <v>1200</v>
      </c>
      <c r="J144" s="122">
        <f>ROUND(SUM(J142:J143),5)</f>
        <v>1200</v>
      </c>
      <c r="K144" s="8">
        <f t="shared" si="3"/>
        <v>0</v>
      </c>
    </row>
    <row r="145" spans="1:13" x14ac:dyDescent="0.25">
      <c r="A145" s="1"/>
      <c r="B145" s="1"/>
      <c r="C145" s="1"/>
      <c r="D145" s="1" t="s">
        <v>172</v>
      </c>
      <c r="E145" s="1"/>
      <c r="F145" s="1"/>
      <c r="G145" s="233"/>
      <c r="H145" s="29"/>
      <c r="I145" s="16"/>
      <c r="J145" s="122"/>
      <c r="K145" s="8"/>
    </row>
    <row r="146" spans="1:13" ht="15.75" thickBot="1" x14ac:dyDescent="0.3">
      <c r="A146" s="1"/>
      <c r="B146" s="1"/>
      <c r="C146" s="1"/>
      <c r="D146" s="1"/>
      <c r="E146" s="1" t="s">
        <v>171</v>
      </c>
      <c r="F146" s="1"/>
      <c r="G146" s="234">
        <v>4957.26</v>
      </c>
      <c r="H146" s="235">
        <v>3560</v>
      </c>
      <c r="I146" s="25">
        <v>3924</v>
      </c>
      <c r="J146" s="123">
        <v>4300</v>
      </c>
      <c r="K146" s="11">
        <f t="shared" si="3"/>
        <v>376</v>
      </c>
      <c r="L146" s="311" t="s">
        <v>527</v>
      </c>
      <c r="M146" s="17" t="s">
        <v>144</v>
      </c>
    </row>
    <row r="147" spans="1:13" x14ac:dyDescent="0.25">
      <c r="A147" s="1"/>
      <c r="B147" s="1"/>
      <c r="C147" s="1"/>
      <c r="D147" s="1" t="s">
        <v>170</v>
      </c>
      <c r="E147" s="1"/>
      <c r="F147" s="1"/>
      <c r="G147" s="233">
        <f>ROUND(SUM(G145:G146),5)</f>
        <v>4957.26</v>
      </c>
      <c r="H147" s="29">
        <f>ROUND(SUM(H145:H146),5)</f>
        <v>3560</v>
      </c>
      <c r="I147" s="16">
        <f>ROUND(SUM(I145:I146),5)</f>
        <v>3924</v>
      </c>
      <c r="J147" s="122">
        <f>ROUND(SUM(J145:J146),5)</f>
        <v>4300</v>
      </c>
      <c r="K147" s="8">
        <f t="shared" si="3"/>
        <v>376</v>
      </c>
    </row>
    <row r="148" spans="1:13" x14ac:dyDescent="0.25">
      <c r="A148" s="1"/>
      <c r="B148" s="1"/>
      <c r="C148" s="1"/>
      <c r="D148" s="1" t="s">
        <v>169</v>
      </c>
      <c r="E148" s="1"/>
      <c r="F148" s="1"/>
      <c r="G148" s="233"/>
      <c r="H148" s="233"/>
      <c r="I148" s="16"/>
      <c r="J148" s="122"/>
      <c r="K148" s="8"/>
    </row>
    <row r="149" spans="1:13" ht="15.75" thickBot="1" x14ac:dyDescent="0.3">
      <c r="A149" s="1"/>
      <c r="B149" s="1"/>
      <c r="C149" s="1"/>
      <c r="D149" s="1"/>
      <c r="E149" s="1" t="s">
        <v>168</v>
      </c>
      <c r="F149" s="1"/>
      <c r="G149" s="234">
        <v>4998</v>
      </c>
      <c r="H149" s="235">
        <v>5384.4</v>
      </c>
      <c r="I149" s="25">
        <v>4734</v>
      </c>
      <c r="J149" s="123">
        <v>6903</v>
      </c>
      <c r="K149" s="11">
        <f t="shared" si="3"/>
        <v>2169</v>
      </c>
      <c r="L149" s="350" t="s">
        <v>592</v>
      </c>
    </row>
    <row r="150" spans="1:13" x14ac:dyDescent="0.25">
      <c r="A150" s="1"/>
      <c r="B150" s="1"/>
      <c r="C150" s="1"/>
      <c r="D150" s="1" t="s">
        <v>167</v>
      </c>
      <c r="E150" s="1"/>
      <c r="F150" s="1"/>
      <c r="G150" s="233">
        <f>ROUND(SUM(G148:G149),5)</f>
        <v>4998</v>
      </c>
      <c r="H150" s="29">
        <f>ROUND(SUM(H148:H149),5)</f>
        <v>5384.4</v>
      </c>
      <c r="I150" s="16">
        <f>ROUND(SUM(I148:I149),5)</f>
        <v>4734</v>
      </c>
      <c r="J150" s="122">
        <f>ROUND(SUM(J148:J149),5)</f>
        <v>6903</v>
      </c>
      <c r="K150" s="8">
        <f t="shared" si="3"/>
        <v>2169</v>
      </c>
    </row>
    <row r="151" spans="1:13" x14ac:dyDescent="0.25">
      <c r="A151" s="1"/>
      <c r="B151" s="1"/>
      <c r="C151" s="1"/>
      <c r="D151" s="1" t="s">
        <v>166</v>
      </c>
      <c r="E151" s="1"/>
      <c r="F151" s="1"/>
      <c r="G151" s="233"/>
      <c r="H151" s="29"/>
      <c r="I151" s="16"/>
      <c r="J151" s="122"/>
      <c r="K151" s="8"/>
    </row>
    <row r="152" spans="1:13" ht="15.75" thickBot="1" x14ac:dyDescent="0.3">
      <c r="A152" s="1"/>
      <c r="B152" s="1"/>
      <c r="C152" s="1"/>
      <c r="D152" s="1"/>
      <c r="E152" s="1" t="s">
        <v>165</v>
      </c>
      <c r="F152" s="1"/>
      <c r="G152" s="234">
        <v>671.74</v>
      </c>
      <c r="H152" s="235">
        <v>1400</v>
      </c>
      <c r="I152" s="25">
        <v>672</v>
      </c>
      <c r="J152" s="123">
        <v>700</v>
      </c>
      <c r="K152" s="11">
        <f t="shared" si="3"/>
        <v>28</v>
      </c>
      <c r="L152" s="311" t="s">
        <v>527</v>
      </c>
      <c r="M152" s="17" t="s">
        <v>145</v>
      </c>
    </row>
    <row r="153" spans="1:13" x14ac:dyDescent="0.25">
      <c r="A153" s="1"/>
      <c r="B153" s="1"/>
      <c r="C153" s="1"/>
      <c r="D153" s="1" t="s">
        <v>164</v>
      </c>
      <c r="E153" s="1"/>
      <c r="F153" s="1"/>
      <c r="G153" s="233">
        <f>ROUND(SUM(G151:G152),5)</f>
        <v>671.74</v>
      </c>
      <c r="H153" s="29">
        <f>ROUND(SUM(H151:H152),5)</f>
        <v>1400</v>
      </c>
      <c r="I153" s="16">
        <f>ROUND(SUM(I151:I152),5)</f>
        <v>672</v>
      </c>
      <c r="J153" s="122">
        <f>ROUND(SUM(J151:J152),5)</f>
        <v>700</v>
      </c>
      <c r="K153" s="8">
        <f t="shared" si="3"/>
        <v>28</v>
      </c>
    </row>
    <row r="154" spans="1:13" x14ac:dyDescent="0.25">
      <c r="A154" s="1"/>
      <c r="B154" s="1"/>
      <c r="C154" s="1"/>
      <c r="D154" s="1" t="s">
        <v>163</v>
      </c>
      <c r="E154" s="1"/>
      <c r="F154" s="1"/>
      <c r="G154" s="233"/>
      <c r="H154" s="29"/>
      <c r="I154" s="16"/>
      <c r="J154" s="122"/>
      <c r="K154" s="8"/>
    </row>
    <row r="155" spans="1:13" ht="15.75" thickBot="1" x14ac:dyDescent="0.3">
      <c r="A155" s="1"/>
      <c r="B155" s="1"/>
      <c r="C155" s="1"/>
      <c r="D155" s="1"/>
      <c r="E155" s="1" t="s">
        <v>162</v>
      </c>
      <c r="F155" s="1"/>
      <c r="G155" s="234">
        <v>686</v>
      </c>
      <c r="H155" s="235">
        <v>400</v>
      </c>
      <c r="I155" s="25">
        <v>1221</v>
      </c>
      <c r="J155" s="123">
        <v>800</v>
      </c>
      <c r="K155" s="11">
        <f t="shared" si="3"/>
        <v>-421</v>
      </c>
    </row>
    <row r="156" spans="1:13" x14ac:dyDescent="0.25">
      <c r="A156" s="1"/>
      <c r="B156" s="1"/>
      <c r="C156" s="1"/>
      <c r="D156" s="1" t="s">
        <v>161</v>
      </c>
      <c r="E156" s="1"/>
      <c r="F156" s="1"/>
      <c r="G156" s="233">
        <f>ROUND(SUM(G154:G155),5)</f>
        <v>686</v>
      </c>
      <c r="H156" s="233">
        <f>ROUND(SUM(H154:H155),5)</f>
        <v>400</v>
      </c>
      <c r="I156" s="16">
        <f>ROUND(SUM(I154:I155),5)</f>
        <v>1221</v>
      </c>
      <c r="J156" s="122">
        <f>ROUND(SUM(J154:J155),5)</f>
        <v>800</v>
      </c>
      <c r="K156" s="8">
        <f t="shared" si="3"/>
        <v>-421</v>
      </c>
    </row>
    <row r="157" spans="1:13" x14ac:dyDescent="0.25">
      <c r="A157" s="1"/>
      <c r="B157" s="1"/>
      <c r="C157" s="1"/>
      <c r="D157" s="1" t="s">
        <v>160</v>
      </c>
      <c r="E157" s="1"/>
      <c r="F157" s="1"/>
      <c r="G157" s="233"/>
      <c r="H157" s="233"/>
      <c r="I157" s="16"/>
      <c r="J157" s="122"/>
      <c r="K157" s="8"/>
    </row>
    <row r="158" spans="1:13" x14ac:dyDescent="0.25">
      <c r="A158" s="1"/>
      <c r="B158" s="1"/>
      <c r="C158" s="1"/>
      <c r="D158" s="1"/>
      <c r="E158" s="1" t="s">
        <v>159</v>
      </c>
      <c r="F158" s="1"/>
      <c r="G158" s="233">
        <v>65</v>
      </c>
      <c r="H158" s="233">
        <v>0</v>
      </c>
      <c r="I158" s="16">
        <v>0</v>
      </c>
      <c r="J158" s="122">
        <f>I158</f>
        <v>0</v>
      </c>
      <c r="K158" s="8">
        <f t="shared" si="3"/>
        <v>0</v>
      </c>
    </row>
    <row r="159" spans="1:13" ht="15.75" thickBot="1" x14ac:dyDescent="0.3">
      <c r="A159" s="1"/>
      <c r="B159" s="1"/>
      <c r="C159" s="1"/>
      <c r="D159" s="1"/>
      <c r="E159" s="1" t="s">
        <v>158</v>
      </c>
      <c r="F159" s="1"/>
      <c r="G159" s="234">
        <v>0</v>
      </c>
      <c r="H159" s="235">
        <v>0</v>
      </c>
      <c r="I159" s="25">
        <v>0</v>
      </c>
      <c r="J159" s="123">
        <f>I159</f>
        <v>0</v>
      </c>
      <c r="K159" s="11">
        <f t="shared" si="3"/>
        <v>0</v>
      </c>
    </row>
    <row r="160" spans="1:13" x14ac:dyDescent="0.25">
      <c r="A160" s="1"/>
      <c r="B160" s="1"/>
      <c r="C160" s="1"/>
      <c r="D160" s="1" t="s">
        <v>157</v>
      </c>
      <c r="E160" s="1"/>
      <c r="F160" s="1"/>
      <c r="G160" s="233">
        <f>ROUND(SUM(G157:G159),5)</f>
        <v>65</v>
      </c>
      <c r="H160" s="233">
        <f>ROUND(SUM(H157:H159),5)</f>
        <v>0</v>
      </c>
      <c r="I160" s="16">
        <f>ROUND(SUM(I157:I159),5)</f>
        <v>0</v>
      </c>
      <c r="J160" s="122">
        <f>ROUND(SUM(J157:J159),5)</f>
        <v>0</v>
      </c>
      <c r="K160" s="8">
        <f t="shared" si="3"/>
        <v>0</v>
      </c>
    </row>
    <row r="161" spans="1:13" x14ac:dyDescent="0.25">
      <c r="A161" s="1"/>
      <c r="B161" s="1"/>
      <c r="C161" s="1"/>
      <c r="D161" s="1" t="s">
        <v>156</v>
      </c>
      <c r="E161" s="1"/>
      <c r="F161" s="1"/>
      <c r="G161" s="233"/>
      <c r="H161" s="233"/>
      <c r="I161" s="16"/>
      <c r="J161" s="122"/>
      <c r="K161" s="8"/>
    </row>
    <row r="162" spans="1:13" x14ac:dyDescent="0.25">
      <c r="A162" s="1"/>
      <c r="B162" s="1"/>
      <c r="C162" s="1"/>
      <c r="D162" s="1"/>
      <c r="E162" s="1" t="s">
        <v>419</v>
      </c>
      <c r="F162" s="1"/>
      <c r="G162" s="233">
        <v>477</v>
      </c>
      <c r="H162" s="29">
        <v>2000</v>
      </c>
      <c r="I162" s="16">
        <v>950</v>
      </c>
      <c r="J162" s="122">
        <v>500</v>
      </c>
      <c r="K162" s="8">
        <f t="shared" si="3"/>
        <v>-450</v>
      </c>
      <c r="L162" s="17" t="s">
        <v>420</v>
      </c>
    </row>
    <row r="163" spans="1:13" x14ac:dyDescent="0.25">
      <c r="A163" s="1"/>
      <c r="B163" s="1"/>
      <c r="C163" s="1"/>
      <c r="D163" s="1"/>
      <c r="E163" s="1" t="s">
        <v>585</v>
      </c>
      <c r="F163" s="1"/>
      <c r="G163" s="233"/>
      <c r="H163" s="29"/>
      <c r="I163" s="16">
        <v>596</v>
      </c>
      <c r="J163" s="122">
        <v>700</v>
      </c>
      <c r="K163" s="8"/>
      <c r="L163" s="224" t="s">
        <v>586</v>
      </c>
      <c r="M163" s="348"/>
    </row>
    <row r="164" spans="1:13" ht="22.5" x14ac:dyDescent="0.25">
      <c r="A164" s="1"/>
      <c r="B164" s="1"/>
      <c r="C164" s="1"/>
      <c r="D164" s="1"/>
      <c r="E164" s="1" t="s">
        <v>155</v>
      </c>
      <c r="F164" s="1"/>
      <c r="G164" s="233">
        <v>3316</v>
      </c>
      <c r="H164" s="29">
        <v>4000</v>
      </c>
      <c r="I164" s="16">
        <v>5239</v>
      </c>
      <c r="J164" s="343">
        <v>5000</v>
      </c>
      <c r="K164" s="8">
        <f t="shared" si="3"/>
        <v>-239</v>
      </c>
      <c r="L164" s="224" t="s">
        <v>559</v>
      </c>
      <c r="M164" s="17" t="s">
        <v>327</v>
      </c>
    </row>
    <row r="165" spans="1:13" ht="45" x14ac:dyDescent="0.25">
      <c r="A165" s="1"/>
      <c r="B165" s="1"/>
      <c r="C165" s="1"/>
      <c r="D165" s="1"/>
      <c r="E165" s="1" t="s">
        <v>154</v>
      </c>
      <c r="F165" s="1"/>
      <c r="G165" s="233">
        <v>6112</v>
      </c>
      <c r="H165" s="29">
        <f>2000+900+1000</f>
        <v>3900</v>
      </c>
      <c r="I165" s="16">
        <v>2511</v>
      </c>
      <c r="J165" s="343">
        <v>2000</v>
      </c>
      <c r="K165" s="8">
        <f t="shared" si="3"/>
        <v>-511</v>
      </c>
      <c r="M165" s="17" t="s">
        <v>318</v>
      </c>
    </row>
    <row r="166" spans="1:13" ht="15.75" thickBot="1" x14ac:dyDescent="0.3">
      <c r="A166" s="1"/>
      <c r="B166" s="1"/>
      <c r="C166" s="1"/>
      <c r="D166" s="1"/>
      <c r="E166" s="1" t="s">
        <v>153</v>
      </c>
      <c r="F166" s="1"/>
      <c r="G166" s="236">
        <v>96</v>
      </c>
      <c r="H166" s="237">
        <v>0</v>
      </c>
      <c r="I166" s="26">
        <v>1</v>
      </c>
      <c r="J166" s="124">
        <f>I166</f>
        <v>1</v>
      </c>
      <c r="K166" s="12">
        <f t="shared" si="3"/>
        <v>0</v>
      </c>
    </row>
    <row r="167" spans="1:13" ht="15.75" thickBot="1" x14ac:dyDescent="0.3">
      <c r="A167" s="1"/>
      <c r="B167" s="1"/>
      <c r="C167" s="1"/>
      <c r="D167" s="1" t="s">
        <v>152</v>
      </c>
      <c r="E167" s="1"/>
      <c r="F167" s="1"/>
      <c r="G167" s="244">
        <f>ROUND(SUM(G161:G166),5)</f>
        <v>10001</v>
      </c>
      <c r="H167" s="244">
        <f>ROUND(SUM(H161:H166),5)</f>
        <v>9900</v>
      </c>
      <c r="I167" s="28">
        <f>ROUND(SUM(I161:I166),5)</f>
        <v>9297</v>
      </c>
      <c r="J167" s="126">
        <f>ROUND(SUM(J161:J166),5)</f>
        <v>8201</v>
      </c>
      <c r="K167" s="13">
        <f t="shared" si="3"/>
        <v>-1096</v>
      </c>
    </row>
    <row r="168" spans="1:13" ht="45.75" thickBot="1" x14ac:dyDescent="0.3">
      <c r="A168" s="1"/>
      <c r="B168" s="1"/>
      <c r="C168" s="1" t="s">
        <v>151</v>
      </c>
      <c r="D168" s="1"/>
      <c r="E168" s="1"/>
      <c r="F168" s="1"/>
      <c r="G168" s="244">
        <f>ROUND(G19+G23+G35+G38+G43+G48+G51+G94+G97+G107+G111+G134+G137+G141+G144+G147+G150+G153+G156+G160+G167,5)</f>
        <v>417282.18</v>
      </c>
      <c r="H168" s="244">
        <f>ROUND(H19+H23+H35+H38+H43+H48+H51+H94+H97+H107+H111+H134+H137+H141+H144+H147+H150+H153+H156+H160+H167,5)</f>
        <v>408803.4</v>
      </c>
      <c r="I168" s="28">
        <f>ROUND(I19+I23+I35+I38+I43+I48+I51+I94+I97+I107+I111+I134+I137+I141+I144+I147+I150+I153+I156+I160+I167,5)</f>
        <v>532065.91</v>
      </c>
      <c r="J168" s="126">
        <f>ROUND(J19+J23+J35+J38+J43+J48+J51+J94+J97+J107+J111+J134+J137+J141+J144+J147+J150+J153+J156+J160+J167,5)</f>
        <v>490377.14</v>
      </c>
      <c r="K168" s="13">
        <f t="shared" si="3"/>
        <v>-41688.770000000019</v>
      </c>
      <c r="L168" s="17" t="s">
        <v>479</v>
      </c>
      <c r="M168" s="17" t="s">
        <v>320</v>
      </c>
    </row>
    <row r="169" spans="1:13" ht="15.75" thickBot="1" x14ac:dyDescent="0.3">
      <c r="A169" s="1"/>
      <c r="B169" s="1" t="s">
        <v>119</v>
      </c>
      <c r="C169" s="1"/>
      <c r="D169" s="1"/>
      <c r="E169" s="1"/>
      <c r="F169" s="1"/>
      <c r="G169" s="244">
        <f>ROUND(G18+G168,5)</f>
        <v>417282.18</v>
      </c>
      <c r="H169" s="244">
        <f>ROUND(H18+H168,5)</f>
        <v>408803.4</v>
      </c>
      <c r="I169" s="28">
        <f>ROUND(I168,5)</f>
        <v>532065.91</v>
      </c>
      <c r="J169" s="126">
        <f>ROUND(J168,5)</f>
        <v>490377.14</v>
      </c>
      <c r="K169" s="13">
        <f t="shared" si="3"/>
        <v>-41688.770000000019</v>
      </c>
    </row>
    <row r="170" spans="1:13" ht="15.75" thickBot="1" x14ac:dyDescent="0.3">
      <c r="A170" s="1" t="s">
        <v>492</v>
      </c>
      <c r="B170" s="1"/>
      <c r="C170" s="1"/>
      <c r="D170" s="1"/>
      <c r="E170" s="1"/>
      <c r="F170" s="1"/>
      <c r="G170" s="244">
        <f>ROUND(G3+G17-G169,5)</f>
        <v>227732.82</v>
      </c>
      <c r="H170" s="244" t="e">
        <f>ROUND(H17-H169,5)</f>
        <v>#REF!</v>
      </c>
      <c r="I170" s="28">
        <f>ROUND(I17-I169,5)</f>
        <v>124360.09</v>
      </c>
      <c r="J170" s="126">
        <f>ROUND(J17-J169,5)</f>
        <v>157647.85999999999</v>
      </c>
      <c r="K170" s="13">
        <f t="shared" si="3"/>
        <v>33287.76999999999</v>
      </c>
    </row>
    <row r="171" spans="1:13" s="5" customFormat="1" ht="12" thickBot="1" x14ac:dyDescent="0.3">
      <c r="A171" s="1" t="s">
        <v>493</v>
      </c>
      <c r="B171" s="1"/>
      <c r="C171" s="1"/>
      <c r="D171" s="1"/>
      <c r="E171" s="1"/>
      <c r="F171" s="1"/>
      <c r="G171" s="245">
        <f>G170</f>
        <v>227732.82</v>
      </c>
      <c r="H171" s="245" t="e">
        <f>H170</f>
        <v>#REF!</v>
      </c>
      <c r="I171" s="324">
        <f>I170</f>
        <v>124360.09</v>
      </c>
      <c r="J171" s="127">
        <f>J170</f>
        <v>157647.85999999999</v>
      </c>
      <c r="K171" s="14">
        <f t="shared" si="3"/>
        <v>33287.76999999999</v>
      </c>
      <c r="L171" s="18"/>
      <c r="M171" s="18"/>
    </row>
    <row r="172" spans="1:13" ht="15.75" thickTop="1" x14ac:dyDescent="0.25">
      <c r="A172" s="20"/>
      <c r="B172" s="20"/>
      <c r="C172" s="20"/>
      <c r="D172" s="20"/>
      <c r="E172" s="20"/>
      <c r="F172" s="20"/>
      <c r="G172" s="249"/>
      <c r="H172" s="243"/>
      <c r="I172" s="256"/>
      <c r="J172" s="128"/>
      <c r="K172" s="19"/>
      <c r="L172" s="39"/>
      <c r="M172" s="39"/>
    </row>
    <row r="173" spans="1:13" x14ac:dyDescent="0.25">
      <c r="A173" s="1" t="s">
        <v>484</v>
      </c>
      <c r="B173" s="20"/>
      <c r="C173" s="20"/>
      <c r="D173" s="20"/>
      <c r="E173" s="20"/>
      <c r="F173" s="20"/>
      <c r="G173" s="246"/>
      <c r="H173" s="243"/>
      <c r="I173" s="256"/>
      <c r="J173" s="128"/>
      <c r="K173" s="19"/>
      <c r="L173" s="39"/>
      <c r="M173" s="39"/>
    </row>
    <row r="174" spans="1:13" x14ac:dyDescent="0.25">
      <c r="A174" s="230"/>
      <c r="B174" s="230"/>
      <c r="C174" s="1" t="s">
        <v>477</v>
      </c>
      <c r="D174" s="1"/>
      <c r="E174" s="1"/>
      <c r="F174" s="1"/>
      <c r="G174" s="233"/>
      <c r="H174" s="29"/>
      <c r="I174" s="16"/>
      <c r="J174" s="122"/>
      <c r="K174" s="8"/>
      <c r="L174" s="154" t="s">
        <v>501</v>
      </c>
      <c r="M174" s="39"/>
    </row>
    <row r="175" spans="1:13" s="37" customFormat="1" ht="11.25" x14ac:dyDescent="0.25">
      <c r="A175" s="42" t="s">
        <v>388</v>
      </c>
      <c r="B175" s="42"/>
      <c r="C175" s="42"/>
      <c r="G175" s="233"/>
      <c r="H175" s="236">
        <v>8000</v>
      </c>
      <c r="I175" s="325">
        <v>0</v>
      </c>
      <c r="J175" s="129">
        <f>I175</f>
        <v>0</v>
      </c>
      <c r="K175" s="12">
        <f t="shared" si="3"/>
        <v>0</v>
      </c>
      <c r="L175" s="40"/>
      <c r="M175" s="40"/>
    </row>
    <row r="176" spans="1:13" s="37" customFormat="1" ht="11.25" x14ac:dyDescent="0.25">
      <c r="A176" s="42" t="s">
        <v>324</v>
      </c>
      <c r="B176" s="42"/>
      <c r="C176" s="42"/>
      <c r="G176" s="233"/>
      <c r="H176" s="236">
        <v>1500</v>
      </c>
      <c r="I176" s="325">
        <v>0</v>
      </c>
      <c r="J176" s="129">
        <f>I176</f>
        <v>0</v>
      </c>
      <c r="K176" s="12">
        <f t="shared" si="3"/>
        <v>0</v>
      </c>
      <c r="L176" s="40"/>
      <c r="M176" s="40"/>
    </row>
    <row r="177" spans="1:13" s="37" customFormat="1" ht="12" thickBot="1" x14ac:dyDescent="0.3">
      <c r="A177" s="42" t="s">
        <v>325</v>
      </c>
      <c r="B177" s="42"/>
      <c r="C177" s="42"/>
      <c r="G177" s="234"/>
      <c r="H177" s="234">
        <v>1500</v>
      </c>
      <c r="I177" s="254">
        <v>12500</v>
      </c>
      <c r="J177" s="132">
        <v>83000</v>
      </c>
      <c r="K177" s="11">
        <f t="shared" si="3"/>
        <v>70500</v>
      </c>
      <c r="L177" s="349" t="s">
        <v>587</v>
      </c>
      <c r="M177" s="40"/>
    </row>
    <row r="178" spans="1:13" s="37" customFormat="1" ht="11.25" x14ac:dyDescent="0.25">
      <c r="A178" s="1" t="s">
        <v>485</v>
      </c>
      <c r="B178" s="42"/>
      <c r="C178" s="42"/>
      <c r="G178" s="247">
        <f>SUM(G173:G177)</f>
        <v>0</v>
      </c>
      <c r="H178" s="247">
        <f>SUM(H173:H177)</f>
        <v>11000</v>
      </c>
      <c r="I178" s="326">
        <f>SUM(I173:I177)</f>
        <v>12500</v>
      </c>
      <c r="J178" s="248">
        <f>SUM(J173:J177)</f>
        <v>83000</v>
      </c>
      <c r="K178" s="12">
        <f t="shared" si="3"/>
        <v>70500</v>
      </c>
      <c r="L178" s="40"/>
      <c r="M178" s="40" t="s">
        <v>326</v>
      </c>
    </row>
    <row r="179" spans="1:13" s="37" customFormat="1" ht="11.25" x14ac:dyDescent="0.25">
      <c r="A179" s="38"/>
      <c r="B179" s="38"/>
      <c r="C179" s="38"/>
      <c r="D179" s="38"/>
      <c r="E179" s="38"/>
      <c r="F179" s="38"/>
      <c r="G179" s="233"/>
      <c r="H179" s="233"/>
      <c r="I179" s="325"/>
      <c r="J179" s="129"/>
      <c r="K179" s="21"/>
      <c r="L179" s="41"/>
      <c r="M179" s="41"/>
    </row>
    <row r="180" spans="1:13" x14ac:dyDescent="0.25">
      <c r="A180" s="6" t="s">
        <v>486</v>
      </c>
      <c r="G180" s="241"/>
      <c r="H180" s="233"/>
      <c r="I180" s="325"/>
      <c r="J180" s="129"/>
      <c r="K180" s="21"/>
      <c r="L180" s="41"/>
      <c r="M180" s="41"/>
    </row>
    <row r="181" spans="1:13" x14ac:dyDescent="0.25">
      <c r="A181" s="6" t="s">
        <v>389</v>
      </c>
      <c r="G181" s="241"/>
      <c r="H181" s="233">
        <v>8000</v>
      </c>
      <c r="I181" s="325">
        <v>0</v>
      </c>
      <c r="J181" s="129">
        <f>I181</f>
        <v>0</v>
      </c>
      <c r="K181" s="21">
        <f t="shared" si="3"/>
        <v>0</v>
      </c>
      <c r="L181" s="41"/>
      <c r="M181" s="41" t="s">
        <v>387</v>
      </c>
    </row>
    <row r="182" spans="1:13" x14ac:dyDescent="0.25">
      <c r="C182" s="1" t="s">
        <v>290</v>
      </c>
      <c r="D182" s="1"/>
      <c r="E182" s="1"/>
      <c r="F182" s="1"/>
      <c r="G182" s="233"/>
      <c r="H182" s="233"/>
      <c r="I182" s="16"/>
      <c r="J182" s="122"/>
      <c r="K182" s="8"/>
      <c r="M182" s="41"/>
    </row>
    <row r="183" spans="1:13" ht="78.75" x14ac:dyDescent="0.25">
      <c r="C183" s="1"/>
      <c r="D183" s="1" t="s">
        <v>289</v>
      </c>
      <c r="E183" s="1"/>
      <c r="F183" s="1"/>
      <c r="G183" s="233">
        <v>13943</v>
      </c>
      <c r="H183" s="233">
        <v>13943</v>
      </c>
      <c r="I183" s="16">
        <v>12919</v>
      </c>
      <c r="J183" s="122">
        <v>12919</v>
      </c>
      <c r="K183" s="8">
        <f t="shared" si="3"/>
        <v>0</v>
      </c>
      <c r="L183" s="17" t="s">
        <v>503</v>
      </c>
      <c r="M183" s="41"/>
    </row>
    <row r="184" spans="1:13" ht="15.75" thickBot="1" x14ac:dyDescent="0.3">
      <c r="C184" s="1"/>
      <c r="D184" s="1" t="s">
        <v>288</v>
      </c>
      <c r="E184" s="1"/>
      <c r="F184" s="1"/>
      <c r="G184" s="236">
        <v>1727.26</v>
      </c>
      <c r="H184" s="236">
        <v>0</v>
      </c>
      <c r="I184" s="26">
        <v>1727</v>
      </c>
      <c r="J184" s="124">
        <v>1727</v>
      </c>
      <c r="K184" s="12">
        <f t="shared" si="3"/>
        <v>0</v>
      </c>
      <c r="L184" s="17" t="s">
        <v>395</v>
      </c>
      <c r="M184" s="41"/>
    </row>
    <row r="185" spans="1:13" x14ac:dyDescent="0.25">
      <c r="C185" s="1" t="s">
        <v>287</v>
      </c>
      <c r="D185" s="1"/>
      <c r="E185" s="1"/>
      <c r="F185" s="1"/>
      <c r="G185" s="244">
        <f>ROUND(SUM(G182:G184),5)</f>
        <v>15670.26</v>
      </c>
      <c r="H185" s="244">
        <f>ROUND(SUM(H182:H184),5)</f>
        <v>13943</v>
      </c>
      <c r="I185" s="28">
        <f>ROUND(SUM(I182:I184),5)</f>
        <v>14646</v>
      </c>
      <c r="J185" s="126">
        <f>ROUND(SUM(J182:J184),5)</f>
        <v>14646</v>
      </c>
      <c r="K185" s="13">
        <f t="shared" si="3"/>
        <v>0</v>
      </c>
      <c r="M185" s="41"/>
    </row>
    <row r="186" spans="1:13" ht="24.6" customHeight="1" x14ac:dyDescent="0.25">
      <c r="A186" s="376" t="s">
        <v>525</v>
      </c>
      <c r="B186" s="377"/>
      <c r="C186" s="377"/>
      <c r="D186" s="377"/>
      <c r="E186" s="377"/>
      <c r="F186" s="377"/>
      <c r="G186" s="377"/>
      <c r="H186" s="377"/>
      <c r="I186" s="377"/>
      <c r="J186" s="377"/>
      <c r="K186" s="377"/>
      <c r="L186" s="377"/>
      <c r="M186" s="43" t="s">
        <v>328</v>
      </c>
    </row>
    <row r="187" spans="1:13" ht="33.75" x14ac:dyDescent="0.25">
      <c r="B187" s="374" t="s">
        <v>500</v>
      </c>
      <c r="C187" s="375"/>
      <c r="D187" s="375"/>
      <c r="E187" s="375"/>
      <c r="F187" s="375"/>
      <c r="G187" s="237">
        <v>23248</v>
      </c>
      <c r="H187" s="237">
        <v>23248</v>
      </c>
      <c r="I187" s="325">
        <v>23248</v>
      </c>
      <c r="J187" s="129">
        <v>23248</v>
      </c>
      <c r="K187" s="21">
        <f t="shared" si="3"/>
        <v>0</v>
      </c>
      <c r="L187" s="17" t="s">
        <v>409</v>
      </c>
      <c r="M187" s="17" t="s">
        <v>392</v>
      </c>
    </row>
    <row r="188" spans="1:13" ht="33.75" x14ac:dyDescent="0.25">
      <c r="B188" s="374" t="s">
        <v>407</v>
      </c>
      <c r="C188" s="375"/>
      <c r="D188" s="375"/>
      <c r="E188" s="375"/>
      <c r="F188" s="375"/>
      <c r="G188" s="237">
        <v>13024</v>
      </c>
      <c r="H188" s="237">
        <v>13024</v>
      </c>
      <c r="I188" s="325">
        <f>6202*2</f>
        <v>12404</v>
      </c>
      <c r="J188" s="129">
        <f>6202*2</f>
        <v>12404</v>
      </c>
      <c r="K188" s="21">
        <f t="shared" si="3"/>
        <v>0</v>
      </c>
      <c r="L188" s="17" t="s">
        <v>410</v>
      </c>
      <c r="M188" s="17" t="s">
        <v>393</v>
      </c>
    </row>
    <row r="189" spans="1:13" ht="33.75" x14ac:dyDescent="0.25">
      <c r="B189" s="374" t="s">
        <v>408</v>
      </c>
      <c r="C189" s="375"/>
      <c r="D189" s="375"/>
      <c r="E189" s="375"/>
      <c r="F189" s="375"/>
      <c r="G189" s="237">
        <f>94605-13943</f>
        <v>80662</v>
      </c>
      <c r="H189" s="237">
        <f>94605-13943</f>
        <v>80662</v>
      </c>
      <c r="I189" s="325">
        <f>115207-I187-I188</f>
        <v>79555</v>
      </c>
      <c r="J189" s="129">
        <f>115207-J187-J188</f>
        <v>79555</v>
      </c>
      <c r="K189" s="21">
        <f t="shared" si="3"/>
        <v>0</v>
      </c>
      <c r="L189" s="17" t="s">
        <v>399</v>
      </c>
      <c r="M189" s="17" t="s">
        <v>394</v>
      </c>
    </row>
    <row r="190" spans="1:13" x14ac:dyDescent="0.25">
      <c r="A190" s="6" t="s">
        <v>122</v>
      </c>
      <c r="G190" s="241"/>
      <c r="H190" s="233"/>
      <c r="I190" s="325"/>
      <c r="J190" s="129"/>
      <c r="K190" s="21"/>
      <c r="L190" s="22"/>
      <c r="M190" s="22"/>
    </row>
    <row r="191" spans="1:13" x14ac:dyDescent="0.25">
      <c r="B191" s="6" t="s">
        <v>126</v>
      </c>
      <c r="G191" s="241"/>
      <c r="H191" s="233">
        <v>70000</v>
      </c>
      <c r="I191" s="325">
        <v>0</v>
      </c>
      <c r="J191" s="129">
        <f>'CIP 2018-23'!B30</f>
        <v>0</v>
      </c>
      <c r="K191" s="21"/>
      <c r="M191" s="17" t="s">
        <v>323</v>
      </c>
    </row>
    <row r="192" spans="1:13" x14ac:dyDescent="0.25">
      <c r="B192" s="6" t="s">
        <v>127</v>
      </c>
      <c r="G192" s="241"/>
      <c r="H192" s="233"/>
      <c r="I192" s="325"/>
      <c r="J192" s="129"/>
      <c r="K192" s="21">
        <f t="shared" si="3"/>
        <v>0</v>
      </c>
      <c r="L192" s="22"/>
      <c r="M192" s="22"/>
    </row>
    <row r="193" spans="1:13" x14ac:dyDescent="0.25">
      <c r="A193" s="6" t="s">
        <v>138</v>
      </c>
      <c r="G193" s="241"/>
      <c r="H193" s="233"/>
      <c r="I193" s="325"/>
      <c r="J193" s="129"/>
      <c r="K193" s="21"/>
      <c r="L193" s="22"/>
      <c r="M193" s="22"/>
    </row>
    <row r="194" spans="1:13" x14ac:dyDescent="0.25">
      <c r="B194" s="6" t="s">
        <v>322</v>
      </c>
      <c r="G194" s="241"/>
      <c r="H194" s="233">
        <v>5000</v>
      </c>
      <c r="I194" s="325"/>
      <c r="J194" s="129"/>
      <c r="K194" s="21">
        <f t="shared" si="3"/>
        <v>0</v>
      </c>
      <c r="L194" s="22"/>
      <c r="M194" s="22" t="s">
        <v>131</v>
      </c>
    </row>
    <row r="195" spans="1:13" ht="15.75" thickBot="1" x14ac:dyDescent="0.3">
      <c r="B195" s="6" t="s">
        <v>139</v>
      </c>
      <c r="G195" s="242"/>
      <c r="H195" s="234">
        <v>19470</v>
      </c>
      <c r="I195" s="254"/>
      <c r="J195" s="132"/>
      <c r="K195" s="23">
        <f t="shared" si="3"/>
        <v>0</v>
      </c>
      <c r="M195" s="17" t="s">
        <v>321</v>
      </c>
    </row>
    <row r="196" spans="1:13" ht="15.75" thickBot="1" x14ac:dyDescent="0.3">
      <c r="A196" s="6" t="s">
        <v>487</v>
      </c>
      <c r="G196" s="234">
        <f>SUM(G185:G195)</f>
        <v>132604.26</v>
      </c>
      <c r="H196" s="234">
        <f>H181+SUM(H185:H195)</f>
        <v>233347</v>
      </c>
      <c r="I196" s="254">
        <f>I181+SUM(I185:I195)</f>
        <v>129853</v>
      </c>
      <c r="J196" s="132">
        <f>J181+SUM(J185:J195)</f>
        <v>129853</v>
      </c>
      <c r="K196" s="23">
        <f t="shared" si="3"/>
        <v>0</v>
      </c>
      <c r="L196" s="35"/>
      <c r="M196" s="35"/>
    </row>
    <row r="197" spans="1:13" ht="15.75" thickBot="1" x14ac:dyDescent="0.3">
      <c r="A197" s="6" t="s">
        <v>491</v>
      </c>
      <c r="G197" s="254">
        <f>G178-G196</f>
        <v>-132604.26</v>
      </c>
      <c r="H197" s="254">
        <f>H178-H196</f>
        <v>-222347</v>
      </c>
      <c r="I197" s="254">
        <f>I178-I196</f>
        <v>-117353</v>
      </c>
      <c r="J197" s="132">
        <f>J178-J196</f>
        <v>-46853</v>
      </c>
      <c r="K197" s="23">
        <f t="shared" si="3"/>
        <v>70500</v>
      </c>
      <c r="L197" s="35"/>
      <c r="M197" s="35"/>
    </row>
    <row r="198" spans="1:13" ht="45.75" thickBot="1" x14ac:dyDescent="0.3">
      <c r="A198" s="257" t="s">
        <v>502</v>
      </c>
      <c r="B198" s="257"/>
      <c r="C198" s="257"/>
      <c r="D198" s="257"/>
      <c r="E198" s="257"/>
      <c r="F198" s="257"/>
      <c r="G198" s="284">
        <f>G171+G197</f>
        <v>95128.56</v>
      </c>
      <c r="H198" s="284" t="e">
        <f>H171+H197</f>
        <v>#REF!</v>
      </c>
      <c r="I198" s="284">
        <f>I171+I197</f>
        <v>7007.0899999999965</v>
      </c>
      <c r="J198" s="285">
        <f>J171+J197</f>
        <v>110794.85999999999</v>
      </c>
      <c r="K198" s="286">
        <f t="shared" si="3"/>
        <v>103787.76999999999</v>
      </c>
      <c r="L198" s="22" t="s">
        <v>596</v>
      </c>
      <c r="M198" s="40" t="s">
        <v>326</v>
      </c>
    </row>
    <row r="199" spans="1:13" x14ac:dyDescent="0.25">
      <c r="G199" s="282"/>
      <c r="H199" s="282"/>
      <c r="I199" s="282"/>
      <c r="J199" s="282"/>
      <c r="K199" s="283">
        <f t="shared" ref="K199:K200" si="4">J199-I199</f>
        <v>0</v>
      </c>
      <c r="L199" s="40"/>
      <c r="M199" s="40"/>
    </row>
    <row r="200" spans="1:13" ht="22.5" x14ac:dyDescent="0.25">
      <c r="B200" s="1" t="s">
        <v>477</v>
      </c>
      <c r="C200" s="1"/>
      <c r="D200" s="1"/>
      <c r="E200" s="1"/>
      <c r="F200" s="233"/>
      <c r="G200" s="29">
        <v>-162194</v>
      </c>
      <c r="H200" s="16">
        <v>-162194</v>
      </c>
      <c r="I200" s="16">
        <v>-162194</v>
      </c>
      <c r="J200" s="16">
        <v>-162194</v>
      </c>
      <c r="K200" s="21">
        <f t="shared" si="4"/>
        <v>0</v>
      </c>
      <c r="L200" s="17" t="s">
        <v>507</v>
      </c>
      <c r="M200" s="31"/>
    </row>
    <row r="201" spans="1:13" x14ac:dyDescent="0.25">
      <c r="G201" s="10"/>
      <c r="I201" s="325"/>
      <c r="J201" s="21"/>
      <c r="K201" s="21"/>
      <c r="L201" s="31"/>
      <c r="M201" s="31"/>
    </row>
  </sheetData>
  <mergeCells count="4">
    <mergeCell ref="B187:F187"/>
    <mergeCell ref="B188:F188"/>
    <mergeCell ref="B189:F189"/>
    <mergeCell ref="A186:L186"/>
  </mergeCells>
  <printOptions gridLines="1"/>
  <pageMargins left="0.7" right="0.7" top="0.75" bottom="0.75" header="0.1" footer="0.3"/>
  <pageSetup scale="80" fitToHeight="0" orientation="portrait" r:id="rId1"/>
  <headerFooter>
    <oddHeader>&amp;C&amp;"Arial,Bold"&amp;12 Southwest Harbor Water &amp;&amp; Sewer District
&amp;14Draft 2019 Water Budget</oddHeader>
    <oddFooter>&amp;LPrinted &amp;D&amp;C&amp;F - &amp;A&amp;R&amp;"Arial,Bold"&amp;8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2050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152400</xdr:colOff>
                <xdr:row>0</xdr:row>
                <xdr:rowOff>228600</xdr:rowOff>
              </to>
            </anchor>
          </controlPr>
        </control>
      </mc:Choice>
      <mc:Fallback>
        <control shapeId="2050" r:id="rId4" name="HEADER"/>
      </mc:Fallback>
    </mc:AlternateContent>
    <mc:AlternateContent xmlns:mc="http://schemas.openxmlformats.org/markup-compatibility/2006">
      <mc:Choice Requires="x14">
        <control shapeId="2049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152400</xdr:colOff>
                <xdr:row>0</xdr:row>
                <xdr:rowOff>228600</xdr:rowOff>
              </to>
            </anchor>
          </controlPr>
        </control>
      </mc:Choice>
      <mc:Fallback>
        <control shapeId="2049" r:id="rId6" name="FILTER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fitToPage="1"/>
  </sheetPr>
  <dimension ref="A1:O174"/>
  <sheetViews>
    <sheetView tabSelected="1" zoomScaleNormal="100" workbookViewId="0">
      <pane xSplit="7" ySplit="1" topLeftCell="H27" activePane="bottomRight" state="frozenSplit"/>
      <selection pane="topRight" activeCell="I1" sqref="I1"/>
      <selection pane="bottomLeft" activeCell="A3" sqref="A3"/>
      <selection pane="bottomRight" activeCell="G34" sqref="G34"/>
    </sheetView>
  </sheetViews>
  <sheetFormatPr defaultColWidth="8.7109375" defaultRowHeight="14.25" x14ac:dyDescent="0.2"/>
  <cols>
    <col min="1" max="5" width="2.5703125" style="6" customWidth="1"/>
    <col min="6" max="6" width="2.140625" style="6" customWidth="1"/>
    <col min="7" max="7" width="32.5703125" style="6" customWidth="1"/>
    <col min="8" max="8" width="9.28515625" style="269" customWidth="1"/>
    <col min="9" max="9" width="8.5703125" style="269" hidden="1" customWidth="1"/>
    <col min="10" max="10" width="8.5703125" style="358" customWidth="1"/>
    <col min="11" max="11" width="8.5703125" style="269" customWidth="1"/>
    <col min="12" max="12" width="8.5703125" style="358" customWidth="1"/>
    <col min="13" max="13" width="29.42578125" style="17" customWidth="1"/>
    <col min="14" max="14" width="29.42578125" style="17" hidden="1" customWidth="1"/>
    <col min="15" max="15" width="8.7109375" style="264"/>
    <col min="16" max="16384" width="8.7109375" style="265"/>
  </cols>
  <sheetData>
    <row r="1" spans="1:14" s="263" customFormat="1" ht="24" thickTop="1" thickBot="1" x14ac:dyDescent="0.3">
      <c r="A1" s="3"/>
      <c r="B1" s="3"/>
      <c r="C1" s="3"/>
      <c r="D1" s="3"/>
      <c r="E1" s="3"/>
      <c r="F1" s="210" t="s">
        <v>457</v>
      </c>
      <c r="G1" s="211">
        <f>K154</f>
        <v>9800.0241099999985</v>
      </c>
      <c r="H1" s="30" t="s">
        <v>494</v>
      </c>
      <c r="I1" s="7" t="s">
        <v>121</v>
      </c>
      <c r="J1" s="353" t="s">
        <v>577</v>
      </c>
      <c r="K1" s="131" t="s">
        <v>519</v>
      </c>
      <c r="L1" s="353" t="s">
        <v>520</v>
      </c>
      <c r="M1" s="36" t="s">
        <v>354</v>
      </c>
      <c r="N1" s="36" t="s">
        <v>353</v>
      </c>
    </row>
    <row r="2" spans="1:14" s="263" customFormat="1" ht="15" thickTop="1" x14ac:dyDescent="0.25">
      <c r="A2" s="3"/>
      <c r="B2" s="3"/>
      <c r="C2" s="3"/>
      <c r="D2" s="3"/>
      <c r="E2" s="3"/>
      <c r="F2" s="210" t="s">
        <v>508</v>
      </c>
      <c r="G2" s="274"/>
      <c r="H2" s="272"/>
      <c r="I2" s="270"/>
      <c r="J2" s="354"/>
      <c r="K2" s="271"/>
      <c r="L2" s="354"/>
      <c r="M2" s="273"/>
      <c r="N2" s="273"/>
    </row>
    <row r="3" spans="1:14" x14ac:dyDescent="0.2">
      <c r="A3" s="34" t="s">
        <v>0</v>
      </c>
      <c r="B3" s="34"/>
      <c r="C3" s="34"/>
      <c r="D3" s="34"/>
      <c r="E3" s="34"/>
      <c r="F3" s="34"/>
      <c r="G3" s="34"/>
      <c r="H3" s="8"/>
      <c r="I3" s="8"/>
      <c r="J3" s="16"/>
      <c r="K3" s="122"/>
      <c r="L3" s="16"/>
    </row>
    <row r="4" spans="1:14" x14ac:dyDescent="0.2">
      <c r="A4" s="34"/>
      <c r="B4" s="34" t="s">
        <v>488</v>
      </c>
      <c r="C4" s="34"/>
      <c r="D4" s="34"/>
      <c r="E4" s="34"/>
      <c r="F4" s="34"/>
      <c r="G4" s="34"/>
      <c r="H4" s="8"/>
      <c r="I4" s="16"/>
      <c r="J4" s="16"/>
      <c r="K4" s="122"/>
      <c r="L4" s="16"/>
    </row>
    <row r="5" spans="1:14" x14ac:dyDescent="0.2">
      <c r="A5" s="1"/>
      <c r="B5" s="1"/>
      <c r="C5" s="1" t="s">
        <v>2</v>
      </c>
      <c r="D5" s="1"/>
      <c r="E5" s="1"/>
      <c r="F5" s="1"/>
      <c r="G5" s="1"/>
      <c r="H5" s="8"/>
      <c r="I5" s="16"/>
      <c r="J5" s="16"/>
      <c r="K5" s="122"/>
      <c r="L5" s="16"/>
    </row>
    <row r="6" spans="1:14" x14ac:dyDescent="0.2">
      <c r="A6" s="1"/>
      <c r="B6" s="1"/>
      <c r="C6" s="1"/>
      <c r="D6" s="1" t="s">
        <v>3</v>
      </c>
      <c r="E6" s="1"/>
      <c r="F6" s="1"/>
      <c r="G6" s="1"/>
      <c r="H6" s="8"/>
      <c r="I6" s="16"/>
      <c r="J6" s="16"/>
      <c r="K6" s="122"/>
      <c r="L6" s="16"/>
    </row>
    <row r="7" spans="1:14" x14ac:dyDescent="0.2">
      <c r="A7" s="1"/>
      <c r="B7" s="1"/>
      <c r="C7" s="1"/>
      <c r="D7" s="1"/>
      <c r="E7" s="1" t="s">
        <v>4</v>
      </c>
      <c r="F7" s="1"/>
      <c r="G7" s="1"/>
      <c r="H7" s="8">
        <v>327393</v>
      </c>
      <c r="I7" s="29">
        <v>370000</v>
      </c>
      <c r="J7" s="16">
        <v>339400</v>
      </c>
      <c r="K7" s="250">
        <v>356370</v>
      </c>
      <c r="L7" s="16">
        <f>K7-J7</f>
        <v>16970</v>
      </c>
      <c r="M7" s="383" t="s">
        <v>597</v>
      </c>
      <c r="N7" s="17" t="s">
        <v>147</v>
      </c>
    </row>
    <row r="8" spans="1:14" x14ac:dyDescent="0.2">
      <c r="A8" s="1"/>
      <c r="B8" s="1"/>
      <c r="C8" s="1"/>
      <c r="D8" s="1"/>
      <c r="E8" s="1" t="s">
        <v>5</v>
      </c>
      <c r="F8" s="1"/>
      <c r="G8" s="1"/>
      <c r="H8" s="8">
        <v>173685</v>
      </c>
      <c r="I8" s="29">
        <v>160000</v>
      </c>
      <c r="J8" s="16">
        <v>172800</v>
      </c>
      <c r="K8" s="250">
        <v>181440</v>
      </c>
      <c r="L8" s="16">
        <f t="shared" ref="L8:L70" si="0">K8-J8</f>
        <v>8640</v>
      </c>
      <c r="M8" s="384"/>
      <c r="N8" s="17" t="s">
        <v>147</v>
      </c>
    </row>
    <row r="9" spans="1:14" ht="15" thickBot="1" x14ac:dyDescent="0.25">
      <c r="A9" s="1"/>
      <c r="B9" s="1"/>
      <c r="C9" s="1"/>
      <c r="D9" s="1"/>
      <c r="E9" s="1" t="s">
        <v>6</v>
      </c>
      <c r="F9" s="1"/>
      <c r="G9" s="1"/>
      <c r="H9" s="12">
        <v>38659</v>
      </c>
      <c r="I9" s="29">
        <v>40000</v>
      </c>
      <c r="J9" s="16">
        <v>37800</v>
      </c>
      <c r="K9" s="250">
        <v>39690</v>
      </c>
      <c r="L9" s="16">
        <f t="shared" si="0"/>
        <v>1890</v>
      </c>
      <c r="M9" s="384"/>
      <c r="N9" s="17" t="s">
        <v>147</v>
      </c>
    </row>
    <row r="10" spans="1:14" ht="15" thickBot="1" x14ac:dyDescent="0.25">
      <c r="A10" s="1"/>
      <c r="B10" s="1"/>
      <c r="C10" s="1"/>
      <c r="D10" s="1" t="s">
        <v>7</v>
      </c>
      <c r="E10" s="1"/>
      <c r="F10" s="1"/>
      <c r="G10" s="1"/>
      <c r="H10" s="9">
        <f>ROUND(SUM(H6:H9),5)</f>
        <v>539737</v>
      </c>
      <c r="I10" s="24">
        <f>ROUND(SUM(I6:I9),5)</f>
        <v>570000</v>
      </c>
      <c r="J10" s="24">
        <f>ROUND(SUM(J6:J9),5)</f>
        <v>550000</v>
      </c>
      <c r="K10" s="125">
        <f>ROUND(SUM(K6:K9),5)</f>
        <v>577500</v>
      </c>
      <c r="L10" s="24">
        <f t="shared" si="0"/>
        <v>27500</v>
      </c>
    </row>
    <row r="11" spans="1:14" x14ac:dyDescent="0.2">
      <c r="A11" s="1"/>
      <c r="B11" s="1"/>
      <c r="C11" s="1" t="s">
        <v>8</v>
      </c>
      <c r="D11" s="1"/>
      <c r="E11" s="1"/>
      <c r="F11" s="1"/>
      <c r="G11" s="1"/>
      <c r="H11" s="8">
        <f>ROUND(H5+H10,5)</f>
        <v>539737</v>
      </c>
      <c r="I11" s="16">
        <f>ROUND(I5+I10,5)</f>
        <v>570000</v>
      </c>
      <c r="J11" s="16">
        <f>ROUND(J5+J10,5)</f>
        <v>550000</v>
      </c>
      <c r="K11" s="122">
        <f>ROUND(K5+K10,5)</f>
        <v>577500</v>
      </c>
      <c r="L11" s="16">
        <f t="shared" si="0"/>
        <v>27500</v>
      </c>
    </row>
    <row r="12" spans="1:14" ht="25.5" x14ac:dyDescent="0.2">
      <c r="A12" s="1"/>
      <c r="B12" s="34" t="s">
        <v>482</v>
      </c>
      <c r="C12" s="157"/>
      <c r="D12" s="157"/>
      <c r="E12" s="157"/>
      <c r="F12" s="157"/>
      <c r="G12" s="157"/>
      <c r="H12" s="280">
        <f t="shared" ref="H12:I12" si="1">H11</f>
        <v>539737</v>
      </c>
      <c r="I12" s="281">
        <f t="shared" si="1"/>
        <v>570000</v>
      </c>
      <c r="J12" s="281">
        <f>J11</f>
        <v>550000</v>
      </c>
      <c r="K12" s="144">
        <f>K11</f>
        <v>577500</v>
      </c>
      <c r="L12" s="281">
        <f t="shared" si="0"/>
        <v>27500</v>
      </c>
      <c r="M12" s="360" t="s">
        <v>593</v>
      </c>
    </row>
    <row r="13" spans="1:14" x14ac:dyDescent="0.2">
      <c r="A13" s="1"/>
      <c r="B13" s="34"/>
      <c r="C13" s="157"/>
      <c r="D13" s="157"/>
      <c r="E13" s="157"/>
      <c r="F13" s="157"/>
      <c r="G13" s="157"/>
      <c r="H13" s="279"/>
      <c r="I13" s="158"/>
      <c r="J13" s="158"/>
      <c r="K13" s="159"/>
      <c r="L13" s="158"/>
    </row>
    <row r="14" spans="1:14" x14ac:dyDescent="0.2">
      <c r="A14" s="1"/>
      <c r="B14" s="34" t="s">
        <v>489</v>
      </c>
      <c r="C14" s="1"/>
      <c r="D14" s="1"/>
      <c r="E14" s="1"/>
      <c r="F14" s="1"/>
      <c r="G14" s="1"/>
      <c r="H14" s="8"/>
      <c r="I14" s="16"/>
      <c r="J14" s="16"/>
      <c r="K14" s="122"/>
      <c r="L14" s="16"/>
    </row>
    <row r="15" spans="1:14" x14ac:dyDescent="0.2">
      <c r="A15" s="1"/>
      <c r="B15" s="1"/>
      <c r="C15" s="1" t="s">
        <v>17</v>
      </c>
      <c r="D15" s="1"/>
      <c r="E15" s="1"/>
      <c r="F15" s="1"/>
      <c r="G15" s="1"/>
      <c r="H15" s="8"/>
      <c r="I15" s="16"/>
      <c r="J15" s="16"/>
      <c r="K15" s="122"/>
      <c r="L15" s="16"/>
    </row>
    <row r="16" spans="1:14" x14ac:dyDescent="0.2">
      <c r="A16" s="1"/>
      <c r="B16" s="1"/>
      <c r="C16" s="1" t="s">
        <v>10</v>
      </c>
      <c r="D16" s="1"/>
      <c r="E16" s="1"/>
      <c r="F16" s="1"/>
      <c r="G16" s="1"/>
      <c r="H16" s="8"/>
      <c r="I16" s="16"/>
      <c r="J16" s="16"/>
      <c r="K16" s="122"/>
      <c r="L16" s="16"/>
    </row>
    <row r="17" spans="1:14" ht="34.5" thickBot="1" x14ac:dyDescent="0.25">
      <c r="A17" s="1"/>
      <c r="B17" s="1"/>
      <c r="C17" s="1"/>
      <c r="D17" s="1" t="s">
        <v>11</v>
      </c>
      <c r="E17" s="1"/>
      <c r="F17" s="1"/>
      <c r="G17" s="1"/>
      <c r="H17" s="11">
        <v>8905</v>
      </c>
      <c r="I17" s="235">
        <v>9440</v>
      </c>
      <c r="J17" s="25">
        <v>9953</v>
      </c>
      <c r="K17" s="123">
        <f>'Personnel 2019'!G32</f>
        <v>8671.8701700000001</v>
      </c>
      <c r="L17" s="25">
        <f t="shared" si="0"/>
        <v>-1281.1298299999999</v>
      </c>
      <c r="M17" s="154" t="s">
        <v>530</v>
      </c>
      <c r="N17" s="17" t="s">
        <v>396</v>
      </c>
    </row>
    <row r="18" spans="1:14" x14ac:dyDescent="0.2">
      <c r="A18" s="1"/>
      <c r="B18" s="1"/>
      <c r="C18" s="1" t="s">
        <v>12</v>
      </c>
      <c r="D18" s="1"/>
      <c r="E18" s="1"/>
      <c r="F18" s="1"/>
      <c r="G18" s="1"/>
      <c r="H18" s="8">
        <f>ROUND(SUM(H16:H17),5)</f>
        <v>8905</v>
      </c>
      <c r="I18" s="8">
        <f>ROUND(SUM(I16:I17),5)</f>
        <v>9440</v>
      </c>
      <c r="J18" s="16">
        <f>ROUND(SUM(J16:J17),5)</f>
        <v>9953</v>
      </c>
      <c r="K18" s="122">
        <f>ROUND(SUM(K16:K17),5)</f>
        <v>8671.8701700000001</v>
      </c>
      <c r="L18" s="16">
        <f t="shared" si="0"/>
        <v>-1281.1298299999999</v>
      </c>
    </row>
    <row r="19" spans="1:14" x14ac:dyDescent="0.2">
      <c r="A19" s="1"/>
      <c r="B19" s="1"/>
      <c r="C19" s="1"/>
      <c r="D19" s="1" t="s">
        <v>18</v>
      </c>
      <c r="E19" s="1"/>
      <c r="F19" s="1"/>
      <c r="G19" s="1"/>
      <c r="H19" s="8"/>
      <c r="I19" s="16"/>
      <c r="J19" s="16"/>
      <c r="K19" s="122"/>
      <c r="L19" s="16"/>
    </row>
    <row r="20" spans="1:14" x14ac:dyDescent="0.2">
      <c r="A20" s="1"/>
      <c r="B20" s="1"/>
      <c r="C20" s="1"/>
      <c r="D20" s="1"/>
      <c r="E20" s="1" t="s">
        <v>19</v>
      </c>
      <c r="F20" s="1"/>
      <c r="G20" s="1"/>
      <c r="H20" s="8">
        <v>118425</v>
      </c>
      <c r="I20" s="29">
        <v>112036</v>
      </c>
      <c r="J20" s="16">
        <v>118559</v>
      </c>
      <c r="K20" s="122">
        <f>'Personnel 2019'!F27</f>
        <v>104507.78</v>
      </c>
      <c r="L20" s="16">
        <f t="shared" si="0"/>
        <v>-14051.220000000001</v>
      </c>
      <c r="M20" s="17" t="s">
        <v>403</v>
      </c>
    </row>
    <row r="21" spans="1:14" x14ac:dyDescent="0.2">
      <c r="A21" s="1"/>
      <c r="B21" s="1"/>
      <c r="C21" s="1"/>
      <c r="D21" s="1"/>
      <c r="E21" s="1" t="s">
        <v>20</v>
      </c>
      <c r="F21" s="1"/>
      <c r="G21" s="1"/>
      <c r="H21" s="8">
        <v>1767</v>
      </c>
      <c r="I21" s="29">
        <v>5000</v>
      </c>
      <c r="J21" s="16">
        <v>2947</v>
      </c>
      <c r="K21" s="250">
        <v>2000</v>
      </c>
      <c r="L21" s="16">
        <f t="shared" si="0"/>
        <v>-947</v>
      </c>
      <c r="M21" s="17" t="s">
        <v>403</v>
      </c>
    </row>
    <row r="22" spans="1:14" ht="15" thickBot="1" x14ac:dyDescent="0.25">
      <c r="A22" s="1"/>
      <c r="B22" s="1"/>
      <c r="C22" s="1"/>
      <c r="D22" s="1"/>
      <c r="E22" s="1" t="s">
        <v>21</v>
      </c>
      <c r="F22" s="1"/>
      <c r="G22" s="1"/>
      <c r="H22" s="11">
        <v>264</v>
      </c>
      <c r="I22" s="235">
        <v>4562</v>
      </c>
      <c r="J22" s="25">
        <v>1757</v>
      </c>
      <c r="K22" s="251">
        <v>3640</v>
      </c>
      <c r="L22" s="25">
        <f t="shared" si="0"/>
        <v>1883</v>
      </c>
      <c r="M22" s="224" t="s">
        <v>560</v>
      </c>
    </row>
    <row r="23" spans="1:14" x14ac:dyDescent="0.2">
      <c r="A23" s="1"/>
      <c r="B23" s="1"/>
      <c r="C23" s="1"/>
      <c r="D23" s="1" t="s">
        <v>22</v>
      </c>
      <c r="E23" s="1"/>
      <c r="F23" s="1"/>
      <c r="G23" s="1"/>
      <c r="H23" s="8">
        <f>ROUND(SUM(H19:H22),5)</f>
        <v>120456</v>
      </c>
      <c r="I23" s="16">
        <f>ROUND(SUM(I19:I22),5)</f>
        <v>121598</v>
      </c>
      <c r="J23" s="16">
        <f>ROUND(SUM(J19:J22),5)</f>
        <v>123263</v>
      </c>
      <c r="K23" s="122">
        <f>ROUND(SUM(K19:K22),5)</f>
        <v>110147.78</v>
      </c>
      <c r="L23" s="16">
        <f t="shared" si="0"/>
        <v>-13115.220000000001</v>
      </c>
      <c r="M23" s="17" t="s">
        <v>567</v>
      </c>
      <c r="N23" s="17" t="s">
        <v>148</v>
      </c>
    </row>
    <row r="24" spans="1:14" x14ac:dyDescent="0.2">
      <c r="A24" s="1"/>
      <c r="B24" s="1"/>
      <c r="C24" s="1"/>
      <c r="D24" s="1" t="s">
        <v>23</v>
      </c>
      <c r="E24" s="1"/>
      <c r="F24" s="1"/>
      <c r="G24" s="1"/>
      <c r="H24" s="8"/>
      <c r="I24" s="16"/>
      <c r="J24" s="16"/>
      <c r="K24" s="122"/>
      <c r="L24" s="16"/>
    </row>
    <row r="25" spans="1:14" ht="15" thickBot="1" x14ac:dyDescent="0.25">
      <c r="A25" s="1"/>
      <c r="B25" s="1"/>
      <c r="C25" s="1"/>
      <c r="D25" s="1"/>
      <c r="E25" s="1" t="s">
        <v>24</v>
      </c>
      <c r="F25" s="1"/>
      <c r="G25" s="1"/>
      <c r="H25" s="11">
        <v>0</v>
      </c>
      <c r="I25" s="235">
        <v>1800</v>
      </c>
      <c r="J25" s="25">
        <v>4436</v>
      </c>
      <c r="K25" s="123">
        <f>'Personnel 2019'!F29</f>
        <v>3250</v>
      </c>
      <c r="L25" s="25">
        <f t="shared" si="0"/>
        <v>-1186</v>
      </c>
      <c r="M25" s="17" t="s">
        <v>403</v>
      </c>
      <c r="N25" s="17" t="s">
        <v>149</v>
      </c>
    </row>
    <row r="26" spans="1:14" x14ac:dyDescent="0.2">
      <c r="A26" s="1"/>
      <c r="B26" s="1"/>
      <c r="C26" s="1"/>
      <c r="D26" s="1" t="s">
        <v>25</v>
      </c>
      <c r="E26" s="1"/>
      <c r="F26" s="1"/>
      <c r="G26" s="1"/>
      <c r="H26" s="8">
        <f>ROUND(SUM(H24:H25),5)</f>
        <v>0</v>
      </c>
      <c r="I26" s="16">
        <f>ROUND(SUM(I24:I25),5)</f>
        <v>1800</v>
      </c>
      <c r="J26" s="16">
        <f>ROUND(SUM(J24:J25),5)</f>
        <v>4436</v>
      </c>
      <c r="K26" s="122">
        <f>ROUND(SUM(K24:K25),5)</f>
        <v>3250</v>
      </c>
      <c r="L26" s="16">
        <f t="shared" si="0"/>
        <v>-1186</v>
      </c>
    </row>
    <row r="27" spans="1:14" x14ac:dyDescent="0.2">
      <c r="A27" s="1"/>
      <c r="B27" s="1"/>
      <c r="C27" s="1"/>
      <c r="D27" s="1" t="s">
        <v>26</v>
      </c>
      <c r="E27" s="1"/>
      <c r="F27" s="1"/>
      <c r="G27" s="1"/>
      <c r="H27" s="8"/>
      <c r="I27" s="16"/>
      <c r="J27" s="16"/>
      <c r="K27" s="122"/>
      <c r="L27" s="16"/>
    </row>
    <row r="28" spans="1:14" ht="45.75" thickBot="1" x14ac:dyDescent="0.25">
      <c r="A28" s="1"/>
      <c r="B28" s="1"/>
      <c r="C28" s="1"/>
      <c r="D28" s="1"/>
      <c r="E28" s="1" t="s">
        <v>27</v>
      </c>
      <c r="F28" s="1"/>
      <c r="G28" s="1"/>
      <c r="H28" s="11">
        <v>29504</v>
      </c>
      <c r="I28" s="235">
        <f>49187-4368-9440-2500</f>
        <v>32879</v>
      </c>
      <c r="J28" s="25">
        <v>34251</v>
      </c>
      <c r="K28" s="123">
        <f>'Personnel 2019'!H32+'Personnel 2019'!I32+'Personnel 2019'!J32</f>
        <v>38685.325720000001</v>
      </c>
      <c r="L28" s="25">
        <f t="shared" si="0"/>
        <v>4434.3257200000007</v>
      </c>
      <c r="M28" s="17" t="s">
        <v>504</v>
      </c>
      <c r="N28" s="17" t="s">
        <v>397</v>
      </c>
    </row>
    <row r="29" spans="1:14" x14ac:dyDescent="0.2">
      <c r="A29" s="1"/>
      <c r="B29" s="1"/>
      <c r="C29" s="1"/>
      <c r="D29" s="1" t="s">
        <v>28</v>
      </c>
      <c r="E29" s="1"/>
      <c r="F29" s="1"/>
      <c r="G29" s="1"/>
      <c r="H29" s="8">
        <f>ROUND(SUM(H27:H28),5)</f>
        <v>29504</v>
      </c>
      <c r="I29" s="16">
        <f>ROUND(SUM(I27:I28),5)</f>
        <v>32879</v>
      </c>
      <c r="J29" s="16">
        <f>ROUND(SUM(J27:J28),5)</f>
        <v>34251</v>
      </c>
      <c r="K29" s="122">
        <f>ROUND(SUM(K27:K28),5)</f>
        <v>38685.325720000001</v>
      </c>
      <c r="L29" s="16">
        <f t="shared" si="0"/>
        <v>4434.3257200000007</v>
      </c>
      <c r="M29" s="224" t="s">
        <v>561</v>
      </c>
    </row>
    <row r="30" spans="1:14" x14ac:dyDescent="0.2">
      <c r="A30" s="1"/>
      <c r="B30" s="1"/>
      <c r="C30" s="1"/>
      <c r="D30" s="1" t="s">
        <v>495</v>
      </c>
      <c r="E30" s="1"/>
      <c r="F30" s="1"/>
      <c r="G30" s="1"/>
      <c r="H30" s="8">
        <v>308</v>
      </c>
      <c r="I30" s="16"/>
      <c r="J30" s="16"/>
      <c r="K30" s="122"/>
      <c r="L30" s="16">
        <f t="shared" si="0"/>
        <v>0</v>
      </c>
    </row>
    <row r="31" spans="1:14" x14ac:dyDescent="0.2">
      <c r="A31" s="1"/>
      <c r="B31" s="1"/>
      <c r="C31" s="1"/>
      <c r="D31" s="1" t="s">
        <v>29</v>
      </c>
      <c r="E31" s="1"/>
      <c r="F31" s="1"/>
      <c r="G31" s="1"/>
      <c r="H31" s="8"/>
      <c r="I31" s="16"/>
      <c r="J31" s="16"/>
      <c r="K31" s="122"/>
      <c r="L31" s="16"/>
    </row>
    <row r="32" spans="1:14" x14ac:dyDescent="0.2">
      <c r="A32" s="1"/>
      <c r="B32" s="1"/>
      <c r="C32" s="1"/>
      <c r="D32" s="1"/>
      <c r="E32" s="1" t="s">
        <v>30</v>
      </c>
      <c r="F32" s="1"/>
      <c r="G32" s="1"/>
      <c r="H32" s="8">
        <v>5339</v>
      </c>
      <c r="I32" s="16"/>
      <c r="J32" s="16">
        <v>3612</v>
      </c>
      <c r="K32" s="250">
        <v>3800</v>
      </c>
      <c r="L32" s="16">
        <f t="shared" si="0"/>
        <v>188</v>
      </c>
      <c r="M32" s="224" t="s">
        <v>562</v>
      </c>
    </row>
    <row r="33" spans="1:13" x14ac:dyDescent="0.2">
      <c r="A33" s="1"/>
      <c r="B33" s="1"/>
      <c r="C33" s="1"/>
      <c r="D33" s="1"/>
      <c r="E33" s="1" t="s">
        <v>31</v>
      </c>
      <c r="F33" s="1"/>
      <c r="G33" s="1"/>
      <c r="H33" s="8">
        <v>33252</v>
      </c>
      <c r="I33" s="16">
        <v>21000</v>
      </c>
      <c r="J33" s="16">
        <v>31766</v>
      </c>
      <c r="K33" s="250">
        <v>31000</v>
      </c>
      <c r="L33" s="16">
        <f t="shared" si="0"/>
        <v>-766</v>
      </c>
    </row>
    <row r="34" spans="1:13" x14ac:dyDescent="0.2">
      <c r="A34" s="1"/>
      <c r="B34" s="1"/>
      <c r="C34" s="1"/>
      <c r="D34" s="1" t="s">
        <v>32</v>
      </c>
      <c r="E34" s="1"/>
      <c r="F34" s="1"/>
      <c r="G34" s="1"/>
      <c r="H34" s="8">
        <f>ROUND(SUM(H31:H33),5)</f>
        <v>38591</v>
      </c>
      <c r="I34" s="16">
        <f>ROUND(SUM(I31:I33),5)</f>
        <v>21000</v>
      </c>
      <c r="J34" s="16">
        <f>ROUND(SUM(J31:J33),5)</f>
        <v>35378</v>
      </c>
      <c r="K34" s="122">
        <f>ROUND(SUM(K31:K33),5)</f>
        <v>34800</v>
      </c>
      <c r="L34" s="16">
        <f t="shared" si="0"/>
        <v>-578</v>
      </c>
    </row>
    <row r="35" spans="1:13" x14ac:dyDescent="0.2">
      <c r="A35" s="1"/>
      <c r="B35" s="1"/>
      <c r="C35" s="1"/>
      <c r="D35" s="1" t="s">
        <v>33</v>
      </c>
      <c r="E35" s="1"/>
      <c r="F35" s="1"/>
      <c r="G35" s="1"/>
      <c r="H35" s="8"/>
      <c r="I35" s="16"/>
      <c r="J35" s="16"/>
      <c r="K35" s="122"/>
      <c r="L35" s="16"/>
    </row>
    <row r="36" spans="1:13" ht="15" thickBot="1" x14ac:dyDescent="0.25">
      <c r="A36" s="1"/>
      <c r="B36" s="1"/>
      <c r="C36" s="1"/>
      <c r="D36" s="1"/>
      <c r="E36" s="1" t="s">
        <v>34</v>
      </c>
      <c r="F36" s="1"/>
      <c r="G36" s="1"/>
      <c r="H36" s="11">
        <v>24628</v>
      </c>
      <c r="I36" s="25">
        <v>4400</v>
      </c>
      <c r="J36" s="25">
        <v>40107</v>
      </c>
      <c r="K36" s="251">
        <v>40000</v>
      </c>
      <c r="L36" s="25">
        <f t="shared" si="0"/>
        <v>-107</v>
      </c>
      <c r="M36" s="224" t="s">
        <v>563</v>
      </c>
    </row>
    <row r="37" spans="1:13" x14ac:dyDescent="0.2">
      <c r="A37" s="1"/>
      <c r="B37" s="1"/>
      <c r="C37" s="1"/>
      <c r="D37" s="1" t="s">
        <v>35</v>
      </c>
      <c r="E37" s="1"/>
      <c r="F37" s="1"/>
      <c r="G37" s="1"/>
      <c r="H37" s="8">
        <f>ROUND(SUM(H35:H36),5)</f>
        <v>24628</v>
      </c>
      <c r="I37" s="16">
        <f>ROUND(SUM(I35:I36),5)</f>
        <v>4400</v>
      </c>
      <c r="J37" s="16">
        <f>ROUND(SUM(J35:J36),5)</f>
        <v>40107</v>
      </c>
      <c r="K37" s="122">
        <f>ROUND(SUM(K35:K36),5)</f>
        <v>40000</v>
      </c>
      <c r="L37" s="16">
        <f t="shared" si="0"/>
        <v>-107</v>
      </c>
    </row>
    <row r="38" spans="1:13" x14ac:dyDescent="0.2">
      <c r="A38" s="1"/>
      <c r="B38" s="1"/>
      <c r="C38" s="1"/>
      <c r="D38" s="1" t="s">
        <v>36</v>
      </c>
      <c r="E38" s="1"/>
      <c r="F38" s="1"/>
      <c r="G38" s="1"/>
      <c r="H38" s="8"/>
      <c r="I38" s="16"/>
      <c r="J38" s="16"/>
      <c r="K38" s="122"/>
      <c r="L38" s="16"/>
    </row>
    <row r="39" spans="1:13" x14ac:dyDescent="0.2">
      <c r="A39" s="1"/>
      <c r="B39" s="1"/>
      <c r="C39" s="1"/>
      <c r="D39" s="1"/>
      <c r="E39" s="1" t="s">
        <v>444</v>
      </c>
      <c r="F39" s="1"/>
      <c r="G39" s="1"/>
      <c r="H39" s="8"/>
      <c r="I39" s="16"/>
      <c r="J39" s="16"/>
      <c r="K39" s="122"/>
      <c r="L39" s="16">
        <f t="shared" si="0"/>
        <v>0</v>
      </c>
    </row>
    <row r="40" spans="1:13" x14ac:dyDescent="0.2">
      <c r="A40" s="1"/>
      <c r="B40" s="1"/>
      <c r="C40" s="1"/>
      <c r="D40" s="1"/>
      <c r="E40" s="1"/>
      <c r="F40" s="1" t="s">
        <v>445</v>
      </c>
      <c r="G40" s="1"/>
      <c r="H40" s="8">
        <v>853</v>
      </c>
      <c r="I40" s="16"/>
      <c r="J40" s="16">
        <v>2811</v>
      </c>
      <c r="K40" s="122">
        <v>2800</v>
      </c>
      <c r="L40" s="16">
        <f t="shared" si="0"/>
        <v>-11</v>
      </c>
    </row>
    <row r="41" spans="1:13" ht="15" thickBot="1" x14ac:dyDescent="0.25">
      <c r="A41" s="1"/>
      <c r="B41" s="1"/>
      <c r="C41" s="1"/>
      <c r="D41" s="1"/>
      <c r="E41" s="1"/>
      <c r="F41" s="1" t="s">
        <v>446</v>
      </c>
      <c r="G41" s="1"/>
      <c r="H41" s="11">
        <v>114</v>
      </c>
      <c r="I41" s="25"/>
      <c r="J41" s="25">
        <v>158</v>
      </c>
      <c r="K41" s="123">
        <v>100</v>
      </c>
      <c r="L41" s="25">
        <f t="shared" si="0"/>
        <v>-58</v>
      </c>
    </row>
    <row r="42" spans="1:13" x14ac:dyDescent="0.2">
      <c r="A42" s="1"/>
      <c r="B42" s="1"/>
      <c r="C42" s="1"/>
      <c r="D42" s="1"/>
      <c r="E42" s="1" t="s">
        <v>447</v>
      </c>
      <c r="F42" s="1"/>
      <c r="G42" s="1"/>
      <c r="H42" s="8">
        <f>SUM(H40:H41)</f>
        <v>967</v>
      </c>
      <c r="I42" s="16">
        <f>SUM(I40:I41)</f>
        <v>0</v>
      </c>
      <c r="J42" s="16">
        <f>SUM(J40:J41)</f>
        <v>2969</v>
      </c>
      <c r="K42" s="122">
        <f>SUM(K40:K41)</f>
        <v>2900</v>
      </c>
      <c r="L42" s="16">
        <f t="shared" si="0"/>
        <v>-69</v>
      </c>
    </row>
    <row r="43" spans="1:13" x14ac:dyDescent="0.2">
      <c r="A43" s="1"/>
      <c r="B43" s="1"/>
      <c r="C43" s="1"/>
      <c r="D43" s="1"/>
      <c r="E43" s="1" t="s">
        <v>37</v>
      </c>
      <c r="F43" s="1"/>
      <c r="G43" s="1"/>
      <c r="H43" s="8"/>
      <c r="I43" s="16"/>
      <c r="J43" s="16"/>
      <c r="K43" s="122"/>
      <c r="L43" s="16"/>
    </row>
    <row r="44" spans="1:13" ht="15" thickBot="1" x14ac:dyDescent="0.25">
      <c r="A44" s="1"/>
      <c r="B44" s="1"/>
      <c r="C44" s="1"/>
      <c r="D44" s="1"/>
      <c r="E44" s="1"/>
      <c r="F44" s="1" t="s">
        <v>38</v>
      </c>
      <c r="G44" s="1"/>
      <c r="H44" s="11">
        <v>11674</v>
      </c>
      <c r="I44" s="27">
        <v>0</v>
      </c>
      <c r="J44" s="25">
        <v>13503</v>
      </c>
      <c r="K44" s="123">
        <v>10000</v>
      </c>
      <c r="L44" s="25">
        <f t="shared" si="0"/>
        <v>-3503</v>
      </c>
    </row>
    <row r="45" spans="1:13" x14ac:dyDescent="0.2">
      <c r="A45" s="1"/>
      <c r="B45" s="1"/>
      <c r="C45" s="1"/>
      <c r="D45" s="1"/>
      <c r="E45" s="1" t="s">
        <v>39</v>
      </c>
      <c r="F45" s="1"/>
      <c r="G45" s="1"/>
      <c r="H45" s="8">
        <f>ROUND(SUM(H43:H44),5)</f>
        <v>11674</v>
      </c>
      <c r="I45" s="16">
        <f>ROUND(SUM(I43:I44),5)</f>
        <v>0</v>
      </c>
      <c r="J45" s="16">
        <f>ROUND(SUM(J43:J44),5)</f>
        <v>13503</v>
      </c>
      <c r="K45" s="122">
        <f>ROUND(SUM(K43:K44),5)</f>
        <v>10000</v>
      </c>
      <c r="L45" s="16">
        <f t="shared" si="0"/>
        <v>-3503</v>
      </c>
    </row>
    <row r="46" spans="1:13" x14ac:dyDescent="0.2">
      <c r="A46" s="1"/>
      <c r="B46" s="1"/>
      <c r="C46" s="1"/>
      <c r="D46" s="1"/>
      <c r="E46" s="1" t="s">
        <v>40</v>
      </c>
      <c r="F46" s="1"/>
      <c r="G46" s="1"/>
      <c r="H46" s="8"/>
      <c r="I46" s="16"/>
      <c r="J46" s="16"/>
      <c r="K46" s="122"/>
      <c r="L46" s="16"/>
    </row>
    <row r="47" spans="1:13" x14ac:dyDescent="0.2">
      <c r="A47" s="1"/>
      <c r="B47" s="1"/>
      <c r="C47" s="1"/>
      <c r="D47" s="1"/>
      <c r="E47" s="1"/>
      <c r="F47" s="1" t="s">
        <v>41</v>
      </c>
      <c r="G47" s="1"/>
      <c r="H47" s="8">
        <v>2347</v>
      </c>
      <c r="I47" s="16">
        <v>900</v>
      </c>
      <c r="J47" s="16">
        <v>3323</v>
      </c>
      <c r="K47" s="122">
        <v>1500</v>
      </c>
      <c r="L47" s="16">
        <f t="shared" si="0"/>
        <v>-1823</v>
      </c>
    </row>
    <row r="48" spans="1:13" x14ac:dyDescent="0.2">
      <c r="A48" s="1"/>
      <c r="B48" s="1"/>
      <c r="C48" s="1"/>
      <c r="D48" s="1"/>
      <c r="E48" s="1"/>
      <c r="F48" s="1" t="s">
        <v>42</v>
      </c>
      <c r="G48" s="1"/>
      <c r="H48" s="8">
        <v>1889</v>
      </c>
      <c r="I48" s="16"/>
      <c r="J48" s="16">
        <v>1410</v>
      </c>
      <c r="K48" s="122">
        <v>1000</v>
      </c>
      <c r="L48" s="16">
        <f t="shared" si="0"/>
        <v>-410</v>
      </c>
    </row>
    <row r="49" spans="1:14" x14ac:dyDescent="0.2">
      <c r="A49" s="1"/>
      <c r="B49" s="1"/>
      <c r="C49" s="1"/>
      <c r="D49" s="1"/>
      <c r="E49" s="1"/>
      <c r="F49" s="1" t="s">
        <v>599</v>
      </c>
      <c r="G49" s="1"/>
      <c r="H49" s="8">
        <v>1889</v>
      </c>
      <c r="I49" s="16"/>
      <c r="J49" s="16">
        <v>583</v>
      </c>
      <c r="K49" s="122">
        <v>600</v>
      </c>
      <c r="L49" s="16">
        <f t="shared" si="0"/>
        <v>17</v>
      </c>
      <c r="M49" s="348"/>
      <c r="N49" s="348"/>
    </row>
    <row r="50" spans="1:14" ht="23.25" thickBot="1" x14ac:dyDescent="0.25">
      <c r="A50" s="1"/>
      <c r="B50" s="1"/>
      <c r="C50" s="1"/>
      <c r="D50" s="1"/>
      <c r="E50" s="1"/>
      <c r="F50" s="1" t="s">
        <v>601</v>
      </c>
      <c r="G50" s="1"/>
      <c r="H50" s="11"/>
      <c r="I50" s="25">
        <v>2500</v>
      </c>
      <c r="J50" s="25"/>
      <c r="K50" s="123">
        <v>1500</v>
      </c>
      <c r="L50" s="25">
        <f t="shared" si="0"/>
        <v>1500</v>
      </c>
      <c r="M50" s="352" t="s">
        <v>600</v>
      </c>
    </row>
    <row r="51" spans="1:14" x14ac:dyDescent="0.2">
      <c r="A51" s="1"/>
      <c r="B51" s="1"/>
      <c r="C51" s="1"/>
      <c r="D51" s="1"/>
      <c r="E51" s="1" t="s">
        <v>43</v>
      </c>
      <c r="F51" s="1"/>
      <c r="G51" s="1"/>
      <c r="H51" s="8">
        <f>ROUND(SUM(H46:H50),5)</f>
        <v>6125</v>
      </c>
      <c r="I51" s="16">
        <f>ROUND(SUM(I46:I50),5)</f>
        <v>3400</v>
      </c>
      <c r="J51" s="16">
        <f>ROUND(SUM(J46:J50),5)</f>
        <v>5316</v>
      </c>
      <c r="K51" s="122">
        <f>ROUND(SUM(K46:K50),5)</f>
        <v>4600</v>
      </c>
      <c r="L51" s="16">
        <f t="shared" si="0"/>
        <v>-716</v>
      </c>
    </row>
    <row r="52" spans="1:14" x14ac:dyDescent="0.2">
      <c r="A52" s="1"/>
      <c r="B52" s="1"/>
      <c r="C52" s="1"/>
      <c r="D52" s="1"/>
      <c r="E52" s="1" t="s">
        <v>44</v>
      </c>
      <c r="F52" s="1"/>
      <c r="G52" s="1"/>
      <c r="H52" s="8"/>
      <c r="I52" s="16"/>
      <c r="J52" s="16"/>
      <c r="K52" s="122"/>
      <c r="L52" s="16"/>
    </row>
    <row r="53" spans="1:14" x14ac:dyDescent="0.2">
      <c r="A53" s="1"/>
      <c r="B53" s="1"/>
      <c r="C53" s="1"/>
      <c r="D53" s="1"/>
      <c r="E53" s="1"/>
      <c r="F53" s="1" t="s">
        <v>45</v>
      </c>
      <c r="G53" s="1"/>
      <c r="H53" s="8">
        <v>6958</v>
      </c>
      <c r="I53" s="16">
        <v>5000</v>
      </c>
      <c r="J53" s="16">
        <v>15997</v>
      </c>
      <c r="K53" s="250">
        <v>10000</v>
      </c>
      <c r="L53" s="16">
        <f t="shared" si="0"/>
        <v>-5997</v>
      </c>
      <c r="M53" s="224" t="s">
        <v>588</v>
      </c>
    </row>
    <row r="54" spans="1:14" x14ac:dyDescent="0.2">
      <c r="A54" s="1"/>
      <c r="B54" s="1"/>
      <c r="C54" s="1"/>
      <c r="D54" s="1"/>
      <c r="E54" s="1"/>
      <c r="F54" s="1" t="s">
        <v>46</v>
      </c>
      <c r="G54" s="1"/>
      <c r="H54" s="8">
        <v>1974</v>
      </c>
      <c r="I54" s="16">
        <v>1000</v>
      </c>
      <c r="J54" s="16">
        <v>304</v>
      </c>
      <c r="K54" s="122">
        <v>800</v>
      </c>
      <c r="L54" s="16">
        <f t="shared" si="0"/>
        <v>496</v>
      </c>
    </row>
    <row r="55" spans="1:14" x14ac:dyDescent="0.2">
      <c r="A55" s="1"/>
      <c r="B55" s="1"/>
      <c r="C55" s="1"/>
      <c r="D55" s="1"/>
      <c r="E55" s="1"/>
      <c r="F55" s="1" t="s">
        <v>47</v>
      </c>
      <c r="G55" s="1"/>
      <c r="H55" s="8">
        <v>628</v>
      </c>
      <c r="I55" s="29"/>
      <c r="J55" s="16">
        <v>954</v>
      </c>
      <c r="K55" s="250">
        <v>1000</v>
      </c>
      <c r="L55" s="16">
        <f t="shared" si="0"/>
        <v>46</v>
      </c>
    </row>
    <row r="56" spans="1:14" x14ac:dyDescent="0.2">
      <c r="A56" s="1"/>
      <c r="B56" s="1"/>
      <c r="C56" s="1"/>
      <c r="D56" s="1"/>
      <c r="E56" s="1"/>
      <c r="F56" s="1" t="s">
        <v>48</v>
      </c>
      <c r="G56" s="1"/>
      <c r="H56" s="8">
        <v>3286</v>
      </c>
      <c r="I56" s="29"/>
      <c r="J56" s="16">
        <v>1067</v>
      </c>
      <c r="K56" s="122">
        <v>1000</v>
      </c>
      <c r="L56" s="16">
        <f t="shared" si="0"/>
        <v>-67</v>
      </c>
    </row>
    <row r="57" spans="1:14" x14ac:dyDescent="0.2">
      <c r="A57" s="1"/>
      <c r="B57" s="1"/>
      <c r="C57" s="1"/>
      <c r="D57" s="1"/>
      <c r="E57" s="1"/>
      <c r="F57" s="1" t="s">
        <v>49</v>
      </c>
      <c r="G57" s="1"/>
      <c r="H57" s="12">
        <v>12950</v>
      </c>
      <c r="I57" s="237">
        <v>20000</v>
      </c>
      <c r="J57" s="26">
        <v>7353</v>
      </c>
      <c r="K57" s="252">
        <v>8000</v>
      </c>
      <c r="L57" s="26">
        <f t="shared" si="0"/>
        <v>647</v>
      </c>
    </row>
    <row r="58" spans="1:14" x14ac:dyDescent="0.2">
      <c r="A58" s="1"/>
      <c r="B58" s="1"/>
      <c r="C58" s="1"/>
      <c r="D58" s="1"/>
      <c r="E58" s="1"/>
      <c r="F58" s="1" t="s">
        <v>448</v>
      </c>
      <c r="G58" s="1"/>
      <c r="H58" s="12"/>
      <c r="I58" s="237"/>
      <c r="J58" s="26"/>
      <c r="K58" s="124"/>
      <c r="L58" s="26">
        <f t="shared" si="0"/>
        <v>0</v>
      </c>
    </row>
    <row r="59" spans="1:14" x14ac:dyDescent="0.2">
      <c r="A59" s="1"/>
      <c r="B59" s="1"/>
      <c r="C59" s="1"/>
      <c r="D59" s="1"/>
      <c r="E59" s="1"/>
      <c r="F59" s="1"/>
      <c r="G59" s="1" t="s">
        <v>449</v>
      </c>
      <c r="H59" s="12">
        <v>45587</v>
      </c>
      <c r="I59" s="237">
        <v>15000</v>
      </c>
      <c r="J59" s="26">
        <v>59157</v>
      </c>
      <c r="K59" s="124">
        <v>50000</v>
      </c>
      <c r="L59" s="26">
        <f t="shared" si="0"/>
        <v>-9157</v>
      </c>
      <c r="M59" s="380" t="s">
        <v>505</v>
      </c>
    </row>
    <row r="60" spans="1:14" ht="15" thickBot="1" x14ac:dyDescent="0.25">
      <c r="A60" s="1"/>
      <c r="B60" s="1"/>
      <c r="C60" s="1"/>
      <c r="D60" s="1"/>
      <c r="E60" s="1"/>
      <c r="F60" s="1"/>
      <c r="G60" s="1" t="s">
        <v>450</v>
      </c>
      <c r="H60" s="11">
        <v>107272</v>
      </c>
      <c r="I60" s="235">
        <v>40000</v>
      </c>
      <c r="J60" s="25">
        <v>102795</v>
      </c>
      <c r="K60" s="251">
        <v>90000</v>
      </c>
      <c r="L60" s="25">
        <f t="shared" si="0"/>
        <v>-12795</v>
      </c>
      <c r="M60" s="381"/>
    </row>
    <row r="61" spans="1:14" ht="15" thickBot="1" x14ac:dyDescent="0.25">
      <c r="A61" s="1"/>
      <c r="B61" s="1"/>
      <c r="C61" s="1"/>
      <c r="D61" s="1"/>
      <c r="E61" s="1"/>
      <c r="F61" s="1" t="s">
        <v>451</v>
      </c>
      <c r="G61" s="1"/>
      <c r="H61" s="25">
        <f>H59+H60</f>
        <v>152859</v>
      </c>
      <c r="I61" s="25">
        <f>I59+I60</f>
        <v>55000</v>
      </c>
      <c r="J61" s="25">
        <f>J59+J60</f>
        <v>161952</v>
      </c>
      <c r="K61" s="123">
        <f>K59+K60</f>
        <v>140000</v>
      </c>
      <c r="L61" s="25">
        <f t="shared" si="0"/>
        <v>-21952</v>
      </c>
      <c r="M61" s="382"/>
      <c r="N61" s="4" t="s">
        <v>130</v>
      </c>
    </row>
    <row r="62" spans="1:14" x14ac:dyDescent="0.2">
      <c r="A62" s="1"/>
      <c r="B62" s="1"/>
      <c r="C62" s="1"/>
      <c r="D62" s="1"/>
      <c r="E62" s="1" t="s">
        <v>50</v>
      </c>
      <c r="F62" s="1"/>
      <c r="G62" s="1"/>
      <c r="H62" s="8">
        <f>ROUND(SUM(H53:H57)+H61,5)</f>
        <v>178655</v>
      </c>
      <c r="I62" s="16">
        <f>ROUND(SUM(I53:I57)+I61,5)</f>
        <v>81000</v>
      </c>
      <c r="J62" s="16">
        <f>ROUND(SUM(J53:J57)+J61,5)</f>
        <v>187627</v>
      </c>
      <c r="K62" s="122">
        <f>ROUND(SUM(K53:K57)+K61,5)</f>
        <v>160800</v>
      </c>
      <c r="L62" s="16">
        <f t="shared" si="0"/>
        <v>-26827</v>
      </c>
    </row>
    <row r="63" spans="1:14" x14ac:dyDescent="0.2">
      <c r="A63" s="1"/>
      <c r="B63" s="1"/>
      <c r="C63" s="1"/>
      <c r="D63" s="1"/>
      <c r="E63" s="1" t="s">
        <v>51</v>
      </c>
      <c r="F63" s="1"/>
      <c r="G63" s="1"/>
      <c r="H63" s="8"/>
      <c r="I63" s="16"/>
      <c r="J63" s="16"/>
      <c r="K63" s="122"/>
      <c r="L63" s="16"/>
    </row>
    <row r="64" spans="1:14" ht="15" thickBot="1" x14ac:dyDescent="0.25">
      <c r="A64" s="1"/>
      <c r="B64" s="1"/>
      <c r="C64" s="1"/>
      <c r="D64" s="1"/>
      <c r="E64" s="1"/>
      <c r="F64" s="1" t="s">
        <v>52</v>
      </c>
      <c r="G64" s="1"/>
      <c r="H64" s="11">
        <v>158.34</v>
      </c>
      <c r="I64" s="25"/>
      <c r="J64" s="25">
        <v>0</v>
      </c>
      <c r="K64" s="123">
        <v>0</v>
      </c>
      <c r="L64" s="25">
        <f t="shared" si="0"/>
        <v>0</v>
      </c>
    </row>
    <row r="65" spans="1:14" x14ac:dyDescent="0.2">
      <c r="A65" s="1"/>
      <c r="B65" s="1"/>
      <c r="C65" s="1"/>
      <c r="D65" s="1"/>
      <c r="E65" s="1" t="s">
        <v>53</v>
      </c>
      <c r="F65" s="1"/>
      <c r="G65" s="1"/>
      <c r="H65" s="16">
        <f>ROUND(SUM(H63:H64),5)</f>
        <v>158.34</v>
      </c>
      <c r="I65" s="29">
        <f>ROUND(SUM(I63:I64),5)</f>
        <v>0</v>
      </c>
      <c r="J65" s="16">
        <f>ROUND(SUM(J63:J64),5)</f>
        <v>0</v>
      </c>
      <c r="K65" s="122">
        <f>ROUND(SUM(K63:K64),5)</f>
        <v>0</v>
      </c>
      <c r="L65" s="16">
        <f t="shared" si="0"/>
        <v>0</v>
      </c>
    </row>
    <row r="66" spans="1:14" x14ac:dyDescent="0.2">
      <c r="A66" s="1"/>
      <c r="B66" s="1"/>
      <c r="C66" s="1"/>
      <c r="D66" s="1"/>
      <c r="E66" s="1" t="s">
        <v>54</v>
      </c>
      <c r="F66" s="1"/>
      <c r="G66" s="1"/>
      <c r="H66" s="8"/>
      <c r="I66" s="29"/>
      <c r="J66" s="16"/>
      <c r="K66" s="122"/>
      <c r="L66" s="16"/>
    </row>
    <row r="67" spans="1:14" x14ac:dyDescent="0.2">
      <c r="A67" s="1"/>
      <c r="B67" s="1"/>
      <c r="C67" s="1"/>
      <c r="D67" s="1"/>
      <c r="E67" s="1"/>
      <c r="F67" s="1" t="s">
        <v>55</v>
      </c>
      <c r="G67" s="1"/>
      <c r="H67" s="8">
        <v>3938</v>
      </c>
      <c r="I67" s="29">
        <v>5000</v>
      </c>
      <c r="J67" s="16">
        <v>3733</v>
      </c>
      <c r="K67" s="122">
        <v>3500</v>
      </c>
      <c r="L67" s="16">
        <f t="shared" si="0"/>
        <v>-233</v>
      </c>
      <c r="N67" s="17" t="s">
        <v>131</v>
      </c>
    </row>
    <row r="68" spans="1:14" x14ac:dyDescent="0.2">
      <c r="A68" s="1"/>
      <c r="B68" s="1"/>
      <c r="C68" s="1"/>
      <c r="D68" s="1"/>
      <c r="E68" s="1"/>
      <c r="F68" s="1" t="s">
        <v>56</v>
      </c>
      <c r="G68" s="1"/>
      <c r="H68" s="8">
        <v>280</v>
      </c>
      <c r="I68" s="29">
        <v>5000</v>
      </c>
      <c r="J68" s="16">
        <v>4500</v>
      </c>
      <c r="K68" s="250">
        <v>3500</v>
      </c>
      <c r="L68" s="16">
        <f t="shared" si="0"/>
        <v>-1000</v>
      </c>
      <c r="N68" s="17" t="s">
        <v>131</v>
      </c>
    </row>
    <row r="69" spans="1:14" ht="15" thickBot="1" x14ac:dyDescent="0.25">
      <c r="A69" s="1"/>
      <c r="B69" s="1"/>
      <c r="C69" s="1"/>
      <c r="D69" s="1"/>
      <c r="E69" s="1"/>
      <c r="F69" s="1" t="s">
        <v>57</v>
      </c>
      <c r="G69" s="1"/>
      <c r="H69" s="11">
        <v>969.77</v>
      </c>
      <c r="I69" s="235"/>
      <c r="J69" s="25">
        <v>1000</v>
      </c>
      <c r="K69" s="123">
        <v>1000</v>
      </c>
      <c r="L69" s="25">
        <f t="shared" si="0"/>
        <v>0</v>
      </c>
    </row>
    <row r="70" spans="1:14" x14ac:dyDescent="0.2">
      <c r="A70" s="1"/>
      <c r="B70" s="1"/>
      <c r="C70" s="1"/>
      <c r="D70" s="1"/>
      <c r="E70" s="1" t="s">
        <v>58</v>
      </c>
      <c r="F70" s="1"/>
      <c r="G70" s="1"/>
      <c r="H70" s="8">
        <f>ROUND(SUM(H66:H69),5)</f>
        <v>5187.7700000000004</v>
      </c>
      <c r="I70" s="29">
        <f>ROUND(SUM(I66:I69),5)</f>
        <v>10000</v>
      </c>
      <c r="J70" s="16">
        <f>ROUND(SUM(J66:J69),5)</f>
        <v>9233</v>
      </c>
      <c r="K70" s="122">
        <f>ROUND(SUM(K66:K69),5)</f>
        <v>8000</v>
      </c>
      <c r="L70" s="16">
        <f t="shared" si="0"/>
        <v>-1233</v>
      </c>
    </row>
    <row r="71" spans="1:14" x14ac:dyDescent="0.2">
      <c r="A71" s="1"/>
      <c r="B71" s="1"/>
      <c r="C71" s="1"/>
      <c r="D71" s="1"/>
      <c r="E71" s="1" t="s">
        <v>59</v>
      </c>
      <c r="F71" s="1"/>
      <c r="G71" s="1"/>
      <c r="H71" s="8"/>
      <c r="I71" s="29"/>
      <c r="J71" s="16"/>
      <c r="K71" s="122"/>
      <c r="L71" s="16"/>
    </row>
    <row r="72" spans="1:14" ht="23.25" thickBot="1" x14ac:dyDescent="0.25">
      <c r="A72" s="1"/>
      <c r="B72" s="1"/>
      <c r="C72" s="1"/>
      <c r="D72" s="1"/>
      <c r="E72" s="1"/>
      <c r="F72" s="1" t="s">
        <v>60</v>
      </c>
      <c r="G72" s="1"/>
      <c r="H72" s="11">
        <v>254.8</v>
      </c>
      <c r="I72" s="25">
        <v>600</v>
      </c>
      <c r="J72" s="25">
        <v>0</v>
      </c>
      <c r="K72" s="123">
        <v>100</v>
      </c>
      <c r="L72" s="25">
        <f t="shared" ref="L72:L134" si="2">K72-J72</f>
        <v>100</v>
      </c>
      <c r="N72" s="17" t="s">
        <v>132</v>
      </c>
    </row>
    <row r="73" spans="1:14" x14ac:dyDescent="0.2">
      <c r="A73" s="1"/>
      <c r="B73" s="1"/>
      <c r="C73" s="1"/>
      <c r="D73" s="1"/>
      <c r="E73" s="1" t="s">
        <v>61</v>
      </c>
      <c r="F73" s="1"/>
      <c r="G73" s="1"/>
      <c r="H73" s="8">
        <f>ROUND(SUM(H71:H72),5)</f>
        <v>254.8</v>
      </c>
      <c r="I73" s="16">
        <f>ROUND(SUM(I71:I72),5)</f>
        <v>600</v>
      </c>
      <c r="J73" s="16">
        <f>ROUND(SUM(J71:J72),5)</f>
        <v>0</v>
      </c>
      <c r="K73" s="122">
        <f>ROUND(SUM(K71:K72),5)</f>
        <v>100</v>
      </c>
      <c r="L73" s="16">
        <f t="shared" si="2"/>
        <v>100</v>
      </c>
    </row>
    <row r="74" spans="1:14" x14ac:dyDescent="0.2">
      <c r="A74" s="1"/>
      <c r="B74" s="1"/>
      <c r="C74" s="1"/>
      <c r="D74" s="1"/>
      <c r="E74" s="1" t="s">
        <v>62</v>
      </c>
      <c r="F74" s="1"/>
      <c r="G74" s="1"/>
      <c r="H74" s="8"/>
      <c r="I74" s="16"/>
      <c r="J74" s="16"/>
      <c r="K74" s="122"/>
      <c r="L74" s="16"/>
    </row>
    <row r="75" spans="1:14" x14ac:dyDescent="0.2">
      <c r="A75" s="1"/>
      <c r="B75" s="1"/>
      <c r="C75" s="1"/>
      <c r="D75" s="1"/>
      <c r="E75" s="1"/>
      <c r="F75" s="1" t="s">
        <v>63</v>
      </c>
      <c r="G75" s="1"/>
      <c r="H75" s="8">
        <v>2591</v>
      </c>
      <c r="I75" s="16">
        <v>2000</v>
      </c>
      <c r="J75" s="16">
        <v>503</v>
      </c>
      <c r="K75" s="122">
        <v>600</v>
      </c>
      <c r="L75" s="16">
        <f t="shared" si="2"/>
        <v>97</v>
      </c>
    </row>
    <row r="76" spans="1:14" x14ac:dyDescent="0.2">
      <c r="A76" s="1"/>
      <c r="B76" s="1"/>
      <c r="C76" s="1"/>
      <c r="D76" s="1"/>
      <c r="E76" s="1"/>
      <c r="F76" s="1" t="s">
        <v>64</v>
      </c>
      <c r="G76" s="1"/>
      <c r="H76" s="8">
        <v>542</v>
      </c>
      <c r="I76" s="29">
        <v>2000</v>
      </c>
      <c r="J76" s="16">
        <v>2199</v>
      </c>
      <c r="K76" s="122">
        <v>1500</v>
      </c>
      <c r="L76" s="16">
        <f t="shared" si="2"/>
        <v>-699</v>
      </c>
    </row>
    <row r="77" spans="1:14" ht="15" thickBot="1" x14ac:dyDescent="0.25">
      <c r="A77" s="1"/>
      <c r="B77" s="1"/>
      <c r="C77" s="1"/>
      <c r="D77" s="1"/>
      <c r="E77" s="1"/>
      <c r="F77" s="1" t="s">
        <v>65</v>
      </c>
      <c r="G77" s="1"/>
      <c r="H77" s="12">
        <v>2097</v>
      </c>
      <c r="I77" s="237">
        <v>1500</v>
      </c>
      <c r="J77" s="26">
        <v>2722</v>
      </c>
      <c r="K77" s="124">
        <v>1800</v>
      </c>
      <c r="L77" s="26">
        <f t="shared" si="2"/>
        <v>-922</v>
      </c>
    </row>
    <row r="78" spans="1:14" ht="15" thickBot="1" x14ac:dyDescent="0.25">
      <c r="A78" s="1"/>
      <c r="B78" s="1"/>
      <c r="C78" s="1"/>
      <c r="D78" s="1"/>
      <c r="E78" s="1" t="s">
        <v>66</v>
      </c>
      <c r="F78" s="1"/>
      <c r="G78" s="1"/>
      <c r="H78" s="9">
        <f>ROUND(SUM(H74:H77),5)</f>
        <v>5230</v>
      </c>
      <c r="I78" s="239">
        <f>ROUND(SUM(I74:I77),5)</f>
        <v>5500</v>
      </c>
      <c r="J78" s="24">
        <f>ROUND(SUM(J74:J77),5)</f>
        <v>5424</v>
      </c>
      <c r="K78" s="125">
        <f>ROUND(SUM(K74:K77),5)</f>
        <v>3900</v>
      </c>
      <c r="L78" s="24">
        <f t="shared" si="2"/>
        <v>-1524</v>
      </c>
    </row>
    <row r="79" spans="1:14" x14ac:dyDescent="0.2">
      <c r="A79" s="1"/>
      <c r="B79" s="1"/>
      <c r="C79" s="1"/>
      <c r="D79" s="1" t="s">
        <v>67</v>
      </c>
      <c r="E79" s="1"/>
      <c r="F79" s="1"/>
      <c r="G79" s="1"/>
      <c r="H79" s="8">
        <f>ROUND(H42+H45+H51+H62+H65+H70+H73+H78,5)</f>
        <v>208251.91</v>
      </c>
      <c r="I79" s="277">
        <f>ROUND(I42+I45+I51+I62+I65+I70+I73+I78,5)</f>
        <v>100500</v>
      </c>
      <c r="J79" s="16">
        <f>ROUND(J42+J45+J51+J62+J65+J70+J73+J78,5)</f>
        <v>224072</v>
      </c>
      <c r="K79" s="122">
        <f>ROUND(K42+K45+K51+K62+K65+K70+K73+K78,5)</f>
        <v>190300</v>
      </c>
      <c r="L79" s="16">
        <f t="shared" si="2"/>
        <v>-33772</v>
      </c>
    </row>
    <row r="80" spans="1:14" x14ac:dyDescent="0.2">
      <c r="A80" s="1"/>
      <c r="B80" s="1"/>
      <c r="C80" s="1"/>
      <c r="D80" s="1" t="s">
        <v>68</v>
      </c>
      <c r="E80" s="1"/>
      <c r="F80" s="1"/>
      <c r="G80" s="1"/>
      <c r="H80" s="8"/>
      <c r="I80" s="29"/>
      <c r="J80" s="16"/>
      <c r="K80" s="122"/>
      <c r="L80" s="16"/>
    </row>
    <row r="81" spans="1:14" ht="15" thickBot="1" x14ac:dyDescent="0.25">
      <c r="A81" s="1"/>
      <c r="B81" s="1"/>
      <c r="C81" s="1"/>
      <c r="D81" s="1"/>
      <c r="E81" s="1" t="s">
        <v>69</v>
      </c>
      <c r="F81" s="1"/>
      <c r="G81" s="1"/>
      <c r="H81" s="11">
        <v>0</v>
      </c>
      <c r="I81" s="235">
        <v>15000</v>
      </c>
      <c r="J81" s="25"/>
      <c r="K81" s="123"/>
      <c r="L81" s="25">
        <f t="shared" si="2"/>
        <v>0</v>
      </c>
    </row>
    <row r="82" spans="1:14" x14ac:dyDescent="0.2">
      <c r="A82" s="1"/>
      <c r="B82" s="1"/>
      <c r="C82" s="1"/>
      <c r="D82" s="1" t="s">
        <v>70</v>
      </c>
      <c r="E82" s="1"/>
      <c r="F82" s="1"/>
      <c r="G82" s="1"/>
      <c r="H82" s="8">
        <f>ROUND(SUM(H80:H81),5)</f>
        <v>0</v>
      </c>
      <c r="I82" s="29">
        <f>ROUND(SUM(I80:I81),5)</f>
        <v>15000</v>
      </c>
      <c r="J82" s="16">
        <f>ROUND(SUM(J80:J81),5)</f>
        <v>0</v>
      </c>
      <c r="K82" s="122">
        <f>ROUND(SUM(K80:K81),5)</f>
        <v>0</v>
      </c>
      <c r="L82" s="16">
        <f t="shared" si="2"/>
        <v>0</v>
      </c>
    </row>
    <row r="83" spans="1:14" x14ac:dyDescent="0.2">
      <c r="A83" s="1"/>
      <c r="B83" s="1"/>
      <c r="C83" s="1"/>
      <c r="D83" s="1" t="s">
        <v>71</v>
      </c>
      <c r="E83" s="1"/>
      <c r="F83" s="1"/>
      <c r="G83" s="1"/>
      <c r="H83" s="8"/>
      <c r="I83" s="29"/>
      <c r="J83" s="16"/>
      <c r="K83" s="122"/>
      <c r="L83" s="16"/>
    </row>
    <row r="84" spans="1:14" x14ac:dyDescent="0.2">
      <c r="A84" s="1"/>
      <c r="B84" s="1"/>
      <c r="C84" s="1"/>
      <c r="D84" s="1"/>
      <c r="E84" s="1" t="s">
        <v>72</v>
      </c>
      <c r="F84" s="1"/>
      <c r="G84" s="1"/>
      <c r="H84" s="8">
        <v>5364.87</v>
      </c>
      <c r="I84" s="29">
        <v>4000</v>
      </c>
      <c r="J84" s="16">
        <v>8474</v>
      </c>
      <c r="K84" s="250">
        <v>4000</v>
      </c>
      <c r="L84" s="16">
        <f t="shared" si="2"/>
        <v>-4474</v>
      </c>
      <c r="N84" s="17" t="s">
        <v>124</v>
      </c>
    </row>
    <row r="85" spans="1:14" x14ac:dyDescent="0.2">
      <c r="A85" s="1"/>
      <c r="B85" s="1"/>
      <c r="C85" s="1"/>
      <c r="D85" s="1"/>
      <c r="E85" s="1" t="s">
        <v>73</v>
      </c>
      <c r="F85" s="1"/>
      <c r="G85" s="1"/>
      <c r="H85" s="8">
        <v>1412</v>
      </c>
      <c r="I85" s="29">
        <v>137</v>
      </c>
      <c r="J85" s="16">
        <v>1069</v>
      </c>
      <c r="K85" s="122">
        <v>1000</v>
      </c>
      <c r="L85" s="16">
        <f t="shared" si="2"/>
        <v>-69</v>
      </c>
      <c r="N85" s="17" t="s">
        <v>129</v>
      </c>
    </row>
    <row r="86" spans="1:14" x14ac:dyDescent="0.2">
      <c r="A86" s="1"/>
      <c r="B86" s="1"/>
      <c r="C86" s="1"/>
      <c r="D86" s="1"/>
      <c r="E86" s="1" t="s">
        <v>74</v>
      </c>
      <c r="F86" s="1"/>
      <c r="G86" s="1"/>
      <c r="H86" s="8">
        <v>3584</v>
      </c>
      <c r="I86" s="29">
        <v>1000</v>
      </c>
      <c r="J86" s="16">
        <v>805</v>
      </c>
      <c r="K86" s="122">
        <v>500</v>
      </c>
      <c r="L86" s="16">
        <f t="shared" si="2"/>
        <v>-305</v>
      </c>
      <c r="N86" s="17" t="s">
        <v>123</v>
      </c>
    </row>
    <row r="87" spans="1:14" x14ac:dyDescent="0.2">
      <c r="A87" s="1"/>
      <c r="B87" s="1"/>
      <c r="C87" s="1"/>
      <c r="D87" s="1"/>
      <c r="E87" s="1" t="s">
        <v>75</v>
      </c>
      <c r="F87" s="1"/>
      <c r="G87" s="1"/>
      <c r="H87" s="8">
        <v>6926</v>
      </c>
      <c r="I87" s="29">
        <v>2000</v>
      </c>
      <c r="J87" s="16">
        <v>759</v>
      </c>
      <c r="K87" s="122">
        <v>500</v>
      </c>
      <c r="L87" s="16">
        <f t="shared" si="2"/>
        <v>-259</v>
      </c>
      <c r="N87" s="17" t="s">
        <v>125</v>
      </c>
    </row>
    <row r="88" spans="1:14" ht="15" thickBot="1" x14ac:dyDescent="0.25">
      <c r="A88" s="1"/>
      <c r="B88" s="1"/>
      <c r="C88" s="1"/>
      <c r="D88" s="1"/>
      <c r="E88" s="1" t="s">
        <v>76</v>
      </c>
      <c r="F88" s="1"/>
      <c r="G88" s="1"/>
      <c r="H88" s="11">
        <v>3133</v>
      </c>
      <c r="I88" s="235"/>
      <c r="J88" s="25">
        <v>6842</v>
      </c>
      <c r="K88" s="123">
        <v>1000</v>
      </c>
      <c r="L88" s="25">
        <f t="shared" si="2"/>
        <v>-5842</v>
      </c>
    </row>
    <row r="89" spans="1:14" x14ac:dyDescent="0.2">
      <c r="A89" s="1"/>
      <c r="B89" s="1"/>
      <c r="C89" s="1"/>
      <c r="D89" s="1" t="s">
        <v>77</v>
      </c>
      <c r="E89" s="1"/>
      <c r="F89" s="1"/>
      <c r="G89" s="1"/>
      <c r="H89" s="8">
        <f>ROUND(SUM(H83:H88),5)</f>
        <v>20419.87</v>
      </c>
      <c r="I89" s="16">
        <f>ROUND(SUM(I83:I88),5)</f>
        <v>7137</v>
      </c>
      <c r="J89" s="16">
        <f>ROUND(SUM(J83:J88),5)</f>
        <v>17949</v>
      </c>
      <c r="K89" s="122">
        <f>ROUND(SUM(K83:K88),5)</f>
        <v>7000</v>
      </c>
      <c r="L89" s="16">
        <f t="shared" si="2"/>
        <v>-10949</v>
      </c>
    </row>
    <row r="90" spans="1:14" x14ac:dyDescent="0.2">
      <c r="A90" s="1"/>
      <c r="B90" s="1"/>
      <c r="C90" s="1"/>
      <c r="D90" s="1" t="s">
        <v>78</v>
      </c>
      <c r="E90" s="1"/>
      <c r="F90" s="1"/>
      <c r="G90" s="1"/>
      <c r="H90" s="8"/>
      <c r="I90" s="16"/>
      <c r="J90" s="16"/>
      <c r="K90" s="122"/>
      <c r="L90" s="16"/>
    </row>
    <row r="91" spans="1:14" x14ac:dyDescent="0.2">
      <c r="A91" s="1"/>
      <c r="B91" s="1"/>
      <c r="C91" s="1"/>
      <c r="D91" s="1"/>
      <c r="E91" s="1" t="s">
        <v>79</v>
      </c>
      <c r="F91" s="1"/>
      <c r="G91" s="1"/>
      <c r="H91" s="8">
        <v>1868</v>
      </c>
      <c r="I91" s="16">
        <v>1500</v>
      </c>
      <c r="J91" s="16">
        <v>3804</v>
      </c>
      <c r="K91" s="122">
        <v>3000</v>
      </c>
      <c r="L91" s="16">
        <f t="shared" si="2"/>
        <v>-804</v>
      </c>
    </row>
    <row r="92" spans="1:14" ht="15" thickBot="1" x14ac:dyDescent="0.25">
      <c r="A92" s="1"/>
      <c r="B92" s="1"/>
      <c r="C92" s="1"/>
      <c r="D92" s="1"/>
      <c r="E92" s="1" t="s">
        <v>80</v>
      </c>
      <c r="F92" s="1"/>
      <c r="G92" s="1"/>
      <c r="H92" s="11">
        <v>0</v>
      </c>
      <c r="I92" s="25">
        <v>1500</v>
      </c>
      <c r="J92" s="25">
        <v>0</v>
      </c>
      <c r="K92" s="123">
        <v>0</v>
      </c>
      <c r="L92" s="25">
        <f t="shared" si="2"/>
        <v>0</v>
      </c>
    </row>
    <row r="93" spans="1:14" x14ac:dyDescent="0.2">
      <c r="A93" s="1"/>
      <c r="B93" s="1"/>
      <c r="C93" s="1"/>
      <c r="D93" s="1" t="s">
        <v>81</v>
      </c>
      <c r="E93" s="1"/>
      <c r="F93" s="1"/>
      <c r="G93" s="1"/>
      <c r="H93" s="8">
        <f>ROUND(SUM(H90:H92),5)</f>
        <v>1868</v>
      </c>
      <c r="I93" s="16">
        <f>ROUND(SUM(I90:I92),5)</f>
        <v>3000</v>
      </c>
      <c r="J93" s="16">
        <f>ROUND(SUM(J90:J92),5)</f>
        <v>3804</v>
      </c>
      <c r="K93" s="122">
        <v>2000</v>
      </c>
      <c r="L93" s="16">
        <f t="shared" si="2"/>
        <v>-1804</v>
      </c>
    </row>
    <row r="94" spans="1:14" x14ac:dyDescent="0.2">
      <c r="A94" s="1"/>
      <c r="B94" s="1"/>
      <c r="C94" s="1"/>
      <c r="D94" s="1" t="s">
        <v>82</v>
      </c>
      <c r="E94" s="1"/>
      <c r="F94" s="1"/>
      <c r="G94" s="1"/>
      <c r="H94" s="8"/>
      <c r="I94" s="16"/>
      <c r="J94" s="16"/>
      <c r="K94" s="122"/>
      <c r="L94" s="16"/>
    </row>
    <row r="95" spans="1:14" ht="15" thickBot="1" x14ac:dyDescent="0.25">
      <c r="A95" s="1"/>
      <c r="B95" s="1"/>
      <c r="C95" s="1"/>
      <c r="D95" s="1"/>
      <c r="E95" s="1" t="s">
        <v>83</v>
      </c>
      <c r="F95" s="1"/>
      <c r="G95" s="1"/>
      <c r="H95" s="11">
        <v>3348</v>
      </c>
      <c r="I95" s="25">
        <v>0</v>
      </c>
      <c r="J95" s="25">
        <v>0</v>
      </c>
      <c r="K95" s="123">
        <v>500</v>
      </c>
      <c r="L95" s="25">
        <f t="shared" si="2"/>
        <v>500</v>
      </c>
    </row>
    <row r="96" spans="1:14" x14ac:dyDescent="0.2">
      <c r="A96" s="1"/>
      <c r="B96" s="1"/>
      <c r="C96" s="1"/>
      <c r="D96" s="1" t="s">
        <v>84</v>
      </c>
      <c r="E96" s="1"/>
      <c r="F96" s="1"/>
      <c r="G96" s="1"/>
      <c r="H96" s="8">
        <f>ROUND(SUM(H94:H95),5)</f>
        <v>3348</v>
      </c>
      <c r="I96" s="29">
        <f>ROUND(SUM(I94:I95),5)</f>
        <v>0</v>
      </c>
      <c r="J96" s="16">
        <v>108</v>
      </c>
      <c r="K96" s="122">
        <v>300</v>
      </c>
      <c r="L96" s="16">
        <f t="shared" si="2"/>
        <v>192</v>
      </c>
    </row>
    <row r="97" spans="1:14" x14ac:dyDescent="0.2">
      <c r="A97" s="1"/>
      <c r="B97" s="1"/>
      <c r="C97" s="1"/>
      <c r="D97" s="1" t="s">
        <v>85</v>
      </c>
      <c r="E97" s="1"/>
      <c r="F97" s="1"/>
      <c r="G97" s="1"/>
      <c r="H97" s="8"/>
      <c r="I97" s="29"/>
      <c r="J97" s="16"/>
      <c r="K97" s="122"/>
      <c r="L97" s="16"/>
    </row>
    <row r="98" spans="1:14" ht="15" thickBot="1" x14ac:dyDescent="0.25">
      <c r="A98" s="1"/>
      <c r="B98" s="1"/>
      <c r="C98" s="1"/>
      <c r="D98" s="1"/>
      <c r="E98" s="1" t="s">
        <v>86</v>
      </c>
      <c r="F98" s="1"/>
      <c r="G98" s="1"/>
      <c r="H98" s="11">
        <v>2700</v>
      </c>
      <c r="I98" s="235">
        <v>2520</v>
      </c>
      <c r="J98" s="25">
        <v>5400</v>
      </c>
      <c r="K98" s="123">
        <v>3500</v>
      </c>
      <c r="L98" s="25">
        <f t="shared" si="2"/>
        <v>-1900</v>
      </c>
      <c r="N98" s="17" t="s">
        <v>134</v>
      </c>
    </row>
    <row r="99" spans="1:14" x14ac:dyDescent="0.2">
      <c r="A99" s="1"/>
      <c r="B99" s="1"/>
      <c r="C99" s="1"/>
      <c r="D99" s="1" t="s">
        <v>87</v>
      </c>
      <c r="E99" s="1"/>
      <c r="F99" s="1"/>
      <c r="G99" s="1"/>
      <c r="H99" s="8">
        <f>ROUND(SUM(H97:H98),5)</f>
        <v>2700</v>
      </c>
      <c r="I99" s="29">
        <f>ROUND(SUM(I97:I98),5)</f>
        <v>2520</v>
      </c>
      <c r="J99" s="16">
        <f>ROUND(SUM(J97:J98),5)</f>
        <v>5400</v>
      </c>
      <c r="K99" s="122">
        <f>ROUND(SUM(K97:K98),5)</f>
        <v>3500</v>
      </c>
      <c r="L99" s="16">
        <f t="shared" si="2"/>
        <v>-1900</v>
      </c>
    </row>
    <row r="100" spans="1:14" x14ac:dyDescent="0.2">
      <c r="A100" s="1"/>
      <c r="B100" s="1"/>
      <c r="C100" s="1"/>
      <c r="D100" s="1" t="s">
        <v>88</v>
      </c>
      <c r="E100" s="1"/>
      <c r="F100" s="1"/>
      <c r="G100" s="1"/>
      <c r="H100" s="8"/>
      <c r="I100" s="29"/>
      <c r="J100" s="16"/>
      <c r="K100" s="122"/>
      <c r="L100" s="16"/>
    </row>
    <row r="101" spans="1:14" ht="15" thickBot="1" x14ac:dyDescent="0.25">
      <c r="A101" s="1"/>
      <c r="B101" s="1"/>
      <c r="C101" s="1"/>
      <c r="D101" s="1"/>
      <c r="E101" s="1" t="s">
        <v>89</v>
      </c>
      <c r="F101" s="1"/>
      <c r="G101" s="1"/>
      <c r="H101" s="11">
        <v>30</v>
      </c>
      <c r="I101" s="235">
        <v>0</v>
      </c>
      <c r="J101" s="25">
        <v>0</v>
      </c>
      <c r="K101" s="123">
        <v>0</v>
      </c>
      <c r="L101" s="25">
        <f t="shared" si="2"/>
        <v>0</v>
      </c>
    </row>
    <row r="102" spans="1:14" x14ac:dyDescent="0.2">
      <c r="A102" s="1"/>
      <c r="B102" s="1"/>
      <c r="C102" s="1"/>
      <c r="D102" s="1" t="s">
        <v>90</v>
      </c>
      <c r="E102" s="1"/>
      <c r="F102" s="1"/>
      <c r="G102" s="1"/>
      <c r="H102" s="8">
        <f>ROUND(SUM(H100:H101),5)</f>
        <v>30</v>
      </c>
      <c r="I102" s="29">
        <f>ROUND(SUM(I100:I101),5)</f>
        <v>0</v>
      </c>
      <c r="J102" s="16">
        <f>ROUND(SUM(J100:J101),5)</f>
        <v>0</v>
      </c>
      <c r="K102" s="122">
        <f>ROUND(SUM(K100:K101),5)</f>
        <v>0</v>
      </c>
      <c r="L102" s="16">
        <f t="shared" si="2"/>
        <v>0</v>
      </c>
    </row>
    <row r="103" spans="1:14" x14ac:dyDescent="0.2">
      <c r="A103" s="1"/>
      <c r="B103" s="1"/>
      <c r="C103" s="1"/>
      <c r="D103" s="1" t="s">
        <v>91</v>
      </c>
      <c r="E103" s="1"/>
      <c r="F103" s="1"/>
      <c r="G103" s="1"/>
      <c r="H103" s="8"/>
      <c r="I103" s="16"/>
      <c r="J103" s="16"/>
      <c r="K103" s="122"/>
      <c r="L103" s="16"/>
    </row>
    <row r="104" spans="1:14" x14ac:dyDescent="0.2">
      <c r="A104" s="1"/>
      <c r="B104" s="1"/>
      <c r="C104" s="1"/>
      <c r="D104" s="1"/>
      <c r="E104" s="1" t="s">
        <v>92</v>
      </c>
      <c r="F104" s="1"/>
      <c r="G104" s="1"/>
      <c r="H104" s="8">
        <v>2210</v>
      </c>
      <c r="I104" s="16">
        <v>1000</v>
      </c>
      <c r="J104" s="16">
        <v>425</v>
      </c>
      <c r="K104" s="122">
        <v>500</v>
      </c>
      <c r="L104" s="16">
        <f t="shared" si="2"/>
        <v>75</v>
      </c>
    </row>
    <row r="105" spans="1:14" x14ac:dyDescent="0.2">
      <c r="A105" s="1"/>
      <c r="B105" s="1"/>
      <c r="C105" s="1"/>
      <c r="D105" s="1"/>
      <c r="E105" s="1" t="s">
        <v>93</v>
      </c>
      <c r="F105" s="1"/>
      <c r="G105" s="1"/>
      <c r="H105" s="8">
        <v>1320</v>
      </c>
      <c r="I105" s="16">
        <v>2500</v>
      </c>
      <c r="J105" s="16">
        <v>2243</v>
      </c>
      <c r="K105" s="122">
        <v>2000</v>
      </c>
      <c r="L105" s="16">
        <f t="shared" si="2"/>
        <v>-243</v>
      </c>
    </row>
    <row r="106" spans="1:14" ht="15" thickBot="1" x14ac:dyDescent="0.25">
      <c r="A106" s="1"/>
      <c r="B106" s="1"/>
      <c r="C106" s="1"/>
      <c r="D106" s="1"/>
      <c r="E106" s="1" t="s">
        <v>94</v>
      </c>
      <c r="F106" s="1"/>
      <c r="G106" s="1"/>
      <c r="H106" s="11">
        <v>0</v>
      </c>
      <c r="I106" s="25">
        <v>5000</v>
      </c>
      <c r="J106" s="25">
        <v>0</v>
      </c>
      <c r="K106" s="123">
        <v>0</v>
      </c>
      <c r="L106" s="25">
        <f t="shared" si="2"/>
        <v>0</v>
      </c>
      <c r="N106" s="17" t="s">
        <v>133</v>
      </c>
    </row>
    <row r="107" spans="1:14" x14ac:dyDescent="0.2">
      <c r="A107" s="1"/>
      <c r="B107" s="1"/>
      <c r="C107" s="1"/>
      <c r="D107" s="1" t="s">
        <v>95</v>
      </c>
      <c r="E107" s="1"/>
      <c r="F107" s="1"/>
      <c r="G107" s="1"/>
      <c r="H107" s="8">
        <f>ROUND(SUM(H103:H106),5)</f>
        <v>3530</v>
      </c>
      <c r="I107" s="16">
        <f>ROUND(SUM(I103:I106),5)</f>
        <v>8500</v>
      </c>
      <c r="J107" s="16">
        <f>ROUND(SUM(J103:J106),5)</f>
        <v>2668</v>
      </c>
      <c r="K107" s="122">
        <f>ROUND(SUM(K103:K106),5)</f>
        <v>2500</v>
      </c>
      <c r="L107" s="16">
        <f t="shared" si="2"/>
        <v>-168</v>
      </c>
    </row>
    <row r="108" spans="1:14" x14ac:dyDescent="0.2">
      <c r="A108" s="1"/>
      <c r="B108" s="1"/>
      <c r="C108" s="1"/>
      <c r="D108" s="1" t="s">
        <v>96</v>
      </c>
      <c r="E108" s="1"/>
      <c r="F108" s="1"/>
      <c r="G108" s="1"/>
      <c r="H108" s="8"/>
      <c r="I108" s="16"/>
      <c r="J108" s="16"/>
      <c r="K108" s="122"/>
      <c r="L108" s="16"/>
    </row>
    <row r="109" spans="1:14" ht="15" thickBot="1" x14ac:dyDescent="0.25">
      <c r="A109" s="1"/>
      <c r="B109" s="1"/>
      <c r="C109" s="1"/>
      <c r="D109" s="1"/>
      <c r="E109" s="1" t="s">
        <v>97</v>
      </c>
      <c r="F109" s="1"/>
      <c r="G109" s="1"/>
      <c r="H109" s="11">
        <v>378.5</v>
      </c>
      <c r="I109" s="25">
        <v>850</v>
      </c>
      <c r="J109" s="25">
        <v>759</v>
      </c>
      <c r="K109" s="123">
        <v>800</v>
      </c>
      <c r="L109" s="25">
        <f t="shared" si="2"/>
        <v>41</v>
      </c>
    </row>
    <row r="110" spans="1:14" x14ac:dyDescent="0.2">
      <c r="A110" s="1"/>
      <c r="B110" s="1"/>
      <c r="C110" s="1"/>
      <c r="D110" s="1" t="s">
        <v>98</v>
      </c>
      <c r="E110" s="1"/>
      <c r="F110" s="1"/>
      <c r="G110" s="1"/>
      <c r="H110" s="8">
        <f>ROUND(SUM(H108:H109),5)</f>
        <v>378.5</v>
      </c>
      <c r="I110" s="16">
        <f>ROUND(SUM(I108:I109),5)</f>
        <v>850</v>
      </c>
      <c r="J110" s="16">
        <v>759</v>
      </c>
      <c r="K110" s="122">
        <f>ROUND(SUM(K108:K109),5)</f>
        <v>800</v>
      </c>
      <c r="L110" s="16">
        <f t="shared" si="2"/>
        <v>41</v>
      </c>
    </row>
    <row r="111" spans="1:14" x14ac:dyDescent="0.2">
      <c r="A111" s="1"/>
      <c r="B111" s="1"/>
      <c r="C111" s="1"/>
      <c r="D111" s="1" t="s">
        <v>99</v>
      </c>
      <c r="E111" s="1"/>
      <c r="F111" s="1"/>
      <c r="G111" s="1"/>
      <c r="H111" s="8"/>
      <c r="I111" s="16"/>
      <c r="J111" s="16"/>
      <c r="K111" s="122"/>
      <c r="L111" s="16"/>
    </row>
    <row r="112" spans="1:14" ht="15" thickBot="1" x14ac:dyDescent="0.25">
      <c r="A112" s="1"/>
      <c r="B112" s="1"/>
      <c r="C112" s="1"/>
      <c r="D112" s="1"/>
      <c r="E112" s="1" t="s">
        <v>100</v>
      </c>
      <c r="F112" s="1"/>
      <c r="G112" s="1"/>
      <c r="H112" s="11">
        <v>10224</v>
      </c>
      <c r="I112" s="235">
        <v>3560</v>
      </c>
      <c r="J112" s="25">
        <v>9338</v>
      </c>
      <c r="K112" s="123">
        <v>9000</v>
      </c>
      <c r="L112" s="25">
        <f t="shared" si="2"/>
        <v>-338</v>
      </c>
      <c r="N112" s="17" t="s">
        <v>144</v>
      </c>
    </row>
    <row r="113" spans="1:14" x14ac:dyDescent="0.2">
      <c r="A113" s="1"/>
      <c r="B113" s="1"/>
      <c r="C113" s="1"/>
      <c r="D113" s="1" t="s">
        <v>101</v>
      </c>
      <c r="E113" s="1"/>
      <c r="F113" s="1"/>
      <c r="G113" s="1"/>
      <c r="H113" s="8">
        <f>ROUND(SUM(H111:H112),5)</f>
        <v>10224</v>
      </c>
      <c r="I113" s="29">
        <f>ROUND(SUM(I111:I112),5)</f>
        <v>3560</v>
      </c>
      <c r="J113" s="16">
        <f>ROUND(SUM(J111:J112),5)</f>
        <v>9338</v>
      </c>
      <c r="K113" s="122">
        <f>ROUND(SUM(K111:K112),5)</f>
        <v>9000</v>
      </c>
      <c r="L113" s="16">
        <f t="shared" si="2"/>
        <v>-338</v>
      </c>
    </row>
    <row r="114" spans="1:14" x14ac:dyDescent="0.2">
      <c r="A114" s="1"/>
      <c r="B114" s="1"/>
      <c r="C114" s="1"/>
      <c r="D114" s="1" t="s">
        <v>102</v>
      </c>
      <c r="E114" s="1"/>
      <c r="F114" s="1"/>
      <c r="G114" s="1"/>
      <c r="H114" s="8"/>
      <c r="I114" s="29"/>
      <c r="J114" s="16"/>
      <c r="K114" s="122"/>
      <c r="L114" s="16"/>
    </row>
    <row r="115" spans="1:14" ht="15" thickBot="1" x14ac:dyDescent="0.25">
      <c r="A115" s="1"/>
      <c r="B115" s="1"/>
      <c r="C115" s="1"/>
      <c r="D115" s="1"/>
      <c r="E115" s="1" t="s">
        <v>103</v>
      </c>
      <c r="F115" s="1"/>
      <c r="G115" s="1"/>
      <c r="H115" s="11">
        <v>10181</v>
      </c>
      <c r="I115" s="235">
        <v>4368</v>
      </c>
      <c r="J115" s="25">
        <v>9690</v>
      </c>
      <c r="K115" s="123">
        <v>7463</v>
      </c>
      <c r="L115" s="25">
        <f t="shared" si="2"/>
        <v>-2227</v>
      </c>
      <c r="M115" s="350" t="s">
        <v>592</v>
      </c>
      <c r="N115" s="17" t="s">
        <v>146</v>
      </c>
    </row>
    <row r="116" spans="1:14" x14ac:dyDescent="0.2">
      <c r="A116" s="1"/>
      <c r="B116" s="1"/>
      <c r="C116" s="1"/>
      <c r="D116" s="1" t="s">
        <v>104</v>
      </c>
      <c r="E116" s="1"/>
      <c r="F116" s="1"/>
      <c r="G116" s="1"/>
      <c r="H116" s="8">
        <f>ROUND(SUM(H114:H115),5)</f>
        <v>10181</v>
      </c>
      <c r="I116" s="29">
        <f>ROUND(SUM(I114:I115),5)</f>
        <v>4368</v>
      </c>
      <c r="J116" s="16">
        <f>ROUND(SUM(J114:J115),5)</f>
        <v>9690</v>
      </c>
      <c r="K116" s="122">
        <f>ROUND(SUM(K114:K115),5)</f>
        <v>7463</v>
      </c>
      <c r="L116" s="16">
        <f t="shared" si="2"/>
        <v>-2227</v>
      </c>
    </row>
    <row r="117" spans="1:14" x14ac:dyDescent="0.2">
      <c r="A117" s="1"/>
      <c r="B117" s="1"/>
      <c r="C117" s="1"/>
      <c r="D117" s="1" t="s">
        <v>105</v>
      </c>
      <c r="E117" s="1"/>
      <c r="F117" s="1"/>
      <c r="G117" s="1"/>
      <c r="H117" s="8"/>
      <c r="I117" s="29"/>
      <c r="J117" s="16"/>
      <c r="K117" s="122"/>
      <c r="L117" s="16"/>
    </row>
    <row r="118" spans="1:14" x14ac:dyDescent="0.2">
      <c r="A118" s="1"/>
      <c r="B118" s="1"/>
      <c r="C118" s="1"/>
      <c r="D118" s="1"/>
      <c r="E118" s="1" t="s">
        <v>106</v>
      </c>
      <c r="F118" s="1"/>
      <c r="G118" s="1"/>
      <c r="H118" s="8">
        <v>671.74</v>
      </c>
      <c r="I118" s="29">
        <v>1400</v>
      </c>
      <c r="J118" s="16">
        <v>2018</v>
      </c>
      <c r="K118" s="122">
        <v>1000</v>
      </c>
      <c r="L118" s="16">
        <f t="shared" si="2"/>
        <v>-1018</v>
      </c>
      <c r="M118" s="17" t="s">
        <v>527</v>
      </c>
      <c r="N118" s="17" t="s">
        <v>145</v>
      </c>
    </row>
    <row r="119" spans="1:14" ht="15" thickBot="1" x14ac:dyDescent="0.25">
      <c r="A119" s="1"/>
      <c r="B119" s="1"/>
      <c r="C119" s="1"/>
      <c r="D119" s="1"/>
      <c r="E119" s="1" t="s">
        <v>107</v>
      </c>
      <c r="F119" s="1"/>
      <c r="G119" s="1"/>
      <c r="H119" s="11">
        <v>0</v>
      </c>
      <c r="I119" s="25">
        <v>2500</v>
      </c>
      <c r="J119" s="25">
        <v>0</v>
      </c>
      <c r="K119" s="123">
        <v>0</v>
      </c>
      <c r="L119" s="25">
        <f t="shared" si="2"/>
        <v>0</v>
      </c>
      <c r="N119" s="17" t="s">
        <v>128</v>
      </c>
    </row>
    <row r="120" spans="1:14" x14ac:dyDescent="0.2">
      <c r="A120" s="1"/>
      <c r="B120" s="1"/>
      <c r="C120" s="1"/>
      <c r="D120" s="1" t="s">
        <v>108</v>
      </c>
      <c r="E120" s="1"/>
      <c r="F120" s="1"/>
      <c r="G120" s="1"/>
      <c r="H120" s="8">
        <f>ROUND(SUM(H117:H119),5)</f>
        <v>671.74</v>
      </c>
      <c r="I120" s="16">
        <f>ROUND(SUM(I117:I119),5)</f>
        <v>3900</v>
      </c>
      <c r="J120" s="16">
        <f>ROUND(SUM(J117:J119),5)</f>
        <v>2018</v>
      </c>
      <c r="K120" s="122">
        <f>ROUND(SUM(K117:K119),5)</f>
        <v>1000</v>
      </c>
      <c r="L120" s="16">
        <f t="shared" si="2"/>
        <v>-1018</v>
      </c>
    </row>
    <row r="121" spans="1:14" x14ac:dyDescent="0.2">
      <c r="A121" s="1"/>
      <c r="B121" s="1"/>
      <c r="C121" s="1"/>
      <c r="D121" s="1" t="s">
        <v>109</v>
      </c>
      <c r="E121" s="1"/>
      <c r="F121" s="1"/>
      <c r="G121" s="1"/>
      <c r="H121" s="8"/>
      <c r="I121" s="16"/>
      <c r="J121" s="16"/>
      <c r="K121" s="122"/>
      <c r="L121" s="16"/>
    </row>
    <row r="122" spans="1:14" ht="15" thickBot="1" x14ac:dyDescent="0.25">
      <c r="A122" s="1"/>
      <c r="B122" s="1"/>
      <c r="C122" s="1"/>
      <c r="D122" s="1"/>
      <c r="E122" s="1" t="s">
        <v>110</v>
      </c>
      <c r="F122" s="1"/>
      <c r="G122" s="1"/>
      <c r="H122" s="11">
        <v>333.36</v>
      </c>
      <c r="I122" s="25">
        <v>100</v>
      </c>
      <c r="J122" s="25">
        <v>405</v>
      </c>
      <c r="K122" s="123">
        <v>200</v>
      </c>
      <c r="L122" s="25">
        <f t="shared" si="2"/>
        <v>-205</v>
      </c>
    </row>
    <row r="123" spans="1:14" x14ac:dyDescent="0.2">
      <c r="A123" s="1"/>
      <c r="B123" s="1"/>
      <c r="C123" s="1"/>
      <c r="D123" s="1" t="s">
        <v>111</v>
      </c>
      <c r="E123" s="1"/>
      <c r="F123" s="1"/>
      <c r="G123" s="1"/>
      <c r="H123" s="8">
        <f>ROUND(SUM(H121:H122),5)</f>
        <v>333.36</v>
      </c>
      <c r="I123" s="16">
        <f>ROUND(SUM(I121:I122),5)</f>
        <v>100</v>
      </c>
      <c r="J123" s="16">
        <f>ROUND(SUM(J121:J122),5)</f>
        <v>405</v>
      </c>
      <c r="K123" s="122">
        <f>ROUND(SUM(K121:K122),5)</f>
        <v>200</v>
      </c>
      <c r="L123" s="16">
        <f t="shared" si="2"/>
        <v>-205</v>
      </c>
    </row>
    <row r="124" spans="1:14" x14ac:dyDescent="0.2">
      <c r="A124" s="1"/>
      <c r="B124" s="1"/>
      <c r="C124" s="1"/>
      <c r="D124" s="1" t="s">
        <v>112</v>
      </c>
      <c r="E124" s="1"/>
      <c r="F124" s="1"/>
      <c r="G124" s="1"/>
      <c r="H124" s="8"/>
      <c r="I124" s="16"/>
      <c r="J124" s="16"/>
      <c r="K124" s="122"/>
      <c r="L124" s="16"/>
    </row>
    <row r="125" spans="1:14" x14ac:dyDescent="0.2">
      <c r="A125" s="1"/>
      <c r="B125" s="1"/>
      <c r="C125" s="1"/>
      <c r="D125" s="1"/>
      <c r="E125" s="1" t="s">
        <v>496</v>
      </c>
      <c r="F125" s="1"/>
      <c r="G125" s="1"/>
      <c r="H125" s="8">
        <v>189</v>
      </c>
      <c r="I125" s="16"/>
      <c r="J125" s="16"/>
      <c r="K125" s="122"/>
      <c r="L125" s="16">
        <f t="shared" si="2"/>
        <v>0</v>
      </c>
      <c r="M125" s="17" t="s">
        <v>589</v>
      </c>
    </row>
    <row r="126" spans="1:14" x14ac:dyDescent="0.2">
      <c r="A126" s="1"/>
      <c r="B126" s="1"/>
      <c r="C126" s="1"/>
      <c r="D126" s="1"/>
      <c r="E126" s="1" t="s">
        <v>113</v>
      </c>
      <c r="F126" s="1"/>
      <c r="G126" s="1"/>
      <c r="H126" s="8">
        <v>192</v>
      </c>
      <c r="I126" s="16"/>
      <c r="J126" s="16">
        <v>646</v>
      </c>
      <c r="K126" s="122">
        <v>600</v>
      </c>
      <c r="L126" s="359">
        <v>200</v>
      </c>
      <c r="M126" s="224" t="s">
        <v>564</v>
      </c>
    </row>
    <row r="127" spans="1:14" x14ac:dyDescent="0.2">
      <c r="A127" s="1"/>
      <c r="B127" s="1"/>
      <c r="C127" s="1"/>
      <c r="D127" s="1"/>
      <c r="E127" s="1" t="s">
        <v>114</v>
      </c>
      <c r="F127" s="1"/>
      <c r="G127" s="1"/>
      <c r="H127" s="8">
        <v>2020</v>
      </c>
      <c r="I127" s="16">
        <v>1000</v>
      </c>
      <c r="J127" s="16">
        <v>2127</v>
      </c>
      <c r="K127" s="122">
        <v>2000</v>
      </c>
      <c r="L127" s="359">
        <v>2000</v>
      </c>
    </row>
    <row r="128" spans="1:14" x14ac:dyDescent="0.2">
      <c r="A128" s="1"/>
      <c r="B128" s="1"/>
      <c r="C128" s="1"/>
      <c r="D128" s="1"/>
      <c r="E128" s="1" t="s">
        <v>590</v>
      </c>
      <c r="F128" s="1"/>
      <c r="G128" s="1"/>
      <c r="H128" s="8">
        <v>448</v>
      </c>
      <c r="I128" s="16"/>
      <c r="J128" s="16">
        <v>291</v>
      </c>
      <c r="K128" s="122">
        <v>300</v>
      </c>
      <c r="L128" s="16">
        <f t="shared" si="2"/>
        <v>9</v>
      </c>
    </row>
    <row r="129" spans="1:15" ht="15" thickBot="1" x14ac:dyDescent="0.25">
      <c r="A129" s="1"/>
      <c r="B129" s="1"/>
      <c r="C129" s="1"/>
      <c r="D129" s="1"/>
      <c r="E129" s="1" t="s">
        <v>115</v>
      </c>
      <c r="F129" s="1"/>
      <c r="G129" s="1"/>
      <c r="H129" s="11">
        <v>119</v>
      </c>
      <c r="I129" s="25"/>
      <c r="J129" s="25"/>
      <c r="K129" s="123"/>
      <c r="L129" s="25">
        <f t="shared" si="2"/>
        <v>0</v>
      </c>
    </row>
    <row r="130" spans="1:15" x14ac:dyDescent="0.2">
      <c r="A130" s="1"/>
      <c r="B130" s="1"/>
      <c r="C130" s="1"/>
      <c r="D130" s="1" t="s">
        <v>116</v>
      </c>
      <c r="E130" s="1"/>
      <c r="F130" s="1"/>
      <c r="G130" s="1"/>
      <c r="H130" s="8">
        <f>ROUND(SUM(H124:H129),5)</f>
        <v>2968</v>
      </c>
      <c r="I130" s="16">
        <f>ROUND(SUM(I124:I129),5)</f>
        <v>1000</v>
      </c>
      <c r="J130" s="16">
        <f>ROUND(SUM(J124:J129),5)</f>
        <v>3064</v>
      </c>
      <c r="K130" s="122">
        <f>ROUND(SUM(K124:K129),5)</f>
        <v>2900</v>
      </c>
      <c r="L130" s="16">
        <f t="shared" si="2"/>
        <v>-164</v>
      </c>
    </row>
    <row r="131" spans="1:15" ht="34.5" thickBot="1" x14ac:dyDescent="0.25">
      <c r="A131" s="1"/>
      <c r="B131" s="1"/>
      <c r="C131" s="1"/>
      <c r="D131" s="1" t="s">
        <v>117</v>
      </c>
      <c r="E131" s="1"/>
      <c r="F131" s="1"/>
      <c r="G131" s="1"/>
      <c r="H131" s="12">
        <v>0</v>
      </c>
      <c r="I131" s="237">
        <v>9400</v>
      </c>
      <c r="J131" s="26"/>
      <c r="K131" s="124"/>
      <c r="L131" s="26">
        <f t="shared" si="2"/>
        <v>0</v>
      </c>
      <c r="N131" s="17" t="s">
        <v>137</v>
      </c>
    </row>
    <row r="132" spans="1:15" ht="15" thickBot="1" x14ac:dyDescent="0.25">
      <c r="A132" s="1"/>
      <c r="B132" s="1"/>
      <c r="C132" s="1" t="s">
        <v>118</v>
      </c>
      <c r="D132" s="1"/>
      <c r="E132" s="1"/>
      <c r="F132" s="1"/>
      <c r="G132" s="1"/>
      <c r="H132" s="13">
        <f>ROUND(H18+H23+H26+H29+H30+H34+H37+H79+H82+H89+H93+H96+H99+H102+H107+H110+H113+H116+H120+H123+SUM(H130:H131),5)</f>
        <v>487296.38</v>
      </c>
      <c r="I132" s="156">
        <f>ROUND(I18+I23+I26+I29+I30+I34+I37+I79+I82+I89+I93+I96+I99+I102+I107+I110+I113+I116+I120+I123+SUM(I130:I131),5)</f>
        <v>350952</v>
      </c>
      <c r="J132" s="28">
        <f>ROUND(J18+J23+J26+J29+J30+J34+J37+J79+J82+J89+J93+J96+J99+J102+J107+J110+J113+J116+J120+J123+SUM(J130:J131),5)</f>
        <v>526663</v>
      </c>
      <c r="K132" s="126">
        <f>ROUND(K18+K23+K26+K29+K30+K34+K37+K79+K82+K89+K93+K96+K99+K102+K107+K110+K113+K116+K120+K123+SUM(K130:K131),5)</f>
        <v>462517.97589</v>
      </c>
      <c r="L132" s="28">
        <f t="shared" si="2"/>
        <v>-64145.024109999998</v>
      </c>
      <c r="O132" s="276"/>
    </row>
    <row r="133" spans="1:15" ht="23.25" thickBot="1" x14ac:dyDescent="0.25">
      <c r="A133" s="1"/>
      <c r="B133" s="34" t="s">
        <v>483</v>
      </c>
      <c r="C133" s="1"/>
      <c r="D133" s="1"/>
      <c r="E133" s="1"/>
      <c r="F133" s="1"/>
      <c r="G133" s="1"/>
      <c r="H133" s="13">
        <f t="shared" ref="H133:I133" si="3">ROUND(H132,5)</f>
        <v>487296.38</v>
      </c>
      <c r="I133" s="28">
        <f t="shared" si="3"/>
        <v>350952</v>
      </c>
      <c r="J133" s="28">
        <f>ROUND(J132,5)</f>
        <v>526663</v>
      </c>
      <c r="K133" s="126">
        <f>ROUND(K132,5)</f>
        <v>462517.97589</v>
      </c>
      <c r="L133" s="28">
        <f t="shared" si="2"/>
        <v>-64145.024109999998</v>
      </c>
      <c r="M133" s="154"/>
      <c r="N133" s="17" t="s">
        <v>135</v>
      </c>
    </row>
    <row r="134" spans="1:15" x14ac:dyDescent="0.2">
      <c r="A134" s="34" t="s">
        <v>120</v>
      </c>
      <c r="B134" s="1"/>
      <c r="C134" s="1"/>
      <c r="D134" s="1"/>
      <c r="E134" s="1"/>
      <c r="F134" s="1"/>
      <c r="G134" s="1"/>
      <c r="H134" s="13">
        <f>ROUND(H12-H133,5)</f>
        <v>52440.62</v>
      </c>
      <c r="I134" s="28">
        <f>ROUND(I12-I133,5)</f>
        <v>219048</v>
      </c>
      <c r="J134" s="28">
        <f>ROUND(J12-J133,5)</f>
        <v>23337</v>
      </c>
      <c r="K134" s="126">
        <f>ROUND(K12-K133,5)</f>
        <v>114982.02411</v>
      </c>
      <c r="L134" s="28">
        <f t="shared" si="2"/>
        <v>91645.024109999998</v>
      </c>
    </row>
    <row r="135" spans="1:15" x14ac:dyDescent="0.2">
      <c r="A135" s="34"/>
      <c r="B135" s="1"/>
      <c r="C135" s="1"/>
      <c r="D135" s="1"/>
      <c r="E135" s="1"/>
      <c r="F135" s="1"/>
      <c r="G135" s="1"/>
      <c r="H135" s="12"/>
      <c r="I135" s="26"/>
      <c r="J135" s="26"/>
      <c r="K135" s="124"/>
      <c r="L135" s="26"/>
    </row>
    <row r="136" spans="1:15" s="5" customFormat="1" ht="12.75" x14ac:dyDescent="0.25">
      <c r="A136" s="34" t="s">
        <v>490</v>
      </c>
      <c r="B136" s="1"/>
      <c r="C136" s="1"/>
      <c r="D136" s="1"/>
      <c r="E136" s="1"/>
      <c r="F136" s="1"/>
      <c r="G136" s="1"/>
      <c r="H136" s="19"/>
      <c r="I136" s="256"/>
      <c r="J136" s="256"/>
      <c r="K136" s="128"/>
      <c r="L136" s="256"/>
      <c r="M136" s="18"/>
      <c r="N136" s="18"/>
    </row>
    <row r="137" spans="1:15" s="162" customFormat="1" ht="43.5" customHeight="1" x14ac:dyDescent="0.25">
      <c r="A137" s="34" t="s">
        <v>484</v>
      </c>
      <c r="B137" s="266"/>
      <c r="C137" s="266"/>
      <c r="D137" s="266"/>
      <c r="E137" s="266"/>
      <c r="F137" s="266"/>
      <c r="G137" s="266"/>
      <c r="H137" s="12"/>
      <c r="I137" s="12"/>
      <c r="J137" s="26"/>
      <c r="K137" s="124"/>
      <c r="L137" s="26"/>
      <c r="M137" s="161"/>
      <c r="N137" s="161"/>
    </row>
    <row r="138" spans="1:15" ht="23.25" thickBot="1" x14ac:dyDescent="0.25">
      <c r="A138" s="1"/>
      <c r="B138" s="1"/>
      <c r="C138" s="1" t="s">
        <v>9</v>
      </c>
      <c r="D138" s="1"/>
      <c r="E138" s="1"/>
      <c r="F138" s="1"/>
      <c r="G138" s="1"/>
      <c r="H138" s="11"/>
      <c r="I138" s="11"/>
      <c r="J138" s="25"/>
      <c r="K138" s="123"/>
      <c r="L138" s="25"/>
      <c r="M138" s="17" t="s">
        <v>501</v>
      </c>
      <c r="N138" s="17" t="s">
        <v>370</v>
      </c>
    </row>
    <row r="139" spans="1:15" s="162" customFormat="1" ht="43.5" customHeight="1" x14ac:dyDescent="0.25">
      <c r="B139" s="34" t="s">
        <v>485</v>
      </c>
      <c r="C139" s="266"/>
      <c r="D139" s="266"/>
      <c r="E139" s="266"/>
      <c r="F139" s="266"/>
      <c r="G139" s="266"/>
      <c r="H139" s="12">
        <f>H138</f>
        <v>0</v>
      </c>
      <c r="I139" s="12">
        <f t="shared" ref="I139:K139" si="4">I138</f>
        <v>0</v>
      </c>
      <c r="J139" s="26">
        <f t="shared" ref="J139" si="5">J138</f>
        <v>0</v>
      </c>
      <c r="K139" s="124">
        <f t="shared" si="4"/>
        <v>0</v>
      </c>
      <c r="L139" s="26">
        <f t="shared" ref="L139:L156" si="6">K139-J139</f>
        <v>0</v>
      </c>
      <c r="M139" s="161"/>
      <c r="N139" s="161"/>
    </row>
    <row r="140" spans="1:15" x14ac:dyDescent="0.2">
      <c r="A140" s="257" t="s">
        <v>486</v>
      </c>
      <c r="B140" s="38"/>
      <c r="C140" s="38"/>
      <c r="D140" s="38"/>
      <c r="E140" s="38"/>
      <c r="F140" s="38"/>
      <c r="G140" s="38"/>
      <c r="H140" s="21"/>
      <c r="I140" s="21"/>
      <c r="J140" s="325"/>
      <c r="K140" s="129"/>
      <c r="L140" s="325"/>
      <c r="M140" s="22"/>
      <c r="N140" s="22"/>
    </row>
    <row r="141" spans="1:15" x14ac:dyDescent="0.2">
      <c r="A141" s="1"/>
      <c r="B141" s="1"/>
      <c r="C141" s="1" t="s">
        <v>13</v>
      </c>
      <c r="D141" s="1"/>
      <c r="E141" s="1"/>
      <c r="F141" s="1"/>
      <c r="G141" s="1"/>
      <c r="H141" s="8"/>
      <c r="I141" s="16"/>
      <c r="J141" s="16"/>
      <c r="K141" s="122"/>
      <c r="L141" s="16"/>
    </row>
    <row r="142" spans="1:15" ht="15" thickBot="1" x14ac:dyDescent="0.25">
      <c r="A142" s="1"/>
      <c r="B142" s="1"/>
      <c r="C142" s="1"/>
      <c r="D142" s="1" t="s">
        <v>14</v>
      </c>
      <c r="E142" s="1"/>
      <c r="F142" s="1"/>
      <c r="G142" s="1"/>
      <c r="H142" s="12">
        <v>26914</v>
      </c>
      <c r="I142" s="237">
        <v>26914</v>
      </c>
      <c r="J142" s="26">
        <v>12330</v>
      </c>
      <c r="K142" s="124">
        <v>12330</v>
      </c>
      <c r="L142" s="26">
        <f t="shared" si="6"/>
        <v>0</v>
      </c>
      <c r="M142" s="17" t="s">
        <v>598</v>
      </c>
      <c r="N142" s="17" t="s">
        <v>136</v>
      </c>
    </row>
    <row r="143" spans="1:15" ht="15" thickBot="1" x14ac:dyDescent="0.25">
      <c r="A143" s="1"/>
      <c r="B143" s="1"/>
      <c r="C143" s="1" t="s">
        <v>15</v>
      </c>
      <c r="D143" s="1"/>
      <c r="E143" s="1"/>
      <c r="F143" s="1"/>
      <c r="G143" s="1"/>
      <c r="H143" s="9">
        <f>ROUND(SUM(H141:H142),5)</f>
        <v>26914</v>
      </c>
      <c r="I143" s="9">
        <f>ROUND(SUM(I141:I142),5)</f>
        <v>26914</v>
      </c>
      <c r="J143" s="24">
        <f>ROUND(SUM(J141:J142),5)</f>
        <v>12330</v>
      </c>
      <c r="K143" s="125">
        <f>ROUND(SUM(K141:K142),5)</f>
        <v>12330</v>
      </c>
      <c r="L143" s="24">
        <f t="shared" si="6"/>
        <v>0</v>
      </c>
    </row>
    <row r="144" spans="1:15" ht="22.5" x14ac:dyDescent="0.2">
      <c r="A144" s="6" t="s">
        <v>398</v>
      </c>
      <c r="H144" s="21"/>
      <c r="I144" s="21"/>
      <c r="J144" s="325"/>
      <c r="K144" s="129"/>
      <c r="L144" s="325"/>
      <c r="M144" s="22"/>
      <c r="N144" s="22" t="s">
        <v>142</v>
      </c>
    </row>
    <row r="145" spans="1:15" ht="33.75" x14ac:dyDescent="0.2">
      <c r="B145" s="378" t="s">
        <v>499</v>
      </c>
      <c r="C145" s="379"/>
      <c r="D145" s="379"/>
      <c r="E145" s="379"/>
      <c r="F145" s="379"/>
      <c r="G145" s="379"/>
      <c r="H145" s="21">
        <v>53805</v>
      </c>
      <c r="I145" s="21">
        <f>80719-26914</f>
        <v>53805</v>
      </c>
      <c r="J145" s="325">
        <v>66829</v>
      </c>
      <c r="K145" s="129">
        <v>66829</v>
      </c>
      <c r="L145" s="325">
        <f t="shared" si="6"/>
        <v>0</v>
      </c>
      <c r="M145" s="17" t="s">
        <v>598</v>
      </c>
      <c r="N145" s="17" t="s">
        <v>400</v>
      </c>
    </row>
    <row r="146" spans="1:15" ht="24" customHeight="1" x14ac:dyDescent="0.2">
      <c r="B146" s="378" t="s">
        <v>406</v>
      </c>
      <c r="C146" s="379"/>
      <c r="D146" s="379"/>
      <c r="E146" s="379"/>
      <c r="F146" s="379"/>
      <c r="G146" s="379"/>
      <c r="H146" s="21">
        <v>37176</v>
      </c>
      <c r="I146" s="21">
        <v>50818</v>
      </c>
      <c r="J146" s="325">
        <v>0</v>
      </c>
      <c r="K146" s="129">
        <v>26023</v>
      </c>
      <c r="L146" s="325">
        <f t="shared" si="6"/>
        <v>26023</v>
      </c>
      <c r="M146" s="17" t="s">
        <v>535</v>
      </c>
      <c r="N146" s="17" t="s">
        <v>143</v>
      </c>
    </row>
    <row r="147" spans="1:15" x14ac:dyDescent="0.2">
      <c r="A147" s="6" t="s">
        <v>122</v>
      </c>
      <c r="H147" s="21"/>
      <c r="I147" s="21"/>
      <c r="J147" s="325"/>
      <c r="K147" s="129"/>
      <c r="L147" s="325"/>
      <c r="M147" s="22"/>
      <c r="N147" s="22"/>
    </row>
    <row r="148" spans="1:15" x14ac:dyDescent="0.2">
      <c r="B148" s="6" t="s">
        <v>126</v>
      </c>
      <c r="H148" s="21"/>
      <c r="I148" s="21">
        <v>66000</v>
      </c>
      <c r="J148" s="325">
        <v>0</v>
      </c>
      <c r="K148" s="129">
        <f>'CIP 2018-23'!B31</f>
        <v>0</v>
      </c>
      <c r="L148" s="325">
        <f t="shared" si="6"/>
        <v>0</v>
      </c>
      <c r="N148" s="17" t="s">
        <v>140</v>
      </c>
    </row>
    <row r="149" spans="1:15" x14ac:dyDescent="0.2">
      <c r="B149" s="6" t="s">
        <v>127</v>
      </c>
      <c r="H149" s="21"/>
      <c r="I149" s="21"/>
      <c r="J149" s="325"/>
      <c r="K149" s="129"/>
      <c r="L149" s="325">
        <f t="shared" si="6"/>
        <v>0</v>
      </c>
      <c r="M149" s="22"/>
      <c r="N149" s="22"/>
    </row>
    <row r="150" spans="1:15" x14ac:dyDescent="0.2">
      <c r="A150" s="6" t="s">
        <v>138</v>
      </c>
      <c r="H150" s="21"/>
      <c r="I150" s="21"/>
      <c r="J150" s="325"/>
      <c r="K150" s="129"/>
      <c r="L150" s="325"/>
      <c r="M150" s="22"/>
      <c r="N150" s="22"/>
    </row>
    <row r="151" spans="1:15" ht="15" thickBot="1" x14ac:dyDescent="0.25">
      <c r="B151" s="6" t="s">
        <v>139</v>
      </c>
      <c r="H151" s="23"/>
      <c r="I151" s="23">
        <v>15511</v>
      </c>
      <c r="J151" s="254">
        <v>0</v>
      </c>
      <c r="K151" s="132">
        <v>0</v>
      </c>
      <c r="L151" s="254">
        <f t="shared" si="6"/>
        <v>0</v>
      </c>
      <c r="N151" s="17" t="s">
        <v>141</v>
      </c>
    </row>
    <row r="152" spans="1:15" s="267" customFormat="1" ht="13.5" thickBot="1" x14ac:dyDescent="0.25">
      <c r="B152" s="257" t="s">
        <v>487</v>
      </c>
      <c r="C152" s="257"/>
      <c r="D152" s="257"/>
      <c r="E152" s="257"/>
      <c r="F152" s="257"/>
      <c r="G152" s="257"/>
      <c r="H152" s="258">
        <f>SUM(H143:H151)</f>
        <v>117895</v>
      </c>
      <c r="I152" s="258">
        <f>SUM(I143:I151)</f>
        <v>213048</v>
      </c>
      <c r="J152" s="355">
        <f>SUM(J143:J151)</f>
        <v>79159</v>
      </c>
      <c r="K152" s="259">
        <f>SUM(K143:K151)</f>
        <v>105182</v>
      </c>
      <c r="L152" s="355">
        <f t="shared" si="6"/>
        <v>26023</v>
      </c>
      <c r="M152" s="260"/>
      <c r="N152" s="260"/>
      <c r="O152" s="268"/>
    </row>
    <row r="153" spans="1:15" s="267" customFormat="1" ht="12.75" x14ac:dyDescent="0.2">
      <c r="A153" s="257" t="s">
        <v>476</v>
      </c>
      <c r="B153" s="257"/>
      <c r="C153" s="257"/>
      <c r="D153" s="257"/>
      <c r="E153" s="257"/>
      <c r="F153" s="257"/>
      <c r="G153" s="257"/>
      <c r="H153" s="308">
        <f t="shared" ref="H153:I153" si="7">H139-H152</f>
        <v>-117895</v>
      </c>
      <c r="I153" s="308">
        <f t="shared" si="7"/>
        <v>-213048</v>
      </c>
      <c r="J153" s="356">
        <f>J139-J152</f>
        <v>-79159</v>
      </c>
      <c r="K153" s="309">
        <f>K139-K152</f>
        <v>-105182</v>
      </c>
      <c r="L153" s="356">
        <f t="shared" si="6"/>
        <v>-26023</v>
      </c>
      <c r="M153" s="260"/>
      <c r="N153" s="260"/>
      <c r="O153" s="268"/>
    </row>
    <row r="154" spans="1:15" x14ac:dyDescent="0.2">
      <c r="A154" s="257" t="s">
        <v>502</v>
      </c>
      <c r="B154" s="257"/>
      <c r="C154" s="257"/>
      <c r="D154" s="257"/>
      <c r="E154" s="257"/>
      <c r="F154" s="257"/>
      <c r="G154" s="257"/>
      <c r="H154" s="261">
        <f t="shared" ref="H154:I154" si="8">H134+H153</f>
        <v>-65454.38</v>
      </c>
      <c r="I154" s="261">
        <f t="shared" si="8"/>
        <v>6000</v>
      </c>
      <c r="J154" s="357">
        <f>J134+J153</f>
        <v>-55822</v>
      </c>
      <c r="K154" s="262">
        <f>K134+K153</f>
        <v>9800.0241099999985</v>
      </c>
      <c r="L154" s="357">
        <f t="shared" si="6"/>
        <v>65622.024109999998</v>
      </c>
      <c r="M154" s="22" t="s">
        <v>506</v>
      </c>
      <c r="N154" s="22"/>
    </row>
    <row r="155" spans="1:15" x14ac:dyDescent="0.2">
      <c r="H155" s="21"/>
      <c r="I155" s="21"/>
      <c r="J155" s="325"/>
      <c r="K155" s="21"/>
      <c r="L155" s="325"/>
      <c r="M155" s="278"/>
      <c r="N155" s="22"/>
    </row>
    <row r="156" spans="1:15" ht="22.5" x14ac:dyDescent="0.2">
      <c r="A156" s="1"/>
      <c r="B156" s="1"/>
      <c r="C156" s="1" t="s">
        <v>9</v>
      </c>
      <c r="D156" s="1"/>
      <c r="E156" s="1"/>
      <c r="F156" s="1"/>
      <c r="G156" s="1"/>
      <c r="H156" s="12">
        <v>-167439</v>
      </c>
      <c r="I156" s="12">
        <v>-167439</v>
      </c>
      <c r="J156" s="26">
        <v>-167439</v>
      </c>
      <c r="K156" s="26">
        <v>-167439</v>
      </c>
      <c r="L156" s="26">
        <f t="shared" si="6"/>
        <v>0</v>
      </c>
      <c r="M156" s="17" t="s">
        <v>507</v>
      </c>
      <c r="N156" s="22"/>
    </row>
    <row r="157" spans="1:15" x14ac:dyDescent="0.2">
      <c r="H157" s="21"/>
      <c r="I157" s="21"/>
      <c r="J157" s="325"/>
      <c r="K157" s="21"/>
      <c r="L157" s="325"/>
      <c r="M157" s="22"/>
      <c r="N157" s="22"/>
    </row>
    <row r="158" spans="1:15" x14ac:dyDescent="0.2">
      <c r="H158" s="21"/>
      <c r="I158" s="21"/>
      <c r="J158" s="325"/>
      <c r="K158" s="21"/>
      <c r="L158" s="325"/>
      <c r="M158" s="22"/>
      <c r="N158" s="22"/>
    </row>
    <row r="159" spans="1:15" x14ac:dyDescent="0.2">
      <c r="H159" s="21"/>
      <c r="I159" s="21"/>
      <c r="J159" s="325"/>
      <c r="K159" s="21"/>
      <c r="L159" s="325"/>
      <c r="M159" s="22"/>
      <c r="N159" s="22"/>
    </row>
    <row r="160" spans="1:15" x14ac:dyDescent="0.2">
      <c r="H160" s="21"/>
      <c r="I160" s="21"/>
      <c r="J160" s="325"/>
      <c r="K160" s="21"/>
      <c r="L160" s="325"/>
      <c r="M160" s="22"/>
      <c r="N160" s="22"/>
    </row>
    <row r="161" spans="8:14" x14ac:dyDescent="0.2">
      <c r="H161" s="21"/>
      <c r="I161" s="21"/>
      <c r="J161" s="325"/>
      <c r="K161" s="21"/>
      <c r="L161" s="325"/>
      <c r="M161" s="22"/>
      <c r="N161" s="22"/>
    </row>
    <row r="162" spans="8:14" x14ac:dyDescent="0.2">
      <c r="H162" s="21"/>
      <c r="I162" s="21"/>
      <c r="J162" s="325"/>
      <c r="K162" s="21"/>
      <c r="L162" s="325"/>
      <c r="M162" s="22"/>
      <c r="N162" s="22"/>
    </row>
    <row r="163" spans="8:14" x14ac:dyDescent="0.2">
      <c r="H163" s="21"/>
      <c r="I163" s="21"/>
      <c r="J163" s="325"/>
      <c r="K163" s="21"/>
      <c r="L163" s="325"/>
      <c r="M163" s="22"/>
      <c r="N163" s="22"/>
    </row>
    <row r="164" spans="8:14" x14ac:dyDescent="0.2">
      <c r="H164" s="21"/>
      <c r="I164" s="21"/>
      <c r="J164" s="325"/>
      <c r="K164" s="21"/>
      <c r="L164" s="325"/>
      <c r="M164" s="22"/>
      <c r="N164" s="22"/>
    </row>
    <row r="165" spans="8:14" x14ac:dyDescent="0.2">
      <c r="H165" s="21"/>
      <c r="I165" s="21"/>
      <c r="J165" s="325"/>
      <c r="K165" s="21"/>
      <c r="L165" s="325"/>
      <c r="M165" s="22"/>
      <c r="N165" s="22"/>
    </row>
    <row r="166" spans="8:14" x14ac:dyDescent="0.2">
      <c r="H166" s="21"/>
      <c r="I166" s="21"/>
      <c r="J166" s="325"/>
      <c r="K166" s="21"/>
      <c r="L166" s="325"/>
      <c r="M166" s="22"/>
      <c r="N166" s="22"/>
    </row>
    <row r="167" spans="8:14" x14ac:dyDescent="0.2">
      <c r="H167" s="21"/>
      <c r="I167" s="21"/>
      <c r="J167" s="325"/>
      <c r="K167" s="21"/>
      <c r="L167" s="325"/>
      <c r="M167" s="22"/>
      <c r="N167" s="22"/>
    </row>
    <row r="168" spans="8:14" x14ac:dyDescent="0.2">
      <c r="H168" s="21"/>
      <c r="I168" s="21"/>
      <c r="J168" s="325"/>
      <c r="K168" s="21"/>
      <c r="L168" s="325"/>
      <c r="M168" s="22"/>
      <c r="N168" s="22"/>
    </row>
    <row r="169" spans="8:14" x14ac:dyDescent="0.2">
      <c r="H169" s="21"/>
      <c r="I169" s="21"/>
      <c r="J169" s="325"/>
      <c r="K169" s="21"/>
      <c r="L169" s="325"/>
      <c r="M169" s="22"/>
      <c r="N169" s="22"/>
    </row>
    <row r="170" spans="8:14" x14ac:dyDescent="0.2">
      <c r="H170" s="21"/>
      <c r="I170" s="21"/>
      <c r="J170" s="325"/>
      <c r="K170" s="21"/>
      <c r="L170" s="325"/>
      <c r="M170" s="22"/>
      <c r="N170" s="22"/>
    </row>
    <row r="171" spans="8:14" x14ac:dyDescent="0.2">
      <c r="H171" s="21"/>
      <c r="I171" s="21"/>
      <c r="J171" s="325"/>
      <c r="K171" s="21"/>
      <c r="L171" s="325"/>
      <c r="M171" s="22"/>
      <c r="N171" s="22"/>
    </row>
    <row r="172" spans="8:14" x14ac:dyDescent="0.2">
      <c r="H172" s="21"/>
      <c r="I172" s="21"/>
      <c r="J172" s="325"/>
      <c r="K172" s="21"/>
      <c r="L172" s="325"/>
      <c r="M172" s="22"/>
      <c r="N172" s="22"/>
    </row>
    <row r="173" spans="8:14" x14ac:dyDescent="0.2">
      <c r="H173" s="21"/>
      <c r="I173" s="21"/>
      <c r="J173" s="325"/>
      <c r="K173" s="21"/>
      <c r="L173" s="325"/>
      <c r="M173" s="22"/>
      <c r="N173" s="22"/>
    </row>
    <row r="174" spans="8:14" x14ac:dyDescent="0.2">
      <c r="H174" s="21"/>
      <c r="I174" s="21"/>
      <c r="J174" s="325"/>
      <c r="K174" s="21"/>
      <c r="L174" s="325"/>
      <c r="M174" s="22"/>
      <c r="N174" s="22"/>
    </row>
  </sheetData>
  <mergeCells count="4">
    <mergeCell ref="B145:G145"/>
    <mergeCell ref="B146:G146"/>
    <mergeCell ref="M59:M61"/>
    <mergeCell ref="M7:M9"/>
  </mergeCells>
  <printOptions gridLines="1"/>
  <pageMargins left="0.7" right="0.7" top="0.75" bottom="0.75" header="0.1" footer="0.3"/>
  <pageSetup scale="80" fitToHeight="0" orientation="portrait" r:id="rId1"/>
  <headerFooter>
    <oddHeader>&amp;C&amp;"Arial,Bold"&amp;12 Southwest Harbor Water &amp;&amp; Sewer District
&amp;14Draft 2019 Wastewater Budget</oddHeader>
    <oddFooter>&amp;LPrinted &amp;D&amp;C&amp;F - &amp;A&amp;R&amp;"Arial,Bold"&amp;8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5</xdr:col>
                <xdr:colOff>57150</xdr:colOff>
                <xdr:row>0</xdr:row>
                <xdr:rowOff>228600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5</xdr:col>
                <xdr:colOff>57150</xdr:colOff>
                <xdr:row>0</xdr:row>
                <xdr:rowOff>228600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3"/>
  <sheetViews>
    <sheetView topLeftCell="A7" zoomScaleNormal="100" workbookViewId="0">
      <selection activeCell="R12" sqref="R12"/>
    </sheetView>
  </sheetViews>
  <sheetFormatPr defaultRowHeight="15" x14ac:dyDescent="0.25"/>
  <cols>
    <col min="1" max="1" width="2" customWidth="1"/>
    <col min="2" max="2" width="19.42578125" bestFit="1" customWidth="1"/>
    <col min="3" max="3" width="10.5703125" customWidth="1"/>
  </cols>
  <sheetData>
    <row r="1" spans="1:4" ht="18.75" x14ac:dyDescent="0.3">
      <c r="A1" s="163" t="s">
        <v>523</v>
      </c>
    </row>
    <row r="5" spans="1:4" x14ac:dyDescent="0.25">
      <c r="A5" t="s">
        <v>1</v>
      </c>
    </row>
    <row r="6" spans="1:4" x14ac:dyDescent="0.25">
      <c r="B6" t="s">
        <v>440</v>
      </c>
      <c r="C6" s="184">
        <f>'2019 Water'!J8</f>
        <v>280000</v>
      </c>
      <c r="D6" s="183" t="e">
        <f>C6/C$10</f>
        <v>#REF!</v>
      </c>
    </row>
    <row r="7" spans="1:4" x14ac:dyDescent="0.25">
      <c r="B7" t="s">
        <v>432</v>
      </c>
      <c r="C7" s="186">
        <f>'2019 Water'!J15</f>
        <v>236025</v>
      </c>
      <c r="D7" s="183" t="e">
        <f>C7/C$10</f>
        <v>#REF!</v>
      </c>
    </row>
    <row r="8" spans="1:4" x14ac:dyDescent="0.25">
      <c r="B8" t="s">
        <v>441</v>
      </c>
      <c r="C8" s="184">
        <f>'2019 Water'!J9</f>
        <v>100000</v>
      </c>
      <c r="D8" s="183" t="e">
        <f>C8/C$10</f>
        <v>#REF!</v>
      </c>
    </row>
    <row r="9" spans="1:4" x14ac:dyDescent="0.25">
      <c r="B9" t="s">
        <v>442</v>
      </c>
      <c r="C9" s="185" t="e">
        <f>'2019 Water'!#REF!+'2019 Water'!J10</f>
        <v>#REF!</v>
      </c>
      <c r="D9" s="183" t="e">
        <f>C9/C$10</f>
        <v>#REF!</v>
      </c>
    </row>
    <row r="10" spans="1:4" x14ac:dyDescent="0.25">
      <c r="B10" t="s">
        <v>433</v>
      </c>
      <c r="C10" s="184" t="e">
        <f>SUM(C6:C9)</f>
        <v>#REF!</v>
      </c>
    </row>
    <row r="12" spans="1:4" x14ac:dyDescent="0.25">
      <c r="C12" s="184"/>
    </row>
    <row r="13" spans="1:4" x14ac:dyDescent="0.25">
      <c r="C13" s="184"/>
    </row>
    <row r="14" spans="1:4" x14ac:dyDescent="0.25">
      <c r="C14" s="184"/>
    </row>
    <row r="15" spans="1:4" x14ac:dyDescent="0.25">
      <c r="A15" t="s">
        <v>401</v>
      </c>
      <c r="C15" s="184"/>
    </row>
    <row r="16" spans="1:4" x14ac:dyDescent="0.25">
      <c r="B16" t="s">
        <v>434</v>
      </c>
      <c r="C16" s="184">
        <f>'2019 Water'!J23+'2019 Water'!J35+'2019 Water'!J38+'2019 Water'!J43+'2019 Water'!J150</f>
        <v>295145.14</v>
      </c>
      <c r="D16" s="183">
        <f t="shared" ref="D16:D22" si="0">C16/C$23</f>
        <v>0.47586391077350743</v>
      </c>
    </row>
    <row r="17" spans="2:4" x14ac:dyDescent="0.25">
      <c r="B17" t="s">
        <v>439</v>
      </c>
      <c r="C17" s="186">
        <f>'2019 Water'!J185+'2019 Water'!J187+'2019 Water'!J188+'2019 Water'!J189</f>
        <v>129853</v>
      </c>
      <c r="D17" s="183">
        <f t="shared" si="0"/>
        <v>0.20936260853108493</v>
      </c>
    </row>
    <row r="18" spans="2:4" x14ac:dyDescent="0.25">
      <c r="B18" t="s">
        <v>436</v>
      </c>
      <c r="C18" s="184">
        <f>'2019 Water'!J51+'2019 Water'!J94</f>
        <v>79300</v>
      </c>
      <c r="D18" s="183">
        <f t="shared" si="0"/>
        <v>0.12785576657077646</v>
      </c>
    </row>
    <row r="19" spans="2:4" x14ac:dyDescent="0.25">
      <c r="B19" t="s">
        <v>435</v>
      </c>
      <c r="C19" s="184">
        <f>'2019 Water'!J48</f>
        <v>48600</v>
      </c>
      <c r="D19" s="183">
        <f t="shared" si="0"/>
        <v>7.8358010786125296E-2</v>
      </c>
    </row>
    <row r="20" spans="2:4" x14ac:dyDescent="0.25">
      <c r="B20" t="s">
        <v>437</v>
      </c>
      <c r="C20" s="184">
        <f>'2019 Water'!J97+'2019 Water'!J107+'2019 Water'!J111+'2019 Water'!J134</f>
        <v>38600</v>
      </c>
      <c r="D20" s="183">
        <f t="shared" si="0"/>
        <v>6.2234963299268233E-2</v>
      </c>
    </row>
    <row r="21" spans="2:4" x14ac:dyDescent="0.25">
      <c r="B21" t="s">
        <v>438</v>
      </c>
      <c r="C21" s="184">
        <f>'2019 Water'!J191</f>
        <v>0</v>
      </c>
      <c r="D21" s="183">
        <f t="shared" si="0"/>
        <v>0</v>
      </c>
    </row>
    <row r="22" spans="2:4" x14ac:dyDescent="0.25">
      <c r="B22" t="s">
        <v>138</v>
      </c>
      <c r="C22" s="185">
        <f>'2019 Water'!J137+'2019 Water'!J141+'2019 Water'!J144+'2019 Water'!J147+'2019 Water'!J153+'2019 Water'!J156+'2019 Water'!J160+'2019 Water'!J167+'2019 Water'!J194</f>
        <v>28732</v>
      </c>
      <c r="D22" s="183">
        <f t="shared" si="0"/>
        <v>4.6324740039237693E-2</v>
      </c>
    </row>
    <row r="23" spans="2:4" x14ac:dyDescent="0.25">
      <c r="B23" t="s">
        <v>433</v>
      </c>
      <c r="C23" s="184">
        <f>SUM(C16:C22)</f>
        <v>620230.14</v>
      </c>
    </row>
  </sheetData>
  <sortState ref="B6:D10">
    <sortCondition descending="1" ref="C6:C10"/>
  </sortState>
  <pageMargins left="0.7" right="0.7" top="0.75" bottom="0.75" header="0.3" footer="0.3"/>
  <pageSetup orientation="landscape" verticalDpi="0" r:id="rId1"/>
  <headerFooter>
    <oddFooter>&amp;LPrinted &amp;D&amp;R&amp;F - 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0"/>
  <sheetViews>
    <sheetView zoomScaleNormal="100" workbookViewId="0">
      <selection activeCell="C4" sqref="C4"/>
    </sheetView>
  </sheetViews>
  <sheetFormatPr defaultRowHeight="15" x14ac:dyDescent="0.25"/>
  <cols>
    <col min="1" max="1" width="2.5703125" customWidth="1"/>
    <col min="2" max="2" width="19.42578125" bestFit="1" customWidth="1"/>
    <col min="3" max="3" width="13.140625" customWidth="1"/>
  </cols>
  <sheetData>
    <row r="1" spans="1:4" ht="18.75" x14ac:dyDescent="0.3">
      <c r="A1" s="163" t="s">
        <v>524</v>
      </c>
    </row>
    <row r="3" spans="1:4" x14ac:dyDescent="0.25">
      <c r="A3" t="s">
        <v>1</v>
      </c>
    </row>
    <row r="4" spans="1:4" x14ac:dyDescent="0.25">
      <c r="B4" t="s">
        <v>440</v>
      </c>
      <c r="C4" s="184">
        <f>'2019 Sewer'!K7</f>
        <v>356370</v>
      </c>
      <c r="D4" s="183">
        <f>C4/C$7</f>
        <v>0.61709090909090913</v>
      </c>
    </row>
    <row r="5" spans="1:4" x14ac:dyDescent="0.25">
      <c r="B5" t="s">
        <v>441</v>
      </c>
      <c r="C5" s="186">
        <f>'2019 Sewer'!K8</f>
        <v>181440</v>
      </c>
      <c r="D5" s="183">
        <f>C5/C$7</f>
        <v>0.31418181818181817</v>
      </c>
    </row>
    <row r="6" spans="1:4" x14ac:dyDescent="0.25">
      <c r="B6" t="s">
        <v>443</v>
      </c>
      <c r="C6" s="185">
        <f>'2019 Sewer'!K9</f>
        <v>39690</v>
      </c>
      <c r="D6" s="183">
        <f>C6/C$7</f>
        <v>6.8727272727272734E-2</v>
      </c>
    </row>
    <row r="7" spans="1:4" x14ac:dyDescent="0.25">
      <c r="B7" t="s">
        <v>433</v>
      </c>
      <c r="C7" s="184">
        <f>SUM(C4:C6)</f>
        <v>577500</v>
      </c>
    </row>
    <row r="12" spans="1:4" x14ac:dyDescent="0.25">
      <c r="A12" t="s">
        <v>401</v>
      </c>
    </row>
    <row r="13" spans="1:4" x14ac:dyDescent="0.25">
      <c r="B13" t="s">
        <v>436</v>
      </c>
      <c r="C13" s="184">
        <f>'2019 Sewer'!K37+'2019 Sewer'!K79</f>
        <v>230300</v>
      </c>
      <c r="D13" s="183">
        <f t="shared" ref="D13:D19" si="0">C13/C$20</f>
        <v>0.40567202709309946</v>
      </c>
    </row>
    <row r="14" spans="1:4" x14ac:dyDescent="0.25">
      <c r="B14" t="s">
        <v>434</v>
      </c>
      <c r="C14" s="184">
        <f>'2019 Sewer'!K18+'2019 Sewer'!K23+'2019 Sewer'!K26+'2019 Sewer'!K29+'2019 Sewer'!K116</f>
        <v>168217.97589</v>
      </c>
      <c r="D14" s="183">
        <f t="shared" si="0"/>
        <v>0.29631492519667579</v>
      </c>
    </row>
    <row r="15" spans="1:4" x14ac:dyDescent="0.25">
      <c r="B15" t="s">
        <v>439</v>
      </c>
      <c r="C15" s="186">
        <f>'2019 Sewer'!K143+'2019 Sewer'!K145+'2019 Sewer'!K146</f>
        <v>105182</v>
      </c>
      <c r="D15" s="183">
        <f t="shared" si="0"/>
        <v>0.18527744313376635</v>
      </c>
    </row>
    <row r="16" spans="1:4" x14ac:dyDescent="0.25">
      <c r="B16" t="s">
        <v>438</v>
      </c>
      <c r="C16" s="184">
        <f>'2019 Sewer'!K148</f>
        <v>0</v>
      </c>
      <c r="D16" s="183">
        <f t="shared" si="0"/>
        <v>0</v>
      </c>
    </row>
    <row r="17" spans="2:4" x14ac:dyDescent="0.25">
      <c r="B17" t="s">
        <v>435</v>
      </c>
      <c r="C17" s="184">
        <f>'2019 Sewer'!K34</f>
        <v>34800</v>
      </c>
      <c r="D17" s="183">
        <f t="shared" si="0"/>
        <v>6.1299984988449248E-2</v>
      </c>
    </row>
    <row r="18" spans="2:4" x14ac:dyDescent="0.25">
      <c r="B18" t="s">
        <v>138</v>
      </c>
      <c r="C18" s="186">
        <f>'2019 Sewer'!K99+'2019 Sewer'!K102+'2019 Sewer'!K107+'2019 Sewer'!K110+'2019 Sewer'!K113+'2019 Sewer'!K120+'2019 Sewer'!K123+'2019 Sewer'!K130+'2019 Sewer'!K151</f>
        <v>19900</v>
      </c>
      <c r="D18" s="183">
        <f t="shared" si="0"/>
        <v>3.5053727047992526E-2</v>
      </c>
    </row>
    <row r="19" spans="2:4" x14ac:dyDescent="0.25">
      <c r="B19" t="s">
        <v>437</v>
      </c>
      <c r="C19" s="185">
        <f>'2019 Sewer'!K82+'2019 Sewer'!K89+'2019 Sewer'!K93+'2019 Sewer'!K96</f>
        <v>9300</v>
      </c>
      <c r="D19" s="183">
        <f t="shared" si="0"/>
        <v>1.638189254001661E-2</v>
      </c>
    </row>
    <row r="20" spans="2:4" x14ac:dyDescent="0.25">
      <c r="B20" t="s">
        <v>433</v>
      </c>
      <c r="C20" s="184">
        <f>SUM(C13:C19)</f>
        <v>567699.97589</v>
      </c>
    </row>
  </sheetData>
  <sortState ref="B4:D6">
    <sortCondition descending="1" ref="C4:C6"/>
  </sortState>
  <pageMargins left="0.7" right="0.7" top="0.75" bottom="0.75" header="0.3" footer="0.3"/>
  <pageSetup orientation="landscape" verticalDpi="0" r:id="rId1"/>
  <headerFooter>
    <oddFooter>&amp;LPrinted &amp;D&amp;R&amp;F - 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27"/>
  <sheetViews>
    <sheetView zoomScaleNormal="100" workbookViewId="0">
      <pane ySplit="4" topLeftCell="A5" activePane="bottomLeft" state="frozen"/>
      <selection pane="bottomLeft" activeCell="G25" sqref="G25"/>
    </sheetView>
  </sheetViews>
  <sheetFormatPr defaultColWidth="8.7109375" defaultRowHeight="15" x14ac:dyDescent="0.25"/>
  <cols>
    <col min="1" max="1" width="44.140625" style="167" customWidth="1"/>
    <col min="2" max="2" width="9.5703125" style="167" bestFit="1" customWidth="1"/>
    <col min="3" max="6" width="8.85546875" style="167" bestFit="1" customWidth="1"/>
    <col min="7" max="16384" width="8.7109375" style="167"/>
  </cols>
  <sheetData>
    <row r="1" spans="1:6" ht="18.75" x14ac:dyDescent="0.25">
      <c r="A1" s="181" t="s">
        <v>573</v>
      </c>
    </row>
    <row r="2" spans="1:6" ht="18.75" x14ac:dyDescent="0.25">
      <c r="A2" s="181" t="s">
        <v>431</v>
      </c>
    </row>
    <row r="3" spans="1:6" x14ac:dyDescent="0.25">
      <c r="A3" s="180">
        <v>43083</v>
      </c>
    </row>
    <row r="4" spans="1:6" ht="18.75" x14ac:dyDescent="0.25">
      <c r="A4" s="179" t="s">
        <v>430</v>
      </c>
      <c r="B4" s="178">
        <v>2019</v>
      </c>
      <c r="C4" s="178">
        <v>2020</v>
      </c>
      <c r="D4" s="178">
        <v>2021</v>
      </c>
      <c r="E4" s="178">
        <v>2022</v>
      </c>
      <c r="F4" s="178">
        <v>2023</v>
      </c>
    </row>
    <row r="5" spans="1:6" ht="18.75" x14ac:dyDescent="0.25">
      <c r="A5" s="385" t="s">
        <v>465</v>
      </c>
      <c r="B5" s="385"/>
      <c r="C5" s="385"/>
      <c r="D5" s="385"/>
      <c r="E5" s="385"/>
    </row>
    <row r="6" spans="1:6" ht="15.75" x14ac:dyDescent="0.25">
      <c r="A6" s="175" t="s">
        <v>429</v>
      </c>
      <c r="B6" s="173"/>
      <c r="C6" s="173">
        <v>10000</v>
      </c>
      <c r="D6" s="174"/>
      <c r="E6" s="173"/>
      <c r="F6" s="173"/>
    </row>
    <row r="7" spans="1:6" ht="15.75" x14ac:dyDescent="0.25">
      <c r="A7" s="175" t="s">
        <v>428</v>
      </c>
      <c r="B7" s="173"/>
      <c r="C7" s="173"/>
      <c r="D7" s="173"/>
      <c r="E7" s="173"/>
      <c r="F7" s="173"/>
    </row>
    <row r="8" spans="1:6" ht="15.75" x14ac:dyDescent="0.25">
      <c r="A8" s="175" t="s">
        <v>459</v>
      </c>
      <c r="B8" s="173"/>
      <c r="C8" s="173"/>
      <c r="D8" s="173"/>
      <c r="E8" s="173"/>
      <c r="F8" s="173"/>
    </row>
    <row r="9" spans="1:6" ht="15.75" x14ac:dyDescent="0.25">
      <c r="A9" s="175" t="s">
        <v>460</v>
      </c>
      <c r="B9" s="173"/>
      <c r="C9" s="173">
        <v>6000</v>
      </c>
      <c r="D9" s="173"/>
      <c r="E9" s="173"/>
      <c r="F9" s="173"/>
    </row>
    <row r="10" spans="1:6" ht="15.75" x14ac:dyDescent="0.25">
      <c r="A10" s="175" t="s">
        <v>461</v>
      </c>
      <c r="B10" s="173"/>
      <c r="C10" s="173">
        <v>2000</v>
      </c>
      <c r="D10" s="173">
        <v>3000</v>
      </c>
      <c r="E10" s="173"/>
      <c r="F10" s="173"/>
    </row>
    <row r="11" spans="1:6" ht="15.75" x14ac:dyDescent="0.25">
      <c r="A11" s="175" t="s">
        <v>462</v>
      </c>
      <c r="B11" s="173"/>
      <c r="C11" s="173"/>
      <c r="D11" s="173"/>
      <c r="E11" s="173"/>
      <c r="F11" s="173"/>
    </row>
    <row r="12" spans="1:6" ht="15.75" x14ac:dyDescent="0.25">
      <c r="A12" s="175" t="s">
        <v>463</v>
      </c>
      <c r="B12" s="173"/>
      <c r="C12" s="173"/>
      <c r="D12" s="173"/>
      <c r="E12" s="173"/>
      <c r="F12" s="173"/>
    </row>
    <row r="13" spans="1:6" ht="15.75" x14ac:dyDescent="0.25">
      <c r="A13" s="175" t="s">
        <v>464</v>
      </c>
      <c r="B13" s="173"/>
      <c r="C13" s="173"/>
      <c r="D13" s="173"/>
      <c r="E13" s="173"/>
      <c r="F13" s="173"/>
    </row>
    <row r="14" spans="1:6" ht="15.75" x14ac:dyDescent="0.25">
      <c r="A14" s="255" t="s">
        <v>481</v>
      </c>
      <c r="B14" s="173"/>
      <c r="C14" s="173"/>
      <c r="D14" s="173"/>
      <c r="E14" s="173"/>
      <c r="F14" s="173"/>
    </row>
    <row r="15" spans="1:6" ht="15.75" x14ac:dyDescent="0.25">
      <c r="A15" s="177" t="s">
        <v>355</v>
      </c>
      <c r="B15" s="176">
        <f>SUM(B6:B14)</f>
        <v>0</v>
      </c>
      <c r="C15" s="176">
        <f>SUM(C6:C14)</f>
        <v>18000</v>
      </c>
      <c r="D15" s="176">
        <f>SUM(D6:D14)</f>
        <v>3000</v>
      </c>
      <c r="E15" s="176">
        <f>SUM(E6:E14)</f>
        <v>0</v>
      </c>
      <c r="F15" s="176">
        <f>SUM(F6:F14)</f>
        <v>0</v>
      </c>
    </row>
    <row r="16" spans="1:6" ht="18.75" x14ac:dyDescent="0.25">
      <c r="A16" s="386" t="s">
        <v>466</v>
      </c>
      <c r="B16" s="386"/>
      <c r="C16" s="386"/>
      <c r="D16" s="386"/>
      <c r="E16" s="386"/>
    </row>
    <row r="17" spans="1:6" ht="15.75" x14ac:dyDescent="0.25">
      <c r="A17" s="175" t="s">
        <v>568</v>
      </c>
      <c r="B17" s="173"/>
      <c r="C17" s="173">
        <v>5000</v>
      </c>
      <c r="D17" s="173">
        <v>5000</v>
      </c>
      <c r="E17" s="173">
        <v>5000</v>
      </c>
      <c r="F17" s="173">
        <v>5000</v>
      </c>
    </row>
    <row r="18" spans="1:6" ht="15.75" x14ac:dyDescent="0.25">
      <c r="A18" s="175" t="s">
        <v>427</v>
      </c>
      <c r="B18" s="173"/>
      <c r="C18" s="173"/>
      <c r="D18" s="173"/>
      <c r="E18" s="173"/>
      <c r="F18" s="173"/>
    </row>
    <row r="19" spans="1:6" ht="15.75" x14ac:dyDescent="0.25">
      <c r="A19" s="175" t="s">
        <v>467</v>
      </c>
      <c r="B19" s="223"/>
      <c r="C19" s="173"/>
      <c r="D19" s="173"/>
      <c r="E19" s="173"/>
      <c r="F19" s="173"/>
    </row>
    <row r="20" spans="1:6" ht="15.75" x14ac:dyDescent="0.25">
      <c r="A20" s="175" t="s">
        <v>426</v>
      </c>
      <c r="B20" s="173"/>
      <c r="C20" s="174"/>
      <c r="D20" s="173"/>
      <c r="E20" s="173"/>
      <c r="F20" s="174"/>
    </row>
    <row r="21" spans="1:6" ht="15.75" x14ac:dyDescent="0.25">
      <c r="A21" s="175" t="s">
        <v>425</v>
      </c>
      <c r="B21" s="173"/>
      <c r="C21" s="174"/>
      <c r="D21" s="173"/>
      <c r="E21" s="173"/>
      <c r="F21" s="174"/>
    </row>
    <row r="22" spans="1:6" ht="15.75" x14ac:dyDescent="0.25">
      <c r="A22" s="175" t="s">
        <v>468</v>
      </c>
      <c r="B22" s="173"/>
      <c r="C22" s="174"/>
      <c r="D22" s="173"/>
      <c r="E22" s="173"/>
      <c r="F22" s="174"/>
    </row>
    <row r="23" spans="1:6" ht="15.75" x14ac:dyDescent="0.25">
      <c r="A23" s="175" t="s">
        <v>469</v>
      </c>
      <c r="B23" s="173"/>
      <c r="C23" s="174"/>
      <c r="D23" s="173"/>
      <c r="E23" s="173"/>
      <c r="F23" s="174"/>
    </row>
    <row r="24" spans="1:6" ht="15.75" x14ac:dyDescent="0.25">
      <c r="A24" s="175" t="s">
        <v>591</v>
      </c>
      <c r="B24" s="173"/>
      <c r="C24" s="174">
        <v>25000</v>
      </c>
      <c r="D24" s="173"/>
      <c r="E24" s="173"/>
      <c r="F24" s="174"/>
    </row>
    <row r="25" spans="1:6" ht="15.75" x14ac:dyDescent="0.25">
      <c r="A25" s="175"/>
      <c r="B25" s="173"/>
      <c r="C25" s="174"/>
      <c r="D25" s="173"/>
      <c r="E25" s="173"/>
      <c r="F25" s="174"/>
    </row>
    <row r="26" spans="1:6" ht="15.75" x14ac:dyDescent="0.25">
      <c r="A26" s="255" t="s">
        <v>481</v>
      </c>
      <c r="B26" s="173"/>
      <c r="C26" s="174"/>
      <c r="D26" s="173"/>
      <c r="E26" s="173"/>
      <c r="F26" s="174"/>
    </row>
    <row r="27" spans="1:6" ht="15.75" x14ac:dyDescent="0.25">
      <c r="A27" s="175"/>
      <c r="B27" s="173"/>
      <c r="C27" s="174"/>
      <c r="D27" s="173"/>
      <c r="E27" s="173"/>
      <c r="F27" s="174"/>
    </row>
    <row r="28" spans="1:6" ht="15.75" x14ac:dyDescent="0.25">
      <c r="A28" s="175"/>
      <c r="B28" s="173"/>
      <c r="C28" s="174"/>
      <c r="D28" s="173"/>
      <c r="E28" s="173"/>
      <c r="F28" s="174"/>
    </row>
    <row r="29" spans="1:6" ht="15.75" x14ac:dyDescent="0.25">
      <c r="A29" s="175"/>
      <c r="B29" s="173"/>
      <c r="C29" s="174"/>
      <c r="D29" s="173"/>
      <c r="E29" s="173"/>
      <c r="F29" s="174"/>
    </row>
    <row r="30" spans="1:6" ht="15.75" x14ac:dyDescent="0.25">
      <c r="A30" s="172" t="s">
        <v>352</v>
      </c>
      <c r="B30" s="169">
        <f>SUM(B17:B29)</f>
        <v>0</v>
      </c>
      <c r="C30" s="169">
        <f>SUM(C17:C29)</f>
        <v>30000</v>
      </c>
      <c r="D30" s="169">
        <f>SUM(D17:D29)</f>
        <v>5000</v>
      </c>
      <c r="E30" s="169">
        <f>SUM(E17:E29)</f>
        <v>5000</v>
      </c>
      <c r="F30" s="169">
        <f>SUM(F17:F29)</f>
        <v>5000</v>
      </c>
    </row>
    <row r="31" spans="1:6" ht="15.75" x14ac:dyDescent="0.25">
      <c r="A31" s="172" t="s">
        <v>424</v>
      </c>
      <c r="B31" s="169">
        <f>B15</f>
        <v>0</v>
      </c>
      <c r="C31" s="169">
        <f>C15</f>
        <v>18000</v>
      </c>
      <c r="D31" s="169">
        <f>D15</f>
        <v>3000</v>
      </c>
      <c r="E31" s="169">
        <f>E15</f>
        <v>0</v>
      </c>
      <c r="F31" s="169">
        <f>F15</f>
        <v>0</v>
      </c>
    </row>
    <row r="32" spans="1:6" ht="15.75" x14ac:dyDescent="0.25">
      <c r="A32" s="171" t="s">
        <v>423</v>
      </c>
      <c r="B32" s="169">
        <f t="shared" ref="B32:E32" si="0">B30+B31</f>
        <v>0</v>
      </c>
      <c r="C32" s="169">
        <f t="shared" si="0"/>
        <v>48000</v>
      </c>
      <c r="D32" s="169">
        <f t="shared" si="0"/>
        <v>8000</v>
      </c>
      <c r="E32" s="169">
        <f t="shared" si="0"/>
        <v>5000</v>
      </c>
      <c r="F32" s="169">
        <f t="shared" ref="F32" si="1">F30+F31</f>
        <v>5000</v>
      </c>
    </row>
    <row r="33" spans="1:6" ht="15.75" x14ac:dyDescent="0.25">
      <c r="A33" s="171"/>
      <c r="B33" s="169"/>
      <c r="C33" s="169"/>
      <c r="D33" s="169"/>
      <c r="E33" s="169"/>
      <c r="F33" s="169"/>
    </row>
    <row r="34" spans="1:6" x14ac:dyDescent="0.25">
      <c r="A34" s="170"/>
      <c r="B34" s="169"/>
      <c r="C34" s="169"/>
      <c r="D34" s="169"/>
      <c r="E34" s="169"/>
      <c r="F34" s="169"/>
    </row>
    <row r="35" spans="1:6" x14ac:dyDescent="0.25">
      <c r="A35" s="170"/>
    </row>
    <row r="37" spans="1:6" x14ac:dyDescent="0.25">
      <c r="A37" s="168"/>
      <c r="B37" s="168"/>
      <c r="C37" s="168"/>
      <c r="D37" s="168"/>
      <c r="E37" s="169"/>
      <c r="F37" s="168"/>
    </row>
    <row r="38" spans="1:6" x14ac:dyDescent="0.25">
      <c r="A38" s="168"/>
      <c r="B38" s="168"/>
      <c r="C38" s="168"/>
      <c r="D38" s="168"/>
      <c r="E38" s="169"/>
      <c r="F38" s="168"/>
    </row>
    <row r="39" spans="1:6" x14ac:dyDescent="0.25">
      <c r="A39" s="168"/>
      <c r="B39" s="168"/>
      <c r="C39" s="168"/>
      <c r="D39" s="168"/>
      <c r="E39" s="168"/>
      <c r="F39" s="168"/>
    </row>
    <row r="40" spans="1:6" x14ac:dyDescent="0.25">
      <c r="A40" s="168"/>
      <c r="B40" s="168"/>
      <c r="C40" s="168"/>
      <c r="D40" s="168"/>
      <c r="E40" s="168"/>
      <c r="F40" s="168"/>
    </row>
    <row r="41" spans="1:6" x14ac:dyDescent="0.25">
      <c r="A41" s="168"/>
      <c r="B41" s="168"/>
      <c r="C41" s="168"/>
      <c r="D41" s="168"/>
      <c r="E41" s="168"/>
      <c r="F41" s="168"/>
    </row>
    <row r="42" spans="1:6" x14ac:dyDescent="0.25">
      <c r="A42" s="168"/>
      <c r="B42" s="168"/>
      <c r="C42" s="168"/>
      <c r="D42" s="168"/>
      <c r="E42" s="168"/>
      <c r="F42" s="168"/>
    </row>
    <row r="43" spans="1:6" x14ac:dyDescent="0.25">
      <c r="A43" s="168"/>
      <c r="B43" s="168"/>
      <c r="C43" s="168"/>
      <c r="D43" s="168"/>
      <c r="E43" s="168"/>
      <c r="F43" s="168"/>
    </row>
    <row r="44" spans="1:6" x14ac:dyDescent="0.25">
      <c r="A44" s="168"/>
      <c r="B44" s="168"/>
      <c r="C44" s="168"/>
      <c r="D44" s="168"/>
      <c r="E44" s="168"/>
      <c r="F44" s="168"/>
    </row>
    <row r="45" spans="1:6" x14ac:dyDescent="0.25">
      <c r="A45" s="168"/>
      <c r="B45" s="168"/>
      <c r="C45" s="168"/>
      <c r="D45" s="168"/>
      <c r="E45" s="168"/>
      <c r="F45" s="168"/>
    </row>
    <row r="46" spans="1:6" x14ac:dyDescent="0.25">
      <c r="A46" s="168"/>
      <c r="B46" s="168"/>
      <c r="C46" s="168"/>
      <c r="D46" s="168"/>
      <c r="E46" s="168"/>
      <c r="F46" s="168"/>
    </row>
    <row r="47" spans="1:6" x14ac:dyDescent="0.25">
      <c r="A47" s="168"/>
      <c r="B47" s="168"/>
      <c r="C47" s="168"/>
      <c r="D47" s="168"/>
      <c r="E47" s="168"/>
      <c r="F47" s="168"/>
    </row>
    <row r="48" spans="1:6" x14ac:dyDescent="0.25">
      <c r="A48" s="168"/>
      <c r="B48" s="168"/>
      <c r="C48" s="168"/>
      <c r="D48" s="168"/>
      <c r="E48" s="168"/>
      <c r="F48" s="168"/>
    </row>
    <row r="49" spans="1:6" x14ac:dyDescent="0.25">
      <c r="A49" s="168"/>
      <c r="B49" s="168"/>
      <c r="C49" s="168"/>
      <c r="D49" s="168"/>
      <c r="E49" s="168"/>
      <c r="F49" s="168"/>
    </row>
    <row r="50" spans="1:6" x14ac:dyDescent="0.25">
      <c r="A50" s="168"/>
      <c r="B50" s="168"/>
      <c r="C50" s="168"/>
      <c r="D50" s="168"/>
      <c r="E50" s="168"/>
      <c r="F50" s="168"/>
    </row>
    <row r="51" spans="1:6" x14ac:dyDescent="0.25">
      <c r="A51" s="168"/>
      <c r="B51" s="168"/>
      <c r="C51" s="168"/>
      <c r="D51" s="168"/>
      <c r="E51" s="168"/>
      <c r="F51" s="168"/>
    </row>
    <row r="52" spans="1:6" x14ac:dyDescent="0.25">
      <c r="A52" s="168"/>
      <c r="B52" s="168"/>
      <c r="C52" s="168"/>
      <c r="D52" s="168"/>
      <c r="E52" s="168"/>
      <c r="F52" s="168"/>
    </row>
    <row r="53" spans="1:6" x14ac:dyDescent="0.25">
      <c r="A53" s="168"/>
      <c r="B53" s="168"/>
      <c r="C53" s="168"/>
      <c r="D53" s="168"/>
      <c r="E53" s="168"/>
      <c r="F53" s="168"/>
    </row>
    <row r="54" spans="1:6" x14ac:dyDescent="0.25">
      <c r="A54" s="168"/>
      <c r="B54" s="168"/>
      <c r="C54" s="168"/>
      <c r="D54" s="168"/>
      <c r="E54" s="168"/>
      <c r="F54" s="168"/>
    </row>
    <row r="55" spans="1:6" x14ac:dyDescent="0.25">
      <c r="A55" s="168"/>
      <c r="B55" s="168"/>
      <c r="C55" s="168"/>
      <c r="D55" s="168"/>
      <c r="E55" s="168"/>
      <c r="F55" s="168"/>
    </row>
    <row r="56" spans="1:6" x14ac:dyDescent="0.25">
      <c r="A56" s="168"/>
      <c r="B56" s="168"/>
      <c r="C56" s="168"/>
      <c r="D56" s="168"/>
      <c r="E56" s="168"/>
      <c r="F56" s="168"/>
    </row>
    <row r="57" spans="1:6" x14ac:dyDescent="0.25">
      <c r="A57" s="168"/>
      <c r="B57" s="168"/>
      <c r="C57" s="168"/>
      <c r="D57" s="168"/>
      <c r="E57" s="168"/>
      <c r="F57" s="168"/>
    </row>
    <row r="58" spans="1:6" x14ac:dyDescent="0.25">
      <c r="A58" s="168"/>
      <c r="B58" s="168"/>
      <c r="C58" s="168"/>
      <c r="D58" s="168"/>
      <c r="E58" s="168"/>
      <c r="F58" s="168"/>
    </row>
    <row r="59" spans="1:6" x14ac:dyDescent="0.25">
      <c r="A59" s="168"/>
      <c r="B59" s="168"/>
      <c r="C59" s="168"/>
      <c r="D59" s="168"/>
      <c r="E59" s="168"/>
      <c r="F59" s="168"/>
    </row>
    <row r="60" spans="1:6" x14ac:dyDescent="0.25">
      <c r="A60" s="168"/>
      <c r="B60" s="168"/>
      <c r="C60" s="168"/>
      <c r="D60" s="168"/>
      <c r="E60" s="168"/>
      <c r="F60" s="168"/>
    </row>
    <row r="61" spans="1:6" x14ac:dyDescent="0.25">
      <c r="A61" s="168"/>
      <c r="B61" s="168"/>
      <c r="C61" s="168"/>
      <c r="D61" s="168"/>
      <c r="E61" s="168"/>
      <c r="F61" s="168"/>
    </row>
    <row r="62" spans="1:6" x14ac:dyDescent="0.25">
      <c r="A62" s="168"/>
      <c r="B62" s="168"/>
      <c r="C62" s="168"/>
      <c r="D62" s="168"/>
      <c r="E62" s="168"/>
      <c r="F62" s="168"/>
    </row>
    <row r="63" spans="1:6" x14ac:dyDescent="0.25">
      <c r="A63" s="168"/>
      <c r="B63" s="168"/>
      <c r="C63" s="168"/>
      <c r="D63" s="168"/>
      <c r="E63" s="168"/>
      <c r="F63" s="168"/>
    </row>
    <row r="64" spans="1:6" x14ac:dyDescent="0.25">
      <c r="A64" s="168"/>
      <c r="B64" s="168"/>
      <c r="C64" s="168"/>
      <c r="D64" s="168"/>
      <c r="E64" s="168"/>
      <c r="F64" s="168"/>
    </row>
    <row r="65" spans="1:6" x14ac:dyDescent="0.25">
      <c r="A65" s="168"/>
      <c r="B65" s="168"/>
      <c r="C65" s="168"/>
      <c r="D65" s="168"/>
      <c r="E65" s="168"/>
      <c r="F65" s="168"/>
    </row>
    <row r="66" spans="1:6" x14ac:dyDescent="0.25">
      <c r="A66" s="168"/>
      <c r="B66" s="168"/>
      <c r="C66" s="168"/>
      <c r="D66" s="168"/>
      <c r="E66" s="168"/>
      <c r="F66" s="168"/>
    </row>
    <row r="67" spans="1:6" x14ac:dyDescent="0.25">
      <c r="A67" s="168"/>
      <c r="B67" s="168"/>
      <c r="C67" s="168"/>
      <c r="D67" s="168"/>
      <c r="E67" s="168"/>
      <c r="F67" s="168"/>
    </row>
    <row r="68" spans="1:6" x14ac:dyDescent="0.25">
      <c r="A68" s="168"/>
      <c r="B68" s="168"/>
      <c r="C68" s="168"/>
      <c r="D68" s="168"/>
      <c r="E68" s="168"/>
      <c r="F68" s="168"/>
    </row>
    <row r="69" spans="1:6" x14ac:dyDescent="0.25">
      <c r="A69" s="168"/>
      <c r="B69" s="168"/>
      <c r="C69" s="168"/>
      <c r="D69" s="168"/>
      <c r="E69" s="168"/>
      <c r="F69" s="168"/>
    </row>
    <row r="70" spans="1:6" x14ac:dyDescent="0.25">
      <c r="A70" s="168"/>
      <c r="B70" s="168"/>
      <c r="C70" s="168"/>
      <c r="D70" s="168"/>
      <c r="E70" s="168"/>
      <c r="F70" s="168"/>
    </row>
    <row r="71" spans="1:6" x14ac:dyDescent="0.25">
      <c r="A71" s="168"/>
      <c r="B71" s="168"/>
      <c r="C71" s="168"/>
      <c r="D71" s="168"/>
      <c r="E71" s="168"/>
      <c r="F71" s="168"/>
    </row>
    <row r="72" spans="1:6" x14ac:dyDescent="0.25">
      <c r="A72" s="168"/>
      <c r="B72" s="168"/>
      <c r="C72" s="168"/>
      <c r="D72" s="168"/>
      <c r="E72" s="168"/>
      <c r="F72" s="168"/>
    </row>
    <row r="73" spans="1:6" x14ac:dyDescent="0.25">
      <c r="A73" s="168"/>
      <c r="B73" s="168"/>
      <c r="C73" s="168"/>
      <c r="D73" s="168"/>
      <c r="E73" s="168"/>
      <c r="F73" s="168"/>
    </row>
    <row r="74" spans="1:6" x14ac:dyDescent="0.25">
      <c r="A74" s="168"/>
      <c r="B74" s="168"/>
      <c r="C74" s="168"/>
      <c r="D74" s="168"/>
      <c r="E74" s="168"/>
      <c r="F74" s="168"/>
    </row>
    <row r="75" spans="1:6" x14ac:dyDescent="0.25">
      <c r="A75" s="168"/>
      <c r="B75" s="168"/>
      <c r="C75" s="168"/>
      <c r="D75" s="168"/>
      <c r="E75" s="168"/>
      <c r="F75" s="168"/>
    </row>
    <row r="76" spans="1:6" x14ac:dyDescent="0.25">
      <c r="A76" s="168"/>
      <c r="B76" s="168"/>
      <c r="C76" s="168"/>
      <c r="D76" s="168"/>
      <c r="E76" s="168"/>
      <c r="F76" s="168"/>
    </row>
    <row r="77" spans="1:6" x14ac:dyDescent="0.25">
      <c r="A77" s="168"/>
      <c r="B77" s="168"/>
      <c r="C77" s="168"/>
      <c r="D77" s="168"/>
      <c r="E77" s="168"/>
      <c r="F77" s="168"/>
    </row>
    <row r="78" spans="1:6" x14ac:dyDescent="0.25">
      <c r="A78" s="168"/>
      <c r="B78" s="168"/>
      <c r="C78" s="168"/>
      <c r="D78" s="168"/>
      <c r="E78" s="168"/>
      <c r="F78" s="168"/>
    </row>
    <row r="79" spans="1:6" x14ac:dyDescent="0.25">
      <c r="A79" s="168"/>
      <c r="B79" s="168"/>
      <c r="C79" s="168"/>
      <c r="D79" s="168"/>
      <c r="E79" s="168"/>
      <c r="F79" s="168"/>
    </row>
    <row r="80" spans="1:6" x14ac:dyDescent="0.25">
      <c r="A80" s="168"/>
      <c r="B80" s="168"/>
      <c r="C80" s="168"/>
      <c r="D80" s="168"/>
      <c r="E80" s="168"/>
      <c r="F80" s="168"/>
    </row>
    <row r="81" spans="1:6" x14ac:dyDescent="0.25">
      <c r="A81" s="168"/>
      <c r="B81" s="168"/>
      <c r="C81" s="168"/>
      <c r="D81" s="168"/>
      <c r="E81" s="168"/>
      <c r="F81" s="168"/>
    </row>
    <row r="82" spans="1:6" x14ac:dyDescent="0.25">
      <c r="A82" s="168"/>
      <c r="B82" s="168"/>
      <c r="C82" s="168"/>
      <c r="D82" s="168"/>
      <c r="E82" s="168"/>
      <c r="F82" s="168"/>
    </row>
    <row r="83" spans="1:6" x14ac:dyDescent="0.25">
      <c r="A83" s="168"/>
      <c r="B83" s="168"/>
      <c r="C83" s="168"/>
      <c r="D83" s="168"/>
      <c r="E83" s="168"/>
      <c r="F83" s="168"/>
    </row>
    <row r="84" spans="1:6" x14ac:dyDescent="0.25">
      <c r="A84" s="168"/>
      <c r="B84" s="168"/>
      <c r="C84" s="168"/>
      <c r="D84" s="168"/>
      <c r="E84" s="168"/>
      <c r="F84" s="168"/>
    </row>
    <row r="85" spans="1:6" x14ac:dyDescent="0.25">
      <c r="A85" s="168"/>
      <c r="B85" s="168"/>
      <c r="C85" s="168"/>
      <c r="D85" s="168"/>
      <c r="E85" s="168"/>
      <c r="F85" s="168"/>
    </row>
    <row r="86" spans="1:6" x14ac:dyDescent="0.25">
      <c r="A86" s="168"/>
      <c r="B86" s="168"/>
      <c r="C86" s="168"/>
      <c r="D86" s="168"/>
      <c r="E86" s="168"/>
      <c r="F86" s="168"/>
    </row>
    <row r="87" spans="1:6" x14ac:dyDescent="0.25">
      <c r="A87" s="168"/>
      <c r="B87" s="168"/>
      <c r="C87" s="168"/>
      <c r="D87" s="168"/>
      <c r="E87" s="168"/>
      <c r="F87" s="168"/>
    </row>
    <row r="88" spans="1:6" x14ac:dyDescent="0.25">
      <c r="A88" s="168"/>
      <c r="B88" s="168"/>
      <c r="C88" s="168"/>
      <c r="D88" s="168"/>
      <c r="E88" s="168"/>
      <c r="F88" s="168"/>
    </row>
    <row r="89" spans="1:6" x14ac:dyDescent="0.25">
      <c r="A89" s="168"/>
      <c r="B89" s="168"/>
      <c r="C89" s="168"/>
      <c r="D89" s="168"/>
      <c r="E89" s="168"/>
      <c r="F89" s="168"/>
    </row>
    <row r="90" spans="1:6" x14ac:dyDescent="0.25">
      <c r="A90" s="168"/>
      <c r="B90" s="168"/>
      <c r="C90" s="168"/>
      <c r="D90" s="168"/>
      <c r="E90" s="168"/>
      <c r="F90" s="168"/>
    </row>
    <row r="91" spans="1:6" x14ac:dyDescent="0.25">
      <c r="A91" s="168"/>
      <c r="B91" s="168"/>
      <c r="C91" s="168"/>
      <c r="D91" s="168"/>
      <c r="E91" s="168"/>
      <c r="F91" s="168"/>
    </row>
    <row r="92" spans="1:6" x14ac:dyDescent="0.25">
      <c r="A92" s="168"/>
      <c r="B92" s="168"/>
      <c r="C92" s="168"/>
      <c r="D92" s="168"/>
      <c r="E92" s="168"/>
      <c r="F92" s="168"/>
    </row>
    <row r="93" spans="1:6" x14ac:dyDescent="0.25">
      <c r="A93" s="168"/>
      <c r="B93" s="168"/>
      <c r="C93" s="168"/>
      <c r="D93" s="168"/>
      <c r="E93" s="168"/>
      <c r="F93" s="168"/>
    </row>
    <row r="94" spans="1:6" x14ac:dyDescent="0.25">
      <c r="A94" s="168"/>
      <c r="B94" s="168"/>
      <c r="C94" s="168"/>
      <c r="D94" s="168"/>
      <c r="E94" s="168"/>
      <c r="F94" s="168"/>
    </row>
    <row r="95" spans="1:6" x14ac:dyDescent="0.25">
      <c r="A95" s="168"/>
      <c r="B95" s="168"/>
      <c r="C95" s="168"/>
      <c r="D95" s="168"/>
      <c r="E95" s="168"/>
      <c r="F95" s="168"/>
    </row>
    <row r="96" spans="1:6" x14ac:dyDescent="0.25">
      <c r="A96" s="168"/>
      <c r="B96" s="168"/>
      <c r="C96" s="168"/>
      <c r="D96" s="168"/>
      <c r="E96" s="168"/>
      <c r="F96" s="168"/>
    </row>
    <row r="97" spans="1:6" x14ac:dyDescent="0.25">
      <c r="A97" s="168"/>
      <c r="B97" s="168"/>
      <c r="C97" s="168"/>
      <c r="D97" s="168"/>
      <c r="E97" s="168"/>
      <c r="F97" s="168"/>
    </row>
    <row r="98" spans="1:6" x14ac:dyDescent="0.25">
      <c r="A98" s="168"/>
      <c r="B98" s="168"/>
      <c r="C98" s="168"/>
      <c r="D98" s="168"/>
      <c r="E98" s="168"/>
      <c r="F98" s="168"/>
    </row>
    <row r="99" spans="1:6" x14ac:dyDescent="0.25">
      <c r="A99" s="168"/>
      <c r="B99" s="168"/>
      <c r="C99" s="168"/>
      <c r="D99" s="168"/>
      <c r="E99" s="168"/>
      <c r="F99" s="168"/>
    </row>
    <row r="100" spans="1:6" x14ac:dyDescent="0.25">
      <c r="A100" s="168"/>
      <c r="B100" s="168"/>
      <c r="C100" s="168"/>
      <c r="D100" s="168"/>
      <c r="E100" s="168"/>
      <c r="F100" s="168"/>
    </row>
    <row r="101" spans="1:6" x14ac:dyDescent="0.25">
      <c r="A101" s="168"/>
      <c r="B101" s="168"/>
      <c r="C101" s="168"/>
      <c r="D101" s="168"/>
      <c r="E101" s="168"/>
      <c r="F101" s="168"/>
    </row>
    <row r="102" spans="1:6" x14ac:dyDescent="0.25">
      <c r="A102" s="168"/>
      <c r="B102" s="168"/>
      <c r="C102" s="168"/>
      <c r="D102" s="168"/>
      <c r="E102" s="168"/>
      <c r="F102" s="168"/>
    </row>
    <row r="103" spans="1:6" x14ac:dyDescent="0.25">
      <c r="A103" s="168"/>
      <c r="B103" s="168"/>
      <c r="C103" s="168"/>
      <c r="D103" s="168"/>
      <c r="E103" s="168"/>
      <c r="F103" s="168"/>
    </row>
    <row r="104" spans="1:6" x14ac:dyDescent="0.25">
      <c r="A104" s="168"/>
      <c r="B104" s="168"/>
      <c r="C104" s="168"/>
      <c r="D104" s="168"/>
      <c r="E104" s="168"/>
      <c r="F104" s="168"/>
    </row>
    <row r="105" spans="1:6" x14ac:dyDescent="0.25">
      <c r="A105" s="168"/>
      <c r="B105" s="168"/>
      <c r="C105" s="168"/>
      <c r="D105" s="168"/>
      <c r="E105" s="168"/>
      <c r="F105" s="168"/>
    </row>
    <row r="106" spans="1:6" x14ac:dyDescent="0.25">
      <c r="A106" s="168"/>
      <c r="B106" s="168"/>
      <c r="C106" s="168"/>
      <c r="D106" s="168"/>
      <c r="E106" s="168"/>
      <c r="F106" s="168"/>
    </row>
    <row r="107" spans="1:6" x14ac:dyDescent="0.25">
      <c r="A107" s="168"/>
      <c r="B107" s="168"/>
      <c r="C107" s="168"/>
      <c r="D107" s="168"/>
      <c r="E107" s="168"/>
      <c r="F107" s="168"/>
    </row>
    <row r="108" spans="1:6" x14ac:dyDescent="0.25">
      <c r="A108" s="168"/>
      <c r="B108" s="168"/>
      <c r="C108" s="168"/>
      <c r="D108" s="168"/>
      <c r="E108" s="168"/>
      <c r="F108" s="168"/>
    </row>
    <row r="109" spans="1:6" x14ac:dyDescent="0.25">
      <c r="A109" s="168"/>
      <c r="B109" s="168"/>
      <c r="C109" s="168"/>
      <c r="D109" s="168"/>
      <c r="E109" s="168"/>
      <c r="F109" s="168"/>
    </row>
    <row r="110" spans="1:6" x14ac:dyDescent="0.25">
      <c r="A110" s="168"/>
      <c r="B110" s="168"/>
      <c r="C110" s="168"/>
      <c r="D110" s="168"/>
      <c r="E110" s="168"/>
      <c r="F110" s="168"/>
    </row>
    <row r="111" spans="1:6" x14ac:dyDescent="0.25">
      <c r="A111" s="168"/>
      <c r="B111" s="168"/>
      <c r="C111" s="168"/>
      <c r="D111" s="168"/>
      <c r="E111" s="168"/>
      <c r="F111" s="168"/>
    </row>
    <row r="112" spans="1:6" x14ac:dyDescent="0.25">
      <c r="A112" s="168"/>
      <c r="B112" s="168"/>
      <c r="C112" s="168"/>
      <c r="D112" s="168"/>
      <c r="E112" s="168"/>
      <c r="F112" s="168"/>
    </row>
    <row r="113" spans="1:6" x14ac:dyDescent="0.25">
      <c r="A113" s="168"/>
      <c r="B113" s="168"/>
      <c r="C113" s="168"/>
      <c r="D113" s="168"/>
      <c r="E113" s="168"/>
      <c r="F113" s="168"/>
    </row>
    <row r="114" spans="1:6" x14ac:dyDescent="0.25">
      <c r="A114" s="168"/>
      <c r="B114" s="168"/>
      <c r="C114" s="168"/>
      <c r="D114" s="168"/>
      <c r="E114" s="168"/>
      <c r="F114" s="168"/>
    </row>
    <row r="115" spans="1:6" x14ac:dyDescent="0.25">
      <c r="A115" s="168"/>
      <c r="B115" s="168"/>
      <c r="C115" s="168"/>
      <c r="D115" s="168"/>
      <c r="E115" s="168"/>
      <c r="F115" s="168"/>
    </row>
    <row r="116" spans="1:6" x14ac:dyDescent="0.25">
      <c r="A116" s="168"/>
      <c r="B116" s="168"/>
      <c r="C116" s="168"/>
      <c r="D116" s="168"/>
      <c r="E116" s="168"/>
      <c r="F116" s="168"/>
    </row>
    <row r="117" spans="1:6" x14ac:dyDescent="0.25">
      <c r="A117" s="168"/>
      <c r="B117" s="168"/>
      <c r="C117" s="168"/>
      <c r="D117" s="168"/>
      <c r="E117" s="168"/>
      <c r="F117" s="168"/>
    </row>
    <row r="118" spans="1:6" x14ac:dyDescent="0.25">
      <c r="A118" s="168"/>
      <c r="B118" s="168"/>
      <c r="C118" s="168"/>
      <c r="D118" s="168"/>
      <c r="E118" s="168"/>
      <c r="F118" s="168"/>
    </row>
    <row r="119" spans="1:6" x14ac:dyDescent="0.25">
      <c r="A119" s="168"/>
      <c r="B119" s="168"/>
      <c r="C119" s="168"/>
      <c r="D119" s="168"/>
      <c r="E119" s="168"/>
      <c r="F119" s="168"/>
    </row>
    <row r="120" spans="1:6" x14ac:dyDescent="0.25">
      <c r="A120" s="168"/>
      <c r="B120" s="168"/>
      <c r="C120" s="168"/>
      <c r="D120" s="168"/>
      <c r="E120" s="168"/>
      <c r="F120" s="168"/>
    </row>
    <row r="121" spans="1:6" x14ac:dyDescent="0.25">
      <c r="A121" s="168"/>
      <c r="B121" s="168"/>
      <c r="C121" s="168"/>
      <c r="D121" s="168"/>
      <c r="E121" s="168"/>
      <c r="F121" s="168"/>
    </row>
    <row r="122" spans="1:6" x14ac:dyDescent="0.25">
      <c r="A122" s="168"/>
      <c r="B122" s="168"/>
      <c r="C122" s="168"/>
      <c r="D122" s="168"/>
      <c r="E122" s="168"/>
      <c r="F122" s="168"/>
    </row>
    <row r="123" spans="1:6" x14ac:dyDescent="0.25">
      <c r="A123" s="168"/>
      <c r="B123" s="168"/>
      <c r="C123" s="168"/>
      <c r="D123" s="168"/>
      <c r="E123" s="168"/>
      <c r="F123" s="168"/>
    </row>
    <row r="124" spans="1:6" x14ac:dyDescent="0.25">
      <c r="A124" s="168"/>
      <c r="B124" s="168"/>
      <c r="C124" s="168"/>
      <c r="D124" s="168"/>
      <c r="E124" s="168"/>
      <c r="F124" s="168"/>
    </row>
    <row r="125" spans="1:6" x14ac:dyDescent="0.25">
      <c r="A125" s="168"/>
      <c r="B125" s="168"/>
      <c r="C125" s="168"/>
      <c r="D125" s="168"/>
      <c r="E125" s="168"/>
      <c r="F125" s="168"/>
    </row>
    <row r="126" spans="1:6" x14ac:dyDescent="0.25">
      <c r="A126" s="168"/>
      <c r="B126" s="168"/>
      <c r="C126" s="168"/>
      <c r="D126" s="168"/>
      <c r="E126" s="168"/>
      <c r="F126" s="168"/>
    </row>
    <row r="127" spans="1:6" x14ac:dyDescent="0.25">
      <c r="A127" s="168"/>
      <c r="B127" s="168"/>
      <c r="C127" s="168"/>
      <c r="D127" s="168"/>
      <c r="E127" s="168"/>
      <c r="F127" s="168"/>
    </row>
  </sheetData>
  <mergeCells count="2">
    <mergeCell ref="A5:E5"/>
    <mergeCell ref="A16:E16"/>
  </mergeCells>
  <printOptions gridLines="1"/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23"/>
  <sheetViews>
    <sheetView workbookViewId="0">
      <selection activeCell="B9" sqref="B9"/>
    </sheetView>
  </sheetViews>
  <sheetFormatPr defaultRowHeight="15" x14ac:dyDescent="0.25"/>
  <cols>
    <col min="1" max="1" width="3.5703125" customWidth="1"/>
    <col min="2" max="2" width="72.42578125" style="155" customWidth="1"/>
  </cols>
  <sheetData>
    <row r="1" spans="1:2" ht="18.75" x14ac:dyDescent="0.3">
      <c r="A1" s="163" t="s">
        <v>513</v>
      </c>
    </row>
    <row r="2" spans="1:2" x14ac:dyDescent="0.25">
      <c r="A2" s="315" t="s">
        <v>434</v>
      </c>
      <c r="B2" s="314"/>
    </row>
    <row r="3" spans="1:2" x14ac:dyDescent="0.25">
      <c r="A3" s="316"/>
      <c r="B3" s="316" t="s">
        <v>514</v>
      </c>
    </row>
    <row r="4" spans="1:2" x14ac:dyDescent="0.25">
      <c r="A4" s="316"/>
      <c r="B4" s="316" t="s">
        <v>512</v>
      </c>
    </row>
    <row r="5" spans="1:2" x14ac:dyDescent="0.25">
      <c r="A5" s="316"/>
      <c r="B5" s="316" t="s">
        <v>569</v>
      </c>
    </row>
    <row r="6" spans="1:2" x14ac:dyDescent="0.25">
      <c r="A6" s="316" t="s">
        <v>515</v>
      </c>
      <c r="B6" s="316"/>
    </row>
    <row r="7" spans="1:2" x14ac:dyDescent="0.25">
      <c r="A7" s="316" t="s">
        <v>522</v>
      </c>
      <c r="B7" s="316"/>
    </row>
    <row r="8" spans="1:2" x14ac:dyDescent="0.25">
      <c r="A8" s="316" t="s">
        <v>528</v>
      </c>
      <c r="B8" s="316"/>
    </row>
    <row r="12" spans="1:2" x14ac:dyDescent="0.25">
      <c r="A12" s="316"/>
      <c r="B12" s="316"/>
    </row>
    <row r="13" spans="1:2" x14ac:dyDescent="0.25">
      <c r="A13" s="316"/>
      <c r="B13" s="316"/>
    </row>
    <row r="14" spans="1:2" x14ac:dyDescent="0.25">
      <c r="A14" s="316"/>
      <c r="B14" s="316"/>
    </row>
    <row r="15" spans="1:2" x14ac:dyDescent="0.25">
      <c r="A15" s="316"/>
      <c r="B15" s="316"/>
    </row>
    <row r="16" spans="1:2" x14ac:dyDescent="0.25">
      <c r="A16" s="316"/>
      <c r="B16" s="316"/>
    </row>
    <row r="17" spans="1:2" x14ac:dyDescent="0.25">
      <c r="A17" s="316"/>
      <c r="B17" s="316"/>
    </row>
    <row r="18" spans="1:2" x14ac:dyDescent="0.25">
      <c r="A18" s="316"/>
      <c r="B18" s="316"/>
    </row>
    <row r="19" spans="1:2" x14ac:dyDescent="0.25">
      <c r="A19" s="316"/>
      <c r="B19" s="316"/>
    </row>
    <row r="20" spans="1:2" x14ac:dyDescent="0.25">
      <c r="A20" s="316"/>
      <c r="B20" s="316"/>
    </row>
    <row r="21" spans="1:2" x14ac:dyDescent="0.25">
      <c r="A21" s="316"/>
      <c r="B21" s="316"/>
    </row>
    <row r="22" spans="1:2" x14ac:dyDescent="0.25">
      <c r="A22" s="312"/>
      <c r="B22" s="313"/>
    </row>
    <row r="23" spans="1:2" x14ac:dyDescent="0.25">
      <c r="A23" s="312"/>
      <c r="B23" s="182"/>
    </row>
  </sheetData>
  <printOptions gridLines="1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Personnel 2019</vt:lpstr>
      <vt:lpstr>2019 Water</vt:lpstr>
      <vt:lpstr>2019 Sewer</vt:lpstr>
      <vt:lpstr>Water Summary</vt:lpstr>
      <vt:lpstr>Sewer Summary</vt:lpstr>
      <vt:lpstr>CIP 2018-23</vt:lpstr>
      <vt:lpstr>Do list</vt:lpstr>
      <vt:lpstr>'2019 Water'!Print_Area</vt:lpstr>
      <vt:lpstr>'Personnel 2019'!Print_Area</vt:lpstr>
      <vt:lpstr>'2019 Sewer'!Print_Titles</vt:lpstr>
      <vt:lpstr>'2019 Water'!Print_Titles</vt:lpstr>
      <vt:lpstr>'CIP 2018-23'!Print_Titles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</dc:creator>
  <cp:lastModifiedBy>skenney</cp:lastModifiedBy>
  <cp:lastPrinted>2018-11-08T14:59:21Z</cp:lastPrinted>
  <dcterms:created xsi:type="dcterms:W3CDTF">2017-10-15T23:36:51Z</dcterms:created>
  <dcterms:modified xsi:type="dcterms:W3CDTF">2019-02-28T16:38:25Z</dcterms:modified>
</cp:coreProperties>
</file>