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8e038573de4680c/Personal/Benchrest Data/"/>
    </mc:Choice>
  </mc:AlternateContent>
  <xr:revisionPtr revIDLastSave="11" documentId="8_{E6D521C3-8A8B-4973-9404-D69E52BC4FD1}" xr6:coauthVersionLast="45" xr6:coauthVersionMax="45" xr10:uidLastSave="{5E64C52E-BD92-429D-85C5-3F35B05E5D12}"/>
  <bookViews>
    <workbookView xWindow="-120" yWindow="-120" windowWidth="21840" windowHeight="13140" tabRatio="743" xr2:uid="{00000000-000D-0000-FFFF-FFFF00000000}"/>
  </bookViews>
  <sheets>
    <sheet name="Load Analysis" sheetId="6" r:id="rId1"/>
    <sheet name="Stability" sheetId="7" r:id="rId2"/>
    <sheet name="Rifle List" sheetId="8" r:id="rId3"/>
    <sheet name="Projectile Data" sheetId="9" r:id="rId4"/>
    <sheet name="Case Data" sheetId="10" r:id="rId5"/>
    <sheet name="Primer Data" sheetId="11" r:id="rId6"/>
    <sheet name="Powder Data" sheetId="12" r:id="rId7"/>
  </sheets>
  <definedNames>
    <definedName name="Bullet">'Load Analysis'!$F$4</definedName>
    <definedName name="Case">'Load Analysis'!$C$4</definedName>
    <definedName name="my_load_data" localSheetId="0">'Load Analysis'!$C$10:$L$15</definedName>
    <definedName name="my_load_data">#REF!</definedName>
    <definedName name="Powder">'Load Analysis'!$J$4</definedName>
    <definedName name="_xlnm.Print_Area" localSheetId="0">'Load Analysis'!$A$1:$L$87</definedName>
    <definedName name="xaxis_max" localSheetId="0">'Load Analysis'!#REF!</definedName>
    <definedName name="xaxis_max">#REF!</definedName>
    <definedName name="xaxis_min" localSheetId="0">'Load Analysis'!#REF!</definedName>
    <definedName name="xaxis_min">#REF!</definedName>
    <definedName name="yaxis_max" localSheetId="0">'Load Analysis'!$B$25</definedName>
    <definedName name="yaxis_max">#REF!</definedName>
    <definedName name="yaxis_min" localSheetId="0">'Load Analysis'!$B$24</definedName>
    <definedName name="yaxis_m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6" l="1"/>
  <c r="J1" i="6"/>
  <c r="L1" i="6"/>
  <c r="H10" i="7"/>
  <c r="H9" i="7"/>
  <c r="L5" i="6"/>
  <c r="L4" i="6"/>
  <c r="F5" i="6"/>
  <c r="F4" i="6"/>
  <c r="C4" i="6"/>
  <c r="H38" i="7" l="1"/>
  <c r="H37" i="7"/>
  <c r="E38" i="7"/>
  <c r="E37" i="7"/>
  <c r="B52" i="7"/>
  <c r="B51" i="7"/>
  <c r="B38" i="7"/>
  <c r="B37" i="7"/>
  <c r="H24" i="7"/>
  <c r="H23" i="7"/>
  <c r="E24" i="7"/>
  <c r="E23" i="7"/>
  <c r="B24" i="7"/>
  <c r="B23" i="7"/>
  <c r="E9" i="7" l="1"/>
  <c r="B4" i="7"/>
  <c r="B46" i="7" s="1"/>
  <c r="B2" i="7" a="1"/>
  <c r="B2" i="7" s="1"/>
  <c r="E10" i="7"/>
  <c r="E2" i="7" l="1"/>
  <c r="B6" i="7"/>
  <c r="H18" i="7"/>
  <c r="E32" i="7"/>
  <c r="H4" i="7"/>
  <c r="E18" i="7"/>
  <c r="B32" i="7"/>
  <c r="H32" i="7"/>
  <c r="B18" i="7"/>
  <c r="E4" i="7"/>
  <c r="H16" i="7"/>
  <c r="B44" i="7"/>
  <c r="H2" i="7"/>
  <c r="B30" i="7"/>
  <c r="B16" i="7"/>
  <c r="E30" i="7"/>
  <c r="E16" i="7"/>
  <c r="H30" i="7"/>
  <c r="B10" i="7" l="1"/>
  <c r="B9" i="7"/>
  <c r="E5" i="7"/>
  <c r="E34" i="7" l="1"/>
  <c r="B48" i="7"/>
  <c r="H34" i="7"/>
  <c r="B20" i="7"/>
  <c r="B34" i="7"/>
  <c r="H20" i="7"/>
  <c r="E20" i="7"/>
  <c r="E6" i="7"/>
  <c r="H6" i="7"/>
  <c r="B5" i="7"/>
  <c r="B3" i="7"/>
  <c r="E31" i="7" s="1"/>
  <c r="B47" i="7" l="1"/>
  <c r="E33" i="7"/>
  <c r="H33" i="7"/>
  <c r="H31" i="7"/>
  <c r="B17" i="7"/>
  <c r="B31" i="7"/>
  <c r="E7" i="7"/>
  <c r="B7" i="7"/>
  <c r="H17" i="7"/>
  <c r="E3" i="7"/>
  <c r="H3" i="7"/>
  <c r="B45" i="7"/>
  <c r="E17" i="7"/>
  <c r="H19" i="7"/>
  <c r="E19" i="7"/>
  <c r="B33" i="7"/>
  <c r="B19" i="7"/>
  <c r="H5" i="7"/>
  <c r="E35" i="7" l="1"/>
  <c r="B49" i="7"/>
  <c r="H35" i="7"/>
  <c r="B35" i="7"/>
  <c r="B21" i="7"/>
  <c r="E21" i="7"/>
  <c r="H7" i="7"/>
  <c r="H21" i="7"/>
  <c r="L16" i="6" l="1"/>
  <c r="K16" i="6"/>
  <c r="J16" i="6"/>
  <c r="I16" i="6"/>
  <c r="H16" i="6"/>
  <c r="G16" i="6"/>
  <c r="F16" i="6"/>
  <c r="E16" i="6"/>
  <c r="D16" i="6"/>
  <c r="C16" i="6"/>
  <c r="I27" i="6" l="1"/>
  <c r="J21" i="6"/>
  <c r="K28" i="6"/>
  <c r="E27" i="6"/>
  <c r="F21" i="6"/>
  <c r="C28" i="6"/>
  <c r="G28" i="6"/>
  <c r="D19" i="6"/>
  <c r="E8" i="7" s="1"/>
  <c r="H19" i="6"/>
  <c r="H22" i="7" s="1"/>
  <c r="L19" i="6"/>
  <c r="B50" i="7" s="1"/>
  <c r="G20" i="6"/>
  <c r="L21" i="6"/>
  <c r="C18" i="6"/>
  <c r="J27" i="6"/>
  <c r="K18" i="6"/>
  <c r="L28" i="6"/>
  <c r="D21" i="6"/>
  <c r="D18" i="6"/>
  <c r="L18" i="6"/>
  <c r="L29" i="6" s="1"/>
  <c r="J20" i="6"/>
  <c r="G21" i="6"/>
  <c r="C27" i="6"/>
  <c r="K27" i="6"/>
  <c r="G18" i="6"/>
  <c r="C20" i="6"/>
  <c r="K20" i="6"/>
  <c r="H21" i="6"/>
  <c r="F27" i="6"/>
  <c r="D28" i="6"/>
  <c r="H18" i="6"/>
  <c r="F20" i="6"/>
  <c r="C21" i="6"/>
  <c r="K21" i="6"/>
  <c r="G27" i="6"/>
  <c r="H28" i="6"/>
  <c r="E28" i="6"/>
  <c r="E18" i="6"/>
  <c r="I18" i="6"/>
  <c r="C19" i="6"/>
  <c r="B8" i="7" s="1"/>
  <c r="G19" i="6"/>
  <c r="E22" i="7" s="1"/>
  <c r="K19" i="6"/>
  <c r="H36" i="7" s="1"/>
  <c r="D20" i="6"/>
  <c r="H20" i="6"/>
  <c r="L20" i="6"/>
  <c r="E21" i="6"/>
  <c r="I21" i="6"/>
  <c r="D27" i="6"/>
  <c r="H27" i="6"/>
  <c r="L27" i="6"/>
  <c r="F28" i="6"/>
  <c r="J28" i="6"/>
  <c r="E19" i="6"/>
  <c r="H8" i="7" s="1"/>
  <c r="H12" i="7" s="1"/>
  <c r="E22" i="6" s="1"/>
  <c r="I19" i="6"/>
  <c r="B36" i="7" s="1"/>
  <c r="F19" i="6"/>
  <c r="B22" i="7" s="1"/>
  <c r="J19" i="6"/>
  <c r="E36" i="7" s="1"/>
  <c r="I28" i="6"/>
  <c r="F18" i="6"/>
  <c r="J18" i="6"/>
  <c r="J26" i="6" s="1"/>
  <c r="E20" i="6"/>
  <c r="I20" i="6"/>
  <c r="E40" i="7" l="1"/>
  <c r="J22" i="6" s="1"/>
  <c r="B12" i="7"/>
  <c r="C22" i="6" s="1"/>
  <c r="B26" i="7"/>
  <c r="F22" i="6" s="1"/>
  <c r="B54" i="7"/>
  <c r="L22" i="6" s="1"/>
  <c r="E26" i="7"/>
  <c r="G22" i="6" s="1"/>
  <c r="E12" i="7"/>
  <c r="D22" i="6" s="1"/>
  <c r="B40" i="7"/>
  <c r="I22" i="6" s="1"/>
  <c r="H40" i="7"/>
  <c r="K22" i="6" s="1"/>
  <c r="H26" i="7"/>
  <c r="H22" i="6" s="1"/>
  <c r="I23" i="6"/>
  <c r="C25" i="6"/>
  <c r="D25" i="6"/>
  <c r="L25" i="6"/>
  <c r="H25" i="6"/>
  <c r="F24" i="6"/>
  <c r="E25" i="6"/>
  <c r="K23" i="6"/>
  <c r="D26" i="6"/>
  <c r="C26" i="6"/>
  <c r="J23" i="6"/>
  <c r="I25" i="6"/>
  <c r="D23" i="6"/>
  <c r="K25" i="6"/>
  <c r="L24" i="6"/>
  <c r="I24" i="6"/>
  <c r="H23" i="6"/>
  <c r="F26" i="6"/>
  <c r="G25" i="6"/>
  <c r="C23" i="6"/>
  <c r="E26" i="6"/>
  <c r="J25" i="6"/>
  <c r="G26" i="6"/>
  <c r="H24" i="6"/>
  <c r="F23" i="6"/>
  <c r="E23" i="6"/>
  <c r="K24" i="6"/>
  <c r="L23" i="6"/>
  <c r="H26" i="6"/>
  <c r="D24" i="6"/>
  <c r="G24" i="6"/>
  <c r="C24" i="6"/>
  <c r="F25" i="6"/>
  <c r="E24" i="6"/>
  <c r="K26" i="6"/>
  <c r="J24" i="6"/>
  <c r="I26" i="6"/>
  <c r="L26" i="6"/>
  <c r="G23" i="6"/>
  <c r="F29" i="6"/>
  <c r="J29" i="6"/>
  <c r="I29" i="6"/>
  <c r="H29" i="6"/>
  <c r="D29" i="6"/>
  <c r="E29" i="6"/>
  <c r="G29" i="6"/>
  <c r="K29" i="6"/>
  <c r="B21" i="6"/>
  <c r="B20" i="6"/>
  <c r="B22" i="6" s="1"/>
  <c r="B23" i="6" l="1"/>
  <c r="B25" i="6" s="1"/>
  <c r="B24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<sst xmlns="http://schemas.openxmlformats.org/spreadsheetml/2006/main" count="419" uniqueCount="241">
  <si>
    <t>Load 1</t>
  </si>
  <si>
    <t>Load 2</t>
  </si>
  <si>
    <t>Load 3</t>
  </si>
  <si>
    <t>Load 4</t>
  </si>
  <si>
    <t>Load 5</t>
  </si>
  <si>
    <t>Load 6</t>
  </si>
  <si>
    <t>Load 7</t>
  </si>
  <si>
    <t>Load 8</t>
  </si>
  <si>
    <t>Load 9</t>
  </si>
  <si>
    <t>Load 10</t>
  </si>
  <si>
    <t>Mean</t>
  </si>
  <si>
    <t>Median</t>
  </si>
  <si>
    <t>Standard Dev.</t>
  </si>
  <si>
    <t>Extreme Spread</t>
  </si>
  <si>
    <t>Location</t>
  </si>
  <si>
    <t>Shot 1</t>
  </si>
  <si>
    <t>Shot 2</t>
  </si>
  <si>
    <t>Shot 3</t>
  </si>
  <si>
    <t>Shot 4</t>
  </si>
  <si>
    <t>Shot 5</t>
  </si>
  <si>
    <t>Min</t>
  </si>
  <si>
    <t>Max</t>
  </si>
  <si>
    <t>Density Altitude</t>
  </si>
  <si>
    <t>Speed Incr (FPS)</t>
  </si>
  <si>
    <t>SUM</t>
  </si>
  <si>
    <t>Temperature (F):</t>
  </si>
  <si>
    <t>- 1 SD</t>
  </si>
  <si>
    <t>+ 1 SD</t>
  </si>
  <si>
    <t>- 2 SD</t>
  </si>
  <si>
    <t>+ 2 SD</t>
  </si>
  <si>
    <t>Series 1</t>
  </si>
  <si>
    <t>Series 2</t>
  </si>
  <si>
    <t>Series 3</t>
  </si>
  <si>
    <t>Series 4</t>
  </si>
  <si>
    <t>Series 5</t>
  </si>
  <si>
    <t>Bullet Part Number</t>
  </si>
  <si>
    <t>Caliber</t>
  </si>
  <si>
    <t>Bullet Weight</t>
  </si>
  <si>
    <t>Bullet Length</t>
  </si>
  <si>
    <t>Barrel Twist</t>
  </si>
  <si>
    <t>Avg Velocity</t>
  </si>
  <si>
    <t>Temperature</t>
  </si>
  <si>
    <t>InHg (Pressure)</t>
  </si>
  <si>
    <t>Sg =</t>
  </si>
  <si>
    <t>Series 6</t>
  </si>
  <si>
    <t>Series 7</t>
  </si>
  <si>
    <t>Series 8</t>
  </si>
  <si>
    <t>Series 9</t>
  </si>
  <si>
    <t>Series 10</t>
  </si>
  <si>
    <t>Make &amp; Model</t>
  </si>
  <si>
    <t>Barrel Length</t>
  </si>
  <si>
    <t>Twist</t>
  </si>
  <si>
    <t>P/N</t>
  </si>
  <si>
    <t>Brand</t>
  </si>
  <si>
    <t>Diameter</t>
  </si>
  <si>
    <t>Description</t>
  </si>
  <si>
    <t>Weight</t>
  </si>
  <si>
    <t>BC (G1)</t>
  </si>
  <si>
    <t>BC (G7)</t>
  </si>
  <si>
    <t>Length</t>
  </si>
  <si>
    <t>Hornady</t>
  </si>
  <si>
    <t>V-Max</t>
  </si>
  <si>
    <t>N/A</t>
  </si>
  <si>
    <t>Barnes</t>
  </si>
  <si>
    <t>Match Brnr</t>
  </si>
  <si>
    <t>ELD-M</t>
  </si>
  <si>
    <t>Sierra</t>
  </si>
  <si>
    <t>MK HPFB</t>
  </si>
  <si>
    <t>Berger</t>
  </si>
  <si>
    <t>Target HPFB</t>
  </si>
  <si>
    <t>BK TipFB</t>
  </si>
  <si>
    <t>Vrmt HPFB</t>
  </si>
  <si>
    <t>Nosler</t>
  </si>
  <si>
    <t>Vrmt B-Tip</t>
  </si>
  <si>
    <t>Vrmtr HPFB</t>
  </si>
  <si>
    <t>TMK</t>
  </si>
  <si>
    <t>GameKing</t>
  </si>
  <si>
    <t>Vrmt BTHP</t>
  </si>
  <si>
    <t>Match BTHP</t>
  </si>
  <si>
    <t>Hyb Tgt</t>
  </si>
  <si>
    <t>BTHP</t>
  </si>
  <si>
    <t>S2458</t>
  </si>
  <si>
    <t>4PL6045</t>
  </si>
  <si>
    <t>Lapua</t>
  </si>
  <si>
    <t>Scenar OTM</t>
  </si>
  <si>
    <t>S24561</t>
  </si>
  <si>
    <t>A-Tip Match</t>
  </si>
  <si>
    <t>MB BTHP</t>
  </si>
  <si>
    <t>RDF BTHP</t>
  </si>
  <si>
    <t>MK BTHP</t>
  </si>
  <si>
    <t>ELD-X</t>
  </si>
  <si>
    <t>LR Hyb Tgt</t>
  </si>
  <si>
    <t>S30731</t>
  </si>
  <si>
    <t>Manufacturer</t>
  </si>
  <si>
    <t>Alpha Bump Neck Sized</t>
  </si>
  <si>
    <t>Alpha Full Length Sized</t>
  </si>
  <si>
    <t>Alpha New</t>
  </si>
  <si>
    <t>ADG Bump Neck Sized</t>
  </si>
  <si>
    <t>ADG Full Length Sized</t>
  </si>
  <si>
    <t>ADG New</t>
  </si>
  <si>
    <t>Factory New</t>
  </si>
  <si>
    <t>Federal Bump Neck Sized</t>
  </si>
  <si>
    <t>Federal Full Length Sized</t>
  </si>
  <si>
    <t>Federal New</t>
  </si>
  <si>
    <t>Gunworks Bump Neck Sized</t>
  </si>
  <si>
    <t>Gunworks Full Length Sized</t>
  </si>
  <si>
    <t>Gunworks New</t>
  </si>
  <si>
    <t>Hornady Bump Neck Sized</t>
  </si>
  <si>
    <t>Hornady Full Length Sized</t>
  </si>
  <si>
    <t>Hornady New</t>
  </si>
  <si>
    <t>Lapua Bump Neck Sized</t>
  </si>
  <si>
    <t>Lapua Full Length Sized</t>
  </si>
  <si>
    <t>Lapua New</t>
  </si>
  <si>
    <t>Nosler Bump Neck Sized</t>
  </si>
  <si>
    <t>Nosler Full Length Sized</t>
  </si>
  <si>
    <t>Nosler New</t>
  </si>
  <si>
    <t>Peterson Bump Neck Sized</t>
  </si>
  <si>
    <t>Peterson Full Length Sized</t>
  </si>
  <si>
    <t>Peterson New</t>
  </si>
  <si>
    <t>Starline Bump Neck Sized</t>
  </si>
  <si>
    <t>Starline Full Length Sized</t>
  </si>
  <si>
    <t>Starline New</t>
  </si>
  <si>
    <t>Winchester Bump Neck Sized</t>
  </si>
  <si>
    <t>Winchester Full Length Sized</t>
  </si>
  <si>
    <t>Winchester New</t>
  </si>
  <si>
    <t>Wolf FL Sized</t>
  </si>
  <si>
    <t>Wolf New</t>
  </si>
  <si>
    <t>Primers</t>
  </si>
  <si>
    <t>CCI No. 200 LRP</t>
  </si>
  <si>
    <t>CCI No. 250 LRP</t>
  </si>
  <si>
    <t>CCI No. 400 SRP</t>
  </si>
  <si>
    <t>CCI No. 450 SRP</t>
  </si>
  <si>
    <t>CCI No. BR-2 LRP</t>
  </si>
  <si>
    <t>CCI No. BR-4 SRP</t>
  </si>
  <si>
    <t>Federal 215 LMR</t>
  </si>
  <si>
    <t>Federal GM205M</t>
  </si>
  <si>
    <t>Federal GM210M</t>
  </si>
  <si>
    <t>Federal GM215M</t>
  </si>
  <si>
    <t>Wolf SRP</t>
  </si>
  <si>
    <t>Factory</t>
  </si>
  <si>
    <t>Alliant Reloader 16</t>
  </si>
  <si>
    <t>Alliant Reloader 17</t>
  </si>
  <si>
    <t>Alliant Reloader 23</t>
  </si>
  <si>
    <t>Alliant Reloader 25</t>
  </si>
  <si>
    <t>Alliant Reloader 26</t>
  </si>
  <si>
    <t>Hodgdon H1000</t>
  </si>
  <si>
    <t>Hodgdon H4350</t>
  </si>
  <si>
    <t>Hodgdon H4831</t>
  </si>
  <si>
    <t xml:space="preserve">Hodgdon Benchmark </t>
  </si>
  <si>
    <t>Hodgdon BL-C(2)</t>
  </si>
  <si>
    <t>Hodgdon CFE 223</t>
  </si>
  <si>
    <t>Hodgdon CFE BLK</t>
  </si>
  <si>
    <t>Hodgdon Retumbo</t>
  </si>
  <si>
    <t>Hodgdon Varget</t>
  </si>
  <si>
    <t>IMR 4064</t>
  </si>
  <si>
    <t>IMR 4166</t>
  </si>
  <si>
    <t>IMR 4955</t>
  </si>
  <si>
    <t>IMR 7828 SSC</t>
  </si>
  <si>
    <t>IMR 7977</t>
  </si>
  <si>
    <t>IMR 8133</t>
  </si>
  <si>
    <t>Ramshot Magnum</t>
  </si>
  <si>
    <t>Ramshot LRT</t>
  </si>
  <si>
    <t>Viht N140</t>
  </si>
  <si>
    <t>Viht N150</t>
  </si>
  <si>
    <t>Viht N550</t>
  </si>
  <si>
    <t>Win StaBall 6.5</t>
  </si>
  <si>
    <t>Bullet Stability</t>
  </si>
  <si>
    <t>Optic</t>
  </si>
  <si>
    <t>Twist Rate</t>
  </si>
  <si>
    <t>Humidity</t>
  </si>
  <si>
    <t>Bullet</t>
  </si>
  <si>
    <t>Primer</t>
  </si>
  <si>
    <t>Powder</t>
  </si>
  <si>
    <t>G1 Ballistic Coef</t>
  </si>
  <si>
    <t>G7 Ballistic Coef</t>
  </si>
  <si>
    <t>Bullet Consolidated Description</t>
  </si>
  <si>
    <t>Hornady #22241 V-Max</t>
  </si>
  <si>
    <t>Bullet Diameter</t>
  </si>
  <si>
    <t>Berger #26486 LR Hyb Tgt</t>
  </si>
  <si>
    <t>Berger #30429 Hyb Tgt</t>
  </si>
  <si>
    <t>Berger #30430 Hyb Tgt</t>
  </si>
  <si>
    <t>Hornady #2278 Vrmt BTHP</t>
  </si>
  <si>
    <t>Hornady #2279 Match BTHP</t>
  </si>
  <si>
    <t>Hornady #2458 BTHP</t>
  </si>
  <si>
    <t>Hornady #S2458 BTHP</t>
  </si>
  <si>
    <t>Berger #24433 Hyb Tgt</t>
  </si>
  <si>
    <t>Berger #26414 Hyb Tgt</t>
  </si>
  <si>
    <t>Barnes #30230 MB BTHP</t>
  </si>
  <si>
    <t>Barnes #30160 MB FB</t>
  </si>
  <si>
    <t>Berger #22410 Tgt HPFB</t>
  </si>
  <si>
    <t>Berger #22312 Vrmt HPFB</t>
  </si>
  <si>
    <t>Hornady #22491 ELD-M</t>
  </si>
  <si>
    <t>Hornady #22281 V-Max</t>
  </si>
  <si>
    <t>Hornady #22774 ELD-M</t>
  </si>
  <si>
    <t>Hornady #22791 ELD-M</t>
  </si>
  <si>
    <t>Hornady #24561 ELD-M</t>
  </si>
  <si>
    <t>Hornady #S24561 ELD-M</t>
  </si>
  <si>
    <t>Hornady #2635 ELD-X</t>
  </si>
  <si>
    <t>Hornady #26331 ELD-M</t>
  </si>
  <si>
    <t>Hornady #26333 ELD-M</t>
  </si>
  <si>
    <t>Hornady #30506 ELD-M</t>
  </si>
  <si>
    <t>Hornady #30713 ELD-M</t>
  </si>
  <si>
    <t>Hornady #3078 ELD-X</t>
  </si>
  <si>
    <t>Hornady #30731 ELD-M</t>
  </si>
  <si>
    <t>Hornady #26179 A-Tip</t>
  </si>
  <si>
    <t>Hornady #S30731 ELD-M</t>
  </si>
  <si>
    <t>Hornady #30904 ELD-M</t>
  </si>
  <si>
    <t>Hornady #3091 A-Tip</t>
  </si>
  <si>
    <t>Hornady #3092 A-Tip</t>
  </si>
  <si>
    <t>Lapua #4PL6045 Scenar OTM</t>
  </si>
  <si>
    <t>Nosler #34992 Vrmt B-Tip</t>
  </si>
  <si>
    <t>Nosler #49824 RDF BTHP</t>
  </si>
  <si>
    <t>Sierra #1410 MK HPFB</t>
  </si>
  <si>
    <t>Sierra #1375 Vrmtr HPFB</t>
  </si>
  <si>
    <t>Sierra #1455 BK Tipped FB</t>
  </si>
  <si>
    <t>Sierra #1395 GameKing</t>
  </si>
  <si>
    <t>Sierra #7160 Tipped MK</t>
  </si>
  <si>
    <t>Sierra #7169 Tipped MK</t>
  </si>
  <si>
    <t>Sierra #7177 Tipped MK</t>
  </si>
  <si>
    <t>Sierra #1740 MK BTHP</t>
  </si>
  <si>
    <t>Sierra #1755 MK BTHP</t>
  </si>
  <si>
    <t>Sierra #2200 MK BTHP</t>
  </si>
  <si>
    <t>Sierra #2240 MK BTHP</t>
  </si>
  <si>
    <t>Sierra #2251 MK BTHP</t>
  </si>
  <si>
    <t>Charge Weight</t>
  </si>
  <si>
    <t>Viht N560</t>
  </si>
  <si>
    <t>`</t>
  </si>
  <si>
    <t>Long Range Hyb Tgt</t>
  </si>
  <si>
    <t>Berger #24485 LR Hyb Tgt</t>
  </si>
  <si>
    <t>Bullet Length (in)</t>
  </si>
  <si>
    <t>Bullet Weight (g)</t>
  </si>
  <si>
    <t>COAL</t>
  </si>
  <si>
    <t>CBTO</t>
  </si>
  <si>
    <t>Date</t>
  </si>
  <si>
    <t>Firearm</t>
  </si>
  <si>
    <t>Brass &amp; Prep:</t>
  </si>
  <si>
    <t>Group Size (in)</t>
  </si>
  <si>
    <t>Aero Precision AR15</t>
  </si>
  <si>
    <t>.223/5.56 MM</t>
  </si>
  <si>
    <t>20"</t>
  </si>
  <si>
    <t>Bushnell Elite Tactical 4.5-30x50 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</si>
</sst>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0"/>
    <numFmt numFmtId="168" formatCode="[$-409]mmmm\ d\,\ yyyy;@"/>
    <numFmt numFmtId="169" formatCode="#,##0.000_);\(#,##0.000\)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0099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vertAlign val="superscript"/>
      <sz val="18"/>
      <color theme="1"/>
      <name val="Calibri"/>
      <family val="2"/>
      <scheme val="minor"/>
    </font>
    <font>
      <b/>
      <sz val="14"/>
      <color rgb="FF008000"/>
      <name val="Calibri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sz val="14"/>
      <color rgb="FF00009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9" fontId="1" fillId="9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37" fontId="1" fillId="4" borderId="8" xfId="0" applyNumberFormat="1" applyFont="1" applyFill="1" applyBorder="1" applyAlignment="1">
      <alignment horizontal="center"/>
    </xf>
    <xf numFmtId="37" fontId="1" fillId="9" borderId="8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0" fillId="0" borderId="0" xfId="0" applyNumberFormat="1"/>
    <xf numFmtId="0" fontId="2" fillId="0" borderId="0" xfId="0" applyFont="1"/>
    <xf numFmtId="0" fontId="1" fillId="9" borderId="8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39" fontId="0" fillId="8" borderId="0" xfId="0" applyNumberFormat="1" applyFill="1"/>
    <xf numFmtId="0" fontId="11" fillId="6" borderId="3" xfId="0" applyFont="1" applyFill="1" applyBorder="1" applyAlignment="1">
      <alignment horizontal="left" vertical="top"/>
    </xf>
    <xf numFmtId="0" fontId="13" fillId="8" borderId="0" xfId="0" applyFont="1" applyFill="1"/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2" fontId="16" fillId="10" borderId="7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1" fillId="6" borderId="9" xfId="0" applyFont="1" applyFill="1" applyBorder="1" applyAlignment="1">
      <alignment horizontal="left" vertical="top"/>
    </xf>
    <xf numFmtId="0" fontId="8" fillId="8" borderId="10" xfId="0" applyFont="1" applyFill="1" applyBorder="1" applyAlignment="1" applyProtection="1">
      <alignment horizontal="center" vertical="center"/>
      <protection locked="0"/>
    </xf>
    <xf numFmtId="9" fontId="8" fillId="8" borderId="4" xfId="1" applyFont="1" applyFill="1" applyBorder="1" applyAlignment="1" applyProtection="1">
      <alignment horizontal="center" vertical="center"/>
      <protection locked="0"/>
    </xf>
    <xf numFmtId="2" fontId="8" fillId="8" borderId="4" xfId="0" applyNumberFormat="1" applyFont="1" applyFill="1" applyBorder="1" applyAlignment="1" applyProtection="1">
      <alignment horizontal="center" vertical="center"/>
      <protection locked="0"/>
    </xf>
    <xf numFmtId="1" fontId="8" fillId="8" borderId="5" xfId="0" applyNumberFormat="1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/>
    <xf numFmtId="167" fontId="0" fillId="0" borderId="0" xfId="0" applyNumberFormat="1" applyAlignment="1">
      <alignment horizontal="right"/>
    </xf>
    <xf numFmtId="166" fontId="8" fillId="8" borderId="5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left" vertical="top"/>
    </xf>
    <xf numFmtId="37" fontId="18" fillId="9" borderId="2" xfId="0" applyNumberFormat="1" applyFont="1" applyFill="1" applyBorder="1" applyAlignment="1">
      <alignment horizontal="center"/>
    </xf>
    <xf numFmtId="37" fontId="18" fillId="9" borderId="1" xfId="0" applyNumberFormat="1" applyFont="1" applyFill="1" applyBorder="1" applyAlignment="1">
      <alignment horizontal="center"/>
    </xf>
    <xf numFmtId="0" fontId="0" fillId="11" borderId="0" xfId="0" applyFill="1"/>
    <xf numFmtId="0" fontId="14" fillId="11" borderId="0" xfId="0" applyFont="1" applyFill="1" applyAlignment="1">
      <alignment horizontal="right"/>
    </xf>
    <xf numFmtId="37" fontId="20" fillId="5" borderId="7" xfId="0" applyNumberFormat="1" applyFont="1" applyFill="1" applyBorder="1" applyAlignment="1" applyProtection="1">
      <alignment horizontal="center"/>
      <protection locked="0"/>
    </xf>
    <xf numFmtId="37" fontId="18" fillId="0" borderId="7" xfId="0" applyNumberFormat="1" applyFont="1" applyBorder="1" applyAlignment="1">
      <alignment horizontal="center"/>
    </xf>
    <xf numFmtId="39" fontId="21" fillId="0" borderId="7" xfId="0" applyNumberFormat="1" applyFont="1" applyFill="1" applyBorder="1" applyAlignment="1">
      <alignment horizontal="center"/>
    </xf>
    <xf numFmtId="37" fontId="17" fillId="9" borderId="7" xfId="0" applyNumberFormat="1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5" fontId="19" fillId="5" borderId="14" xfId="0" applyNumberFormat="1" applyFont="1" applyFill="1" applyBorder="1" applyAlignment="1" applyProtection="1">
      <alignment horizontal="center"/>
      <protection locked="0"/>
    </xf>
    <xf numFmtId="165" fontId="19" fillId="5" borderId="15" xfId="0" applyNumberFormat="1" applyFont="1" applyFill="1" applyBorder="1" applyAlignment="1" applyProtection="1">
      <alignment horizontal="center"/>
      <protection locked="0"/>
    </xf>
    <xf numFmtId="0" fontId="18" fillId="3" borderId="16" xfId="0" applyFont="1" applyFill="1" applyBorder="1" applyAlignment="1">
      <alignment horizontal="center"/>
    </xf>
    <xf numFmtId="37" fontId="20" fillId="5" borderId="17" xfId="0" applyNumberFormat="1" applyFont="1" applyFill="1" applyBorder="1" applyAlignment="1" applyProtection="1">
      <alignment horizontal="center"/>
      <protection locked="0"/>
    </xf>
    <xf numFmtId="0" fontId="6" fillId="9" borderId="18" xfId="0" applyFont="1" applyFill="1" applyBorder="1" applyAlignment="1">
      <alignment horizontal="center"/>
    </xf>
    <xf numFmtId="37" fontId="18" fillId="9" borderId="19" xfId="0" applyNumberFormat="1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18" fillId="0" borderId="17" xfId="0" applyNumberFormat="1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39" fontId="21" fillId="0" borderId="17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37" fontId="17" fillId="9" borderId="17" xfId="0" applyNumberFormat="1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39" fontId="18" fillId="7" borderId="25" xfId="0" applyNumberFormat="1" applyFont="1" applyFill="1" applyBorder="1" applyAlignment="1">
      <alignment horizontal="center"/>
    </xf>
    <xf numFmtId="39" fontId="18" fillId="0" borderId="25" xfId="0" applyNumberFormat="1" applyFont="1" applyBorder="1" applyAlignment="1">
      <alignment horizontal="center"/>
    </xf>
    <xf numFmtId="39" fontId="18" fillId="7" borderId="26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39" fontId="1" fillId="11" borderId="8" xfId="0" applyNumberFormat="1" applyFont="1" applyFill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169" fontId="23" fillId="0" borderId="2" xfId="0" applyNumberFormat="1" applyFont="1" applyFill="1" applyBorder="1" applyAlignment="1">
      <alignment horizontal="center"/>
    </xf>
    <xf numFmtId="169" fontId="23" fillId="0" borderId="1" xfId="0" applyNumberFormat="1" applyFont="1" applyFill="1" applyBorder="1" applyAlignment="1">
      <alignment horizontal="center"/>
    </xf>
    <xf numFmtId="169" fontId="23" fillId="0" borderId="19" xfId="0" applyNumberFormat="1" applyFont="1" applyFill="1" applyBorder="1" applyAlignment="1">
      <alignment horizontal="center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8" borderId="11" xfId="0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49" fontId="8" fillId="8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/>
    <xf numFmtId="0" fontId="0" fillId="0" borderId="5" xfId="0" applyBorder="1" applyAlignment="1"/>
    <xf numFmtId="168" fontId="8" fillId="8" borderId="4" xfId="0" applyNumberFormat="1" applyFont="1" applyFill="1" applyBorder="1" applyAlignment="1" applyProtection="1">
      <alignment horizontal="center" vertical="center"/>
      <protection locked="0"/>
    </xf>
    <xf numFmtId="168" fontId="8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900"/>
      <color rgb="FF33CC33"/>
      <color rgb="FF000099"/>
      <color rgb="FF00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2453010504473"/>
          <c:y val="8.2930971342866491E-2"/>
          <c:w val="0.87426044129875324"/>
          <c:h val="0.78333527506211886"/>
        </c:manualLayout>
      </c:layout>
      <c:lineChart>
        <c:grouping val="standard"/>
        <c:varyColors val="0"/>
        <c:ser>
          <c:idx val="0"/>
          <c:order val="0"/>
          <c:tx>
            <c:strRef>
              <c:f>'Load Analysis'!$A$10</c:f>
              <c:strCache>
                <c:ptCount val="1"/>
                <c:pt idx="0">
                  <c:v>Charge Weight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Analysis'!$C$10:$L$10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0-405C-BA1E-64D0FA71AB52}"/>
            </c:ext>
          </c:extLst>
        </c:ser>
        <c:ser>
          <c:idx val="1"/>
          <c:order val="1"/>
          <c:tx>
            <c:strRef>
              <c:f>'Load Analysis'!$A$11</c:f>
              <c:strCache>
                <c:ptCount val="1"/>
                <c:pt idx="0">
                  <c:v>Shot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Analysis'!$C$11:$L$11</c:f>
              <c:numCache>
                <c:formatCode>#,##0_);\(#,##0\)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0-405C-BA1E-64D0FA71AB52}"/>
            </c:ext>
          </c:extLst>
        </c:ser>
        <c:ser>
          <c:idx val="2"/>
          <c:order val="2"/>
          <c:tx>
            <c:strRef>
              <c:f>'Load Analysis'!$A$12</c:f>
              <c:strCache>
                <c:ptCount val="1"/>
                <c:pt idx="0">
                  <c:v>Shot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Analysis'!$C$12:$L$12</c:f>
              <c:numCache>
                <c:formatCode>#,##0_);\(#,##0\)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0-405C-BA1E-64D0FA71AB52}"/>
            </c:ext>
          </c:extLst>
        </c:ser>
        <c:ser>
          <c:idx val="3"/>
          <c:order val="3"/>
          <c:tx>
            <c:strRef>
              <c:f>'Load Analysis'!$A$13</c:f>
              <c:strCache>
                <c:ptCount val="1"/>
                <c:pt idx="0">
                  <c:v>Shot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Analysis'!$C$13:$L$13</c:f>
              <c:numCache>
                <c:formatCode>#,##0_);\(#,##0\)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0-405C-BA1E-64D0FA71AB52}"/>
            </c:ext>
          </c:extLst>
        </c:ser>
        <c:ser>
          <c:idx val="4"/>
          <c:order val="4"/>
          <c:tx>
            <c:strRef>
              <c:f>'Load Analysis'!$A$14</c:f>
              <c:strCache>
                <c:ptCount val="1"/>
                <c:pt idx="0">
                  <c:v>Shot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Analysis'!$C$14:$L$14</c:f>
              <c:numCache>
                <c:formatCode>#,##0_);\(#,##0\)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D0-405C-BA1E-64D0FA71AB52}"/>
            </c:ext>
          </c:extLst>
        </c:ser>
        <c:ser>
          <c:idx val="5"/>
          <c:order val="5"/>
          <c:tx>
            <c:strRef>
              <c:f>'Load Analysis'!$A$15</c:f>
              <c:strCache>
                <c:ptCount val="1"/>
                <c:pt idx="0">
                  <c:v>Shot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Analysis'!$C$15:$L$15</c:f>
              <c:numCache>
                <c:formatCode>#,##0_);\(#,##0\)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0-405C-BA1E-64D0FA71AB52}"/>
            </c:ext>
          </c:extLst>
        </c:ser>
        <c:ser>
          <c:idx val="6"/>
          <c:order val="6"/>
          <c:tx>
            <c:strRef>
              <c:f>'Load Analysis'!$A$18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rgbClr val="000099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000099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Analysis'!$C$18:$L$18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D0-405C-BA1E-64D0FA71AB52}"/>
            </c:ext>
          </c:extLst>
        </c:ser>
        <c:ser>
          <c:idx val="7"/>
          <c:order val="7"/>
          <c:tx>
            <c:strRef>
              <c:f>'Load Analysis'!$A$19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Analysis'!$C$19:$L$19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D0-405C-BA1E-64D0FA71AB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725504"/>
        <c:axId val="168723200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'Load Analysis'!$A$11:$A$19</c15:sqref>
                        </c15:formulaRef>
                      </c:ext>
                    </c:extLst>
                    <c:strCache>
                      <c:ptCount val="1"/>
                      <c:pt idx="0">
                        <c:v>Shot 1 Shot 2 Shot 3 Shot 4 Shot 5 SUM Group Size (in) Mean Median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C462-4C9A-97BF-21F41D7DF5E6}"/>
                  </c:ext>
                </c:extLst>
              </c15:ser>
            </c15:filteredLineSeries>
          </c:ext>
        </c:extLst>
      </c:lineChart>
      <c:valAx>
        <c:axId val="168723200"/>
        <c:scaling>
          <c:orientation val="minMax"/>
          <c:max val="3100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25504"/>
        <c:crosses val="autoZero"/>
        <c:crossBetween val="between"/>
      </c:valAx>
      <c:catAx>
        <c:axId val="16872550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232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>
              <a:lumMod val="50000"/>
            </a:schemeClr>
          </a:solidFill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3347608412221866E-4"/>
          <c:y val="0.16955096479822365"/>
          <c:w val="5.9985393671855361E-2"/>
          <c:h val="0.63556739136307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5493397298928"/>
          <c:y val="7.9020928305014504E-2"/>
          <c:w val="0.87969821771467527"/>
          <c:h val="0.79454455035225846"/>
        </c:manualLayout>
      </c:layout>
      <c:lineChart>
        <c:grouping val="standard"/>
        <c:varyColors val="0"/>
        <c:ser>
          <c:idx val="0"/>
          <c:order val="0"/>
          <c:tx>
            <c:strRef>
              <c:f>'Load Analysis'!$A$10</c:f>
              <c:strCache>
                <c:ptCount val="1"/>
                <c:pt idx="0">
                  <c:v>Charge Weight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99"/>
              </a:solidFill>
              <a:ln w="9525">
                <a:noFill/>
              </a:ln>
              <a:effectLst/>
            </c:spPr>
          </c:marker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Analysis'!$C$10:$L$10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8-41D0-8144-401481E4983C}"/>
            </c:ext>
          </c:extLst>
        </c:ser>
        <c:ser>
          <c:idx val="1"/>
          <c:order val="1"/>
          <c:tx>
            <c:strRef>
              <c:f>'Load Analysis'!$A$18</c:f>
              <c:strCache>
                <c:ptCount val="1"/>
                <c:pt idx="0">
                  <c:v>Mean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Analysis'!$C$18:$L$18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8-41D0-8144-401481E4983C}"/>
            </c:ext>
          </c:extLst>
        </c:ser>
        <c:ser>
          <c:idx val="3"/>
          <c:order val="2"/>
          <c:tx>
            <c:strRef>
              <c:f>'Load Analysis'!$A$20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Analysis'!$C$20:$L$20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8-41D0-8144-401481E4983C}"/>
            </c:ext>
          </c:extLst>
        </c:ser>
        <c:ser>
          <c:idx val="4"/>
          <c:order val="3"/>
          <c:tx>
            <c:strRef>
              <c:f>'Load Analysis'!$A$21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'Load Analysis'!$C$10:$L$10</c:f>
              <c:numCache>
                <c:formatCode>0.0</c:formatCode>
                <c:ptCount val="10"/>
              </c:numCache>
            </c:numRef>
          </c:cat>
          <c:val>
            <c:numRef>
              <c:f>'Load Analysis'!$C$21:$L$21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D8-41D0-8144-401481E4983C}"/>
            </c:ext>
          </c:extLst>
        </c:ser>
        <c:ser>
          <c:idx val="5"/>
          <c:order val="4"/>
          <c:tx>
            <c:strRef>
              <c:f>'Load Analysis'!$A$23</c:f>
              <c:strCache>
                <c:ptCount val="1"/>
                <c:pt idx="0">
                  <c:v>- 1 SD</c:v>
                </c:pt>
              </c:strCache>
            </c:strRef>
          </c:tx>
          <c:spPr>
            <a:ln w="63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val>
            <c:numRef>
              <c:f>'Load Analysis'!$C$23:$L$23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3-4DA8-B560-1969E92F6AEB}"/>
            </c:ext>
          </c:extLst>
        </c:ser>
        <c:ser>
          <c:idx val="6"/>
          <c:order val="5"/>
          <c:tx>
            <c:strRef>
              <c:f>'Load Analysis'!$A$24</c:f>
              <c:strCache>
                <c:ptCount val="1"/>
                <c:pt idx="0">
                  <c:v>+ 1 SD</c:v>
                </c:pt>
              </c:strCache>
            </c:strRef>
          </c:tx>
          <c:spPr>
            <a:ln w="63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val>
            <c:numRef>
              <c:f>'Load Analysis'!$C$24:$L$24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3-4DA8-B560-1969E92F6AEB}"/>
            </c:ext>
          </c:extLst>
        </c:ser>
        <c:ser>
          <c:idx val="7"/>
          <c:order val="6"/>
          <c:tx>
            <c:strRef>
              <c:f>'Load Analysis'!$A$25</c:f>
              <c:strCache>
                <c:ptCount val="1"/>
                <c:pt idx="0">
                  <c:v>- 2 SD</c:v>
                </c:pt>
              </c:strCache>
            </c:strRef>
          </c:tx>
          <c:spPr>
            <a:ln w="12700" cap="rnd">
              <a:solidFill>
                <a:srgbClr val="0099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33CC33"/>
              </a:solidFill>
              <a:ln w="9525">
                <a:noFill/>
              </a:ln>
              <a:effectLst/>
            </c:spPr>
          </c:marker>
          <c:val>
            <c:numRef>
              <c:f>'Load Analysis'!$C$25:$L$25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3-4DA8-B560-1969E92F6AEB}"/>
            </c:ext>
          </c:extLst>
        </c:ser>
        <c:ser>
          <c:idx val="8"/>
          <c:order val="7"/>
          <c:tx>
            <c:strRef>
              <c:f>'Load Analysis'!$A$26</c:f>
              <c:strCache>
                <c:ptCount val="1"/>
                <c:pt idx="0">
                  <c:v>+ 2 SD</c:v>
                </c:pt>
              </c:strCache>
            </c:strRef>
          </c:tx>
          <c:spPr>
            <a:ln w="12700" cap="rnd">
              <a:solidFill>
                <a:srgbClr val="0099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33CC33"/>
              </a:solidFill>
              <a:ln w="9525">
                <a:noFill/>
              </a:ln>
              <a:effectLst/>
            </c:spPr>
          </c:marker>
          <c:val>
            <c:numRef>
              <c:f>'Load Analysis'!$C$26:$L$26</c:f>
              <c:numCache>
                <c:formatCode>#,##0_);\(#,##0\)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E3-4DA8-B560-1969E92F6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20352"/>
        <c:axId val="150822272"/>
      </c:lineChart>
      <c:catAx>
        <c:axId val="15082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822272"/>
        <c:crosses val="autoZero"/>
        <c:auto val="1"/>
        <c:lblAlgn val="ctr"/>
        <c:lblOffset val="100"/>
        <c:tickMarkSkip val="1"/>
        <c:noMultiLvlLbl val="0"/>
      </c:catAx>
      <c:valAx>
        <c:axId val="150822272"/>
        <c:scaling>
          <c:orientation val="minMax"/>
          <c:max val="3100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820352"/>
        <c:crosses val="autoZero"/>
        <c:crossBetween val="between"/>
      </c:valAx>
      <c:spPr>
        <a:noFill/>
        <a:ln w="12700">
          <a:solidFill>
            <a:schemeClr val="accent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13916494683433187"/>
          <c:w val="5.8636333881814412E-2"/>
          <c:h val="0.6419071011425597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36854</xdr:colOff>
      <xdr:row>31</xdr:row>
      <xdr:rowOff>113618</xdr:rowOff>
    </xdr:from>
    <xdr:to>
      <xdr:col>11</xdr:col>
      <xdr:colOff>1142999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60</xdr:row>
      <xdr:rowOff>0</xdr:rowOff>
    </xdr:from>
    <xdr:to>
      <xdr:col>11</xdr:col>
      <xdr:colOff>1174750</xdr:colOff>
      <xdr:row>85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5</xdr:row>
          <xdr:rowOff>133350</xdr:rowOff>
        </xdr:from>
        <xdr:to>
          <xdr:col>5</xdr:col>
          <xdr:colOff>971550</xdr:colOff>
          <xdr:row>7</xdr:row>
          <xdr:rowOff>47625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 Chart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5</xdr:row>
          <xdr:rowOff>133350</xdr:rowOff>
        </xdr:from>
        <xdr:to>
          <xdr:col>3</xdr:col>
          <xdr:colOff>1057275</xdr:colOff>
          <xdr:row>7</xdr:row>
          <xdr:rowOff>47625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Clear Load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1171575</xdr:colOff>
          <xdr:row>5</xdr:row>
          <xdr:rowOff>133350</xdr:rowOff>
        </xdr:from>
        <xdr:to>
          <xdr:col>8</xdr:col>
          <xdr:colOff>809625</xdr:colOff>
          <xdr:row>7</xdr:row>
          <xdr:rowOff>47625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Save Load Analysis File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0.46615</cdr:x>
      <cdr:y>0.92228</cdr:y>
    </cdr:from>
    <cdr:to>
      <cdr:x>0.5916</cdr:x>
      <cdr:y>0.97896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FA28494-9D6D-4BA2-92D8-7D3932CB12A4}"/>
            </a:ext>
          </a:extLst>
        </cdr:cNvPr>
        <cdr:cNvSpPr txBox="1"/>
      </cdr:nvSpPr>
      <cdr:spPr>
        <a:xfrm xmlns:a="http://schemas.openxmlformats.org/drawingml/2006/main">
          <a:off x="6341999" y="4638959"/>
          <a:ext cx="1706813" cy="285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Charge Weight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0.46605</cdr:x>
      <cdr:y>0.93455</cdr:y>
    </cdr:from>
    <cdr:to>
      <cdr:x>0.62858</cdr:x>
      <cdr:y>0.98451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A97457E-0329-4283-A327-E114A0E4C6E8}"/>
            </a:ext>
          </a:extLst>
        </cdr:cNvPr>
        <cdr:cNvSpPr txBox="1"/>
      </cdr:nvSpPr>
      <cdr:spPr>
        <a:xfrm xmlns:a="http://schemas.openxmlformats.org/drawingml/2006/main">
          <a:off x="6334509" y="5122866"/>
          <a:ext cx="2209150" cy="273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Charge</a:t>
          </a:r>
          <a:r>
            <a:rPr lang="en-US" sz="1200" b="1" baseline="0"/>
            <a:t> Weight</a:t>
          </a:r>
          <a:endParaRPr lang="en-US" sz="12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619125</xdr:colOff>
      <xdr:row>12</xdr:row>
      <xdr:rowOff>90487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72200" y="222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G151"/>
  <sheetViews>
    <sheetView tabSelected="1" zoomScale="90" zoomScaleNormal="90" workbookViewId="0">
      <selection activeCell="C1" sqref="C1:D1"/>
    </sheetView>
  </sheetViews>
  <sheetFormatPr defaultRowHeight="15" x14ac:dyDescent="0.25"/>
  <cols>
    <col min="1" max="1" width="26" style="1" customWidth="1"/>
    <col min="2" max="2" width="18.85546875" style="1" hidden="1" customWidth="1"/>
    <col min="3" max="12" width="17.85546875" customWidth="1"/>
    <col min="15" max="15" width="9.140625" style="19"/>
    <col min="16" max="24" width="12.85546875" style="19" customWidth="1"/>
    <col min="25" max="25" width="12.85546875" customWidth="1"/>
    <col min="26" max="26" width="11.140625" customWidth="1"/>
  </cols>
  <sheetData>
    <row r="1" spans="1:14" ht="34.5" customHeight="1" thickBot="1" x14ac:dyDescent="0.3">
      <c r="A1" s="18" t="s">
        <v>234</v>
      </c>
      <c r="B1" s="9"/>
      <c r="C1" s="88"/>
      <c r="D1" s="89"/>
      <c r="E1" s="30" t="s">
        <v>167</v>
      </c>
      <c r="F1" s="85" t="str">
        <f>IFERROR(VLOOKUP(C1,'Rifle List'!A1:E25,5,FALSE),"")</f>
        <v/>
      </c>
      <c r="G1" s="86"/>
      <c r="H1" s="87"/>
      <c r="I1" s="30" t="s">
        <v>50</v>
      </c>
      <c r="J1" s="22" t="str">
        <f>IFERROR(VLOOKUP(C1,'Rifle List'!A1:E25,3,FALSE),"")</f>
        <v/>
      </c>
      <c r="K1" s="30" t="s">
        <v>168</v>
      </c>
      <c r="L1" s="31" t="str">
        <f>IFERROR(VLOOKUP(C1,'Rifle List'!A1:E25,4,FALSE),"")</f>
        <v/>
      </c>
      <c r="M1" s="15"/>
      <c r="N1" s="15"/>
    </row>
    <row r="2" spans="1:14" ht="34.5" customHeight="1" thickBot="1" x14ac:dyDescent="0.3">
      <c r="A2" s="18" t="s">
        <v>14</v>
      </c>
      <c r="B2" s="9"/>
      <c r="C2" s="90"/>
      <c r="D2" s="87"/>
      <c r="E2" s="18" t="s">
        <v>25</v>
      </c>
      <c r="F2" s="20"/>
      <c r="G2" s="18" t="s">
        <v>169</v>
      </c>
      <c r="H2" s="32"/>
      <c r="I2" s="18" t="s">
        <v>42</v>
      </c>
      <c r="J2" s="33"/>
      <c r="K2" s="18" t="s">
        <v>22</v>
      </c>
      <c r="L2" s="34"/>
      <c r="M2" s="15"/>
      <c r="N2" s="15"/>
    </row>
    <row r="3" spans="1:14" ht="34.5" customHeight="1" thickBot="1" x14ac:dyDescent="0.3">
      <c r="A3" s="18" t="s">
        <v>233</v>
      </c>
      <c r="B3" s="9"/>
      <c r="C3" s="94"/>
      <c r="D3" s="95"/>
      <c r="E3" s="47"/>
      <c r="F3" s="47"/>
      <c r="G3" s="18" t="s">
        <v>231</v>
      </c>
      <c r="H3" s="37"/>
      <c r="I3" s="30" t="s">
        <v>232</v>
      </c>
      <c r="J3" s="31"/>
      <c r="K3" s="47"/>
      <c r="L3" s="48"/>
      <c r="M3" s="15"/>
      <c r="N3" s="15"/>
    </row>
    <row r="4" spans="1:14" ht="34.5" customHeight="1" thickBot="1" x14ac:dyDescent="0.3">
      <c r="A4" s="18" t="s">
        <v>36</v>
      </c>
      <c r="B4" s="9"/>
      <c r="C4" s="90" t="str">
        <f>IFERROR(VLOOKUP(C1,'Rifle List'!A1:E25,2,FALSE),"")</f>
        <v/>
      </c>
      <c r="D4" s="87"/>
      <c r="E4" s="18" t="s">
        <v>177</v>
      </c>
      <c r="F4" s="20" t="str">
        <f>IFERROR(VLOOKUP(C5,'Projectile Data'!A1:I100,4,FALSE),"")</f>
        <v/>
      </c>
      <c r="G4" s="18" t="s">
        <v>235</v>
      </c>
      <c r="H4" s="90"/>
      <c r="I4" s="92"/>
      <c r="J4" s="93"/>
      <c r="K4" s="18" t="s">
        <v>173</v>
      </c>
      <c r="L4" s="21" t="str">
        <f>IFERROR(VLOOKUP(C5,'Projectile Data'!A1:I76,7,FALSE),"")</f>
        <v/>
      </c>
      <c r="M4" s="15"/>
      <c r="N4" s="15"/>
    </row>
    <row r="5" spans="1:14" ht="34.5" customHeight="1" thickBot="1" x14ac:dyDescent="0.3">
      <c r="A5" s="18" t="s">
        <v>35</v>
      </c>
      <c r="B5" s="9"/>
      <c r="C5" s="91"/>
      <c r="D5" s="87"/>
      <c r="E5" s="18" t="s">
        <v>37</v>
      </c>
      <c r="F5" s="22" t="str">
        <f>IFERROR(VLOOKUP(C5,'Projectile Data'!A1:I100,6,FALSE),"")</f>
        <v/>
      </c>
      <c r="G5" s="18" t="s">
        <v>171</v>
      </c>
      <c r="H5" s="35"/>
      <c r="I5" s="44" t="s">
        <v>172</v>
      </c>
      <c r="J5" s="36"/>
      <c r="K5" s="18" t="s">
        <v>174</v>
      </c>
      <c r="L5" s="43" t="str">
        <f>IFERROR(VLOOKUP(C5,'Projectile Data'!A1:I76,8,FALSE),"")</f>
        <v/>
      </c>
      <c r="M5" s="15"/>
      <c r="N5" s="15"/>
    </row>
    <row r="6" spans="1:14" ht="17.45" customHeight="1" x14ac:dyDescent="0.25">
      <c r="A6" s="13"/>
      <c r="B6" s="1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5">
      <c r="A7" s="13"/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.75" thickBot="1" x14ac:dyDescent="0.3">
      <c r="A8" s="13"/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28.5" customHeight="1" thickBot="1" x14ac:dyDescent="0.35">
      <c r="A9" s="16"/>
      <c r="B9" s="2"/>
      <c r="C9" s="76" t="s">
        <v>0</v>
      </c>
      <c r="D9" s="77" t="s">
        <v>1</v>
      </c>
      <c r="E9" s="77" t="s">
        <v>2</v>
      </c>
      <c r="F9" s="77" t="s">
        <v>3</v>
      </c>
      <c r="G9" s="77" t="s">
        <v>4</v>
      </c>
      <c r="H9" s="77" t="s">
        <v>5</v>
      </c>
      <c r="I9" s="77" t="s">
        <v>6</v>
      </c>
      <c r="J9" s="77" t="s">
        <v>7</v>
      </c>
      <c r="K9" s="77" t="s">
        <v>8</v>
      </c>
      <c r="L9" s="78" t="s">
        <v>9</v>
      </c>
      <c r="M9" s="15"/>
      <c r="N9" s="15"/>
    </row>
    <row r="10" spans="1:14" ht="28.5" customHeight="1" x14ac:dyDescent="0.3">
      <c r="A10" s="79" t="s">
        <v>224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15"/>
      <c r="N10" s="15"/>
    </row>
    <row r="11" spans="1:14" ht="28.5" customHeight="1" x14ac:dyDescent="0.3">
      <c r="A11" s="57" t="s">
        <v>15</v>
      </c>
      <c r="B11" s="3"/>
      <c r="C11" s="49"/>
      <c r="D11" s="49"/>
      <c r="E11" s="49"/>
      <c r="F11" s="49"/>
      <c r="G11" s="49"/>
      <c r="H11" s="49"/>
      <c r="I11" s="49"/>
      <c r="J11" s="49"/>
      <c r="K11" s="49"/>
      <c r="L11" s="58"/>
      <c r="M11" s="15"/>
      <c r="N11" s="15"/>
    </row>
    <row r="12" spans="1:14" ht="28.5" customHeight="1" x14ac:dyDescent="0.3">
      <c r="A12" s="57" t="s">
        <v>16</v>
      </c>
      <c r="B12" s="4"/>
      <c r="C12" s="49"/>
      <c r="D12" s="49"/>
      <c r="E12" s="49"/>
      <c r="F12" s="49"/>
      <c r="G12" s="49"/>
      <c r="H12" s="49"/>
      <c r="I12" s="49"/>
      <c r="J12" s="49"/>
      <c r="K12" s="49"/>
      <c r="L12" s="58"/>
      <c r="M12" s="15"/>
      <c r="N12" s="15"/>
    </row>
    <row r="13" spans="1:14" ht="28.5" customHeight="1" x14ac:dyDescent="0.3">
      <c r="A13" s="57" t="s">
        <v>17</v>
      </c>
      <c r="B13" s="4"/>
      <c r="C13" s="49"/>
      <c r="D13" s="49"/>
      <c r="E13" s="49"/>
      <c r="F13" s="49"/>
      <c r="G13" s="49"/>
      <c r="H13" s="49"/>
      <c r="I13" s="49"/>
      <c r="J13" s="49"/>
      <c r="K13" s="49"/>
      <c r="L13" s="58"/>
      <c r="M13" s="15"/>
      <c r="N13" s="15"/>
    </row>
    <row r="14" spans="1:14" ht="28.5" customHeight="1" x14ac:dyDescent="0.3">
      <c r="A14" s="57" t="s">
        <v>18</v>
      </c>
      <c r="B14" s="4"/>
      <c r="C14" s="49"/>
      <c r="D14" s="49"/>
      <c r="E14" s="49"/>
      <c r="F14" s="49"/>
      <c r="G14" s="49"/>
      <c r="H14" s="49"/>
      <c r="I14" s="49"/>
      <c r="J14" s="49"/>
      <c r="K14" s="49"/>
      <c r="L14" s="58"/>
      <c r="M14" s="15"/>
      <c r="N14" s="15"/>
    </row>
    <row r="15" spans="1:14" ht="28.5" customHeight="1" thickBot="1" x14ac:dyDescent="0.35">
      <c r="A15" s="57" t="s">
        <v>19</v>
      </c>
      <c r="B15" s="4"/>
      <c r="C15" s="49"/>
      <c r="D15" s="49"/>
      <c r="E15" s="49"/>
      <c r="F15" s="49"/>
      <c r="G15" s="49"/>
      <c r="H15" s="49"/>
      <c r="I15" s="49"/>
      <c r="J15" s="49"/>
      <c r="K15" s="49"/>
      <c r="L15" s="58"/>
      <c r="M15" s="15"/>
      <c r="N15" s="15"/>
    </row>
    <row r="16" spans="1:14" ht="28.5" customHeight="1" x14ac:dyDescent="0.3">
      <c r="A16" s="59" t="s">
        <v>24</v>
      </c>
      <c r="B16" s="5"/>
      <c r="C16" s="45">
        <f t="shared" ref="C16:L16" si="0">SUM(C11:C15)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60">
        <f t="shared" si="0"/>
        <v>0</v>
      </c>
      <c r="M16" s="15"/>
      <c r="N16" s="15"/>
    </row>
    <row r="17" spans="1:14" ht="28.5" customHeight="1" x14ac:dyDescent="0.3">
      <c r="A17" s="81" t="s">
        <v>236</v>
      </c>
      <c r="B17" s="80"/>
      <c r="C17" s="82"/>
      <c r="D17" s="83"/>
      <c r="E17" s="83"/>
      <c r="F17" s="83"/>
      <c r="G17" s="83"/>
      <c r="H17" s="83"/>
      <c r="I17" s="83"/>
      <c r="J17" s="83"/>
      <c r="K17" s="83"/>
      <c r="L17" s="84"/>
      <c r="M17" s="15"/>
      <c r="N17" s="15"/>
    </row>
    <row r="18" spans="1:14" ht="28.5" customHeight="1" thickBot="1" x14ac:dyDescent="0.35">
      <c r="A18" s="61" t="s">
        <v>10</v>
      </c>
      <c r="B18" s="6"/>
      <c r="C18" s="50" t="str">
        <f t="shared" ref="C18:L18" si="1">IF(C16=0,"",AVERAGE(C11:C15))</f>
        <v/>
      </c>
      <c r="D18" s="50" t="str">
        <f t="shared" si="1"/>
        <v/>
      </c>
      <c r="E18" s="50" t="str">
        <f t="shared" si="1"/>
        <v/>
      </c>
      <c r="F18" s="50" t="str">
        <f t="shared" si="1"/>
        <v/>
      </c>
      <c r="G18" s="50" t="str">
        <f t="shared" si="1"/>
        <v/>
      </c>
      <c r="H18" s="50" t="str">
        <f t="shared" si="1"/>
        <v/>
      </c>
      <c r="I18" s="50" t="str">
        <f t="shared" si="1"/>
        <v/>
      </c>
      <c r="J18" s="50" t="str">
        <f t="shared" si="1"/>
        <v/>
      </c>
      <c r="K18" s="50" t="str">
        <f t="shared" si="1"/>
        <v/>
      </c>
      <c r="L18" s="62" t="str">
        <f t="shared" si="1"/>
        <v/>
      </c>
      <c r="M18" s="15"/>
      <c r="N18" s="15"/>
    </row>
    <row r="19" spans="1:14" ht="28.5" customHeight="1" thickBot="1" x14ac:dyDescent="0.35">
      <c r="A19" s="63" t="s">
        <v>11</v>
      </c>
      <c r="B19" s="6"/>
      <c r="C19" s="50" t="str">
        <f t="shared" ref="C19:L19" si="2">IF(C16=0,"",MEDIAN(C11:C15))</f>
        <v/>
      </c>
      <c r="D19" s="50" t="str">
        <f t="shared" si="2"/>
        <v/>
      </c>
      <c r="E19" s="50" t="str">
        <f t="shared" si="2"/>
        <v/>
      </c>
      <c r="F19" s="50" t="str">
        <f t="shared" si="2"/>
        <v/>
      </c>
      <c r="G19" s="50" t="str">
        <f t="shared" si="2"/>
        <v/>
      </c>
      <c r="H19" s="50" t="str">
        <f t="shared" si="2"/>
        <v/>
      </c>
      <c r="I19" s="50" t="str">
        <f t="shared" si="2"/>
        <v/>
      </c>
      <c r="J19" s="50" t="str">
        <f t="shared" si="2"/>
        <v/>
      </c>
      <c r="K19" s="50" t="str">
        <f t="shared" si="2"/>
        <v/>
      </c>
      <c r="L19" s="62" t="str">
        <f t="shared" si="2"/>
        <v/>
      </c>
      <c r="M19" s="15"/>
      <c r="N19" s="15"/>
    </row>
    <row r="20" spans="1:14" ht="28.5" customHeight="1" thickBot="1" x14ac:dyDescent="0.35">
      <c r="A20" s="63" t="s">
        <v>20</v>
      </c>
      <c r="B20" s="7">
        <f>MIN(C20:L20)</f>
        <v>0</v>
      </c>
      <c r="C20" s="50" t="str">
        <f t="shared" ref="C20:L20" si="3">IF(C16=0,"",MIN(C11:C15))</f>
        <v/>
      </c>
      <c r="D20" s="50" t="str">
        <f t="shared" si="3"/>
        <v/>
      </c>
      <c r="E20" s="50" t="str">
        <f t="shared" si="3"/>
        <v/>
      </c>
      <c r="F20" s="50" t="str">
        <f t="shared" si="3"/>
        <v/>
      </c>
      <c r="G20" s="50" t="str">
        <f t="shared" si="3"/>
        <v/>
      </c>
      <c r="H20" s="50" t="str">
        <f t="shared" si="3"/>
        <v/>
      </c>
      <c r="I20" s="50" t="str">
        <f t="shared" si="3"/>
        <v/>
      </c>
      <c r="J20" s="50" t="str">
        <f t="shared" si="3"/>
        <v/>
      </c>
      <c r="K20" s="50" t="str">
        <f t="shared" si="3"/>
        <v/>
      </c>
      <c r="L20" s="62" t="str">
        <f t="shared" si="3"/>
        <v/>
      </c>
      <c r="M20" s="15"/>
      <c r="N20" s="15"/>
    </row>
    <row r="21" spans="1:14" ht="28.5" customHeight="1" thickBot="1" x14ac:dyDescent="0.35">
      <c r="A21" s="63" t="s">
        <v>21</v>
      </c>
      <c r="B21" s="7">
        <f>MAX(C21:L21)</f>
        <v>0</v>
      </c>
      <c r="C21" s="50" t="str">
        <f t="shared" ref="C21:L21" si="4">IF(C16=0,"",MAX(C11:C15))</f>
        <v/>
      </c>
      <c r="D21" s="50" t="str">
        <f t="shared" si="4"/>
        <v/>
      </c>
      <c r="E21" s="50" t="str">
        <f t="shared" si="4"/>
        <v/>
      </c>
      <c r="F21" s="50" t="str">
        <f t="shared" si="4"/>
        <v/>
      </c>
      <c r="G21" s="50" t="str">
        <f t="shared" si="4"/>
        <v/>
      </c>
      <c r="H21" s="50" t="str">
        <f t="shared" si="4"/>
        <v/>
      </c>
      <c r="I21" s="50" t="str">
        <f t="shared" si="4"/>
        <v/>
      </c>
      <c r="J21" s="50" t="str">
        <f t="shared" si="4"/>
        <v/>
      </c>
      <c r="K21" s="50" t="str">
        <f t="shared" si="4"/>
        <v/>
      </c>
      <c r="L21" s="62" t="str">
        <f t="shared" si="4"/>
        <v/>
      </c>
      <c r="M21" s="15"/>
      <c r="N21" s="15"/>
    </row>
    <row r="22" spans="1:14" ht="28.5" customHeight="1" thickBot="1" x14ac:dyDescent="0.35">
      <c r="A22" s="64" t="s">
        <v>166</v>
      </c>
      <c r="B22" s="8">
        <f>B20-B19</f>
        <v>0</v>
      </c>
      <c r="C22" s="51" t="str">
        <f>IFERROR(Stability!B12,"")</f>
        <v/>
      </c>
      <c r="D22" s="51" t="str">
        <f>IFERROR(Stability!E12,"")</f>
        <v/>
      </c>
      <c r="E22" s="51" t="str">
        <f>IFERROR(Stability!H12,"")</f>
        <v/>
      </c>
      <c r="F22" s="51" t="str">
        <f>IFERROR(Stability!B26,"")</f>
        <v/>
      </c>
      <c r="G22" s="51" t="str">
        <f>IFERROR(Stability!E26,"")</f>
        <v/>
      </c>
      <c r="H22" s="51" t="str">
        <f>IFERROR(Stability!H26,"")</f>
        <v/>
      </c>
      <c r="I22" s="51" t="str">
        <f>IFERROR(Stability!B40,"")</f>
        <v/>
      </c>
      <c r="J22" s="51" t="str">
        <f>IFERROR(Stability!E40,"")</f>
        <v/>
      </c>
      <c r="K22" s="51" t="str">
        <f>IFERROR(Stability!H40,"")</f>
        <v/>
      </c>
      <c r="L22" s="65" t="str">
        <f>IFERROR(Stability!B54,"")</f>
        <v/>
      </c>
      <c r="M22" s="15"/>
      <c r="N22" s="15"/>
    </row>
    <row r="23" spans="1:14" ht="28.5" customHeight="1" x14ac:dyDescent="0.3">
      <c r="A23" s="66" t="s">
        <v>26</v>
      </c>
      <c r="B23" s="8">
        <f>B21-B20</f>
        <v>0</v>
      </c>
      <c r="C23" s="52" t="str">
        <f t="shared" ref="C23:L23" si="5">IF(C$16=0,"",C18-C27)</f>
        <v/>
      </c>
      <c r="D23" s="52" t="str">
        <f t="shared" si="5"/>
        <v/>
      </c>
      <c r="E23" s="52" t="str">
        <f t="shared" si="5"/>
        <v/>
      </c>
      <c r="F23" s="52" t="str">
        <f t="shared" si="5"/>
        <v/>
      </c>
      <c r="G23" s="52" t="str">
        <f t="shared" si="5"/>
        <v/>
      </c>
      <c r="H23" s="52" t="str">
        <f t="shared" si="5"/>
        <v/>
      </c>
      <c r="I23" s="52" t="str">
        <f t="shared" si="5"/>
        <v/>
      </c>
      <c r="J23" s="52" t="str">
        <f t="shared" si="5"/>
        <v/>
      </c>
      <c r="K23" s="52" t="str">
        <f t="shared" si="5"/>
        <v/>
      </c>
      <c r="L23" s="67" t="str">
        <f t="shared" si="5"/>
        <v/>
      </c>
      <c r="M23" s="15"/>
      <c r="N23" s="15"/>
    </row>
    <row r="24" spans="1:14" ht="28.5" customHeight="1" x14ac:dyDescent="0.3">
      <c r="A24" s="68" t="s">
        <v>27</v>
      </c>
      <c r="B24" s="8">
        <f>B20-0.05*B23</f>
        <v>0</v>
      </c>
      <c r="C24" s="52" t="str">
        <f>IF(C$16=0,"",C18+C27)</f>
        <v/>
      </c>
      <c r="D24" s="52" t="str">
        <f t="shared" ref="D24:L24" si="6">IF(D$16=0,"",D18+D27)</f>
        <v/>
      </c>
      <c r="E24" s="52" t="str">
        <f t="shared" si="6"/>
        <v/>
      </c>
      <c r="F24" s="52" t="str">
        <f t="shared" si="6"/>
        <v/>
      </c>
      <c r="G24" s="52" t="str">
        <f t="shared" si="6"/>
        <v/>
      </c>
      <c r="H24" s="52" t="str">
        <f t="shared" si="6"/>
        <v/>
      </c>
      <c r="I24" s="52" t="str">
        <f t="shared" si="6"/>
        <v/>
      </c>
      <c r="J24" s="52" t="str">
        <f t="shared" si="6"/>
        <v/>
      </c>
      <c r="K24" s="52" t="str">
        <f t="shared" si="6"/>
        <v/>
      </c>
      <c r="L24" s="67" t="str">
        <f t="shared" si="6"/>
        <v/>
      </c>
      <c r="M24" s="15"/>
      <c r="N24" s="15"/>
    </row>
    <row r="25" spans="1:14" ht="28.5" customHeight="1" x14ac:dyDescent="0.3">
      <c r="A25" s="68" t="s">
        <v>28</v>
      </c>
      <c r="B25" s="8">
        <f>B21+0.05*B23</f>
        <v>0</v>
      </c>
      <c r="C25" s="52" t="str">
        <f>IF(C$16=0,"",C18-(2*C27))</f>
        <v/>
      </c>
      <c r="D25" s="52" t="str">
        <f t="shared" ref="D25:L25" si="7">IF(D$16=0,"",D18-(2*D27))</f>
        <v/>
      </c>
      <c r="E25" s="52" t="str">
        <f t="shared" si="7"/>
        <v/>
      </c>
      <c r="F25" s="52" t="str">
        <f t="shared" si="7"/>
        <v/>
      </c>
      <c r="G25" s="52" t="str">
        <f t="shared" si="7"/>
        <v/>
      </c>
      <c r="H25" s="52" t="str">
        <f t="shared" si="7"/>
        <v/>
      </c>
      <c r="I25" s="52" t="str">
        <f t="shared" si="7"/>
        <v/>
      </c>
      <c r="J25" s="52" t="str">
        <f t="shared" si="7"/>
        <v/>
      </c>
      <c r="K25" s="52" t="str">
        <f t="shared" si="7"/>
        <v/>
      </c>
      <c r="L25" s="67" t="str">
        <f t="shared" si="7"/>
        <v/>
      </c>
      <c r="M25" s="15"/>
      <c r="N25" s="15"/>
    </row>
    <row r="26" spans="1:14" ht="28.5" customHeight="1" thickBot="1" x14ac:dyDescent="0.35">
      <c r="A26" s="69" t="s">
        <v>29</v>
      </c>
      <c r="B26" s="12"/>
      <c r="C26" s="52" t="str">
        <f>IF(C$16=0,"",C18+(2*C27))</f>
        <v/>
      </c>
      <c r="D26" s="52" t="str">
        <f t="shared" ref="D26:L26" si="8">IF(D$16=0,"",D18+(2*D27))</f>
        <v/>
      </c>
      <c r="E26" s="52" t="str">
        <f t="shared" si="8"/>
        <v/>
      </c>
      <c r="F26" s="52" t="str">
        <f t="shared" si="8"/>
        <v/>
      </c>
      <c r="G26" s="52" t="str">
        <f t="shared" si="8"/>
        <v/>
      </c>
      <c r="H26" s="52" t="str">
        <f t="shared" si="8"/>
        <v/>
      </c>
      <c r="I26" s="52" t="str">
        <f t="shared" si="8"/>
        <v/>
      </c>
      <c r="J26" s="52" t="str">
        <f t="shared" si="8"/>
        <v/>
      </c>
      <c r="K26" s="52" t="str">
        <f t="shared" si="8"/>
        <v/>
      </c>
      <c r="L26" s="67" t="str">
        <f t="shared" si="8"/>
        <v/>
      </c>
      <c r="M26" s="15"/>
      <c r="N26" s="15"/>
    </row>
    <row r="27" spans="1:14" ht="28.5" customHeight="1" thickBot="1" x14ac:dyDescent="0.35">
      <c r="A27" s="63" t="s">
        <v>12</v>
      </c>
      <c r="B27" s="6"/>
      <c r="C27" s="53" t="str">
        <f t="shared" ref="C27:L27" si="9">IF(C16=0,"",_xlfn.STDEV.S(C11:C15))</f>
        <v/>
      </c>
      <c r="D27" s="53" t="str">
        <f t="shared" si="9"/>
        <v/>
      </c>
      <c r="E27" s="53" t="str">
        <f t="shared" si="9"/>
        <v/>
      </c>
      <c r="F27" s="53" t="str">
        <f t="shared" si="9"/>
        <v/>
      </c>
      <c r="G27" s="53" t="str">
        <f t="shared" si="9"/>
        <v/>
      </c>
      <c r="H27" s="53" t="str">
        <f t="shared" si="9"/>
        <v/>
      </c>
      <c r="I27" s="53" t="str">
        <f t="shared" si="9"/>
        <v/>
      </c>
      <c r="J27" s="53" t="str">
        <f t="shared" si="9"/>
        <v/>
      </c>
      <c r="K27" s="53" t="str">
        <f t="shared" si="9"/>
        <v/>
      </c>
      <c r="L27" s="70" t="str">
        <f t="shared" si="9"/>
        <v/>
      </c>
      <c r="M27" s="15"/>
      <c r="N27" s="15"/>
    </row>
    <row r="28" spans="1:14" ht="28.5" customHeight="1" thickBot="1" x14ac:dyDescent="0.35">
      <c r="A28" s="64" t="s">
        <v>13</v>
      </c>
      <c r="B28" s="6"/>
      <c r="C28" s="50" t="str">
        <f t="shared" ref="C28:L28" si="10">IF(C16=0,"",MAX(C11:C15)-MIN(C11:C15))</f>
        <v/>
      </c>
      <c r="D28" s="50" t="str">
        <f t="shared" si="10"/>
        <v/>
      </c>
      <c r="E28" s="50" t="str">
        <f t="shared" si="10"/>
        <v/>
      </c>
      <c r="F28" s="50" t="str">
        <f t="shared" si="10"/>
        <v/>
      </c>
      <c r="G28" s="50" t="str">
        <f t="shared" si="10"/>
        <v/>
      </c>
      <c r="H28" s="50" t="str">
        <f t="shared" si="10"/>
        <v/>
      </c>
      <c r="I28" s="50" t="str">
        <f t="shared" si="10"/>
        <v/>
      </c>
      <c r="J28" s="50" t="str">
        <f t="shared" si="10"/>
        <v/>
      </c>
      <c r="K28" s="50" t="str">
        <f t="shared" si="10"/>
        <v/>
      </c>
      <c r="L28" s="62" t="str">
        <f t="shared" si="10"/>
        <v/>
      </c>
      <c r="M28" s="15"/>
      <c r="N28" s="15"/>
    </row>
    <row r="29" spans="1:14" ht="28.5" customHeight="1" thickBot="1" x14ac:dyDescent="0.35">
      <c r="A29" s="71" t="s">
        <v>23</v>
      </c>
      <c r="B29" s="72"/>
      <c r="C29" s="73"/>
      <c r="D29" s="74" t="str">
        <f t="shared" ref="D29:K29" si="11">IF(ISERROR(AVERAGE(D18-C18,E18-D18)),"",AVERAGE(D18-C18,E18-D18))</f>
        <v/>
      </c>
      <c r="E29" s="74" t="str">
        <f t="shared" si="11"/>
        <v/>
      </c>
      <c r="F29" s="74" t="str">
        <f t="shared" si="11"/>
        <v/>
      </c>
      <c r="G29" s="74" t="str">
        <f t="shared" si="11"/>
        <v/>
      </c>
      <c r="H29" s="74" t="str">
        <f t="shared" si="11"/>
        <v/>
      </c>
      <c r="I29" s="74" t="str">
        <f t="shared" si="11"/>
        <v/>
      </c>
      <c r="J29" s="74" t="str">
        <f t="shared" si="11"/>
        <v/>
      </c>
      <c r="K29" s="74" t="str">
        <f t="shared" si="11"/>
        <v/>
      </c>
      <c r="L29" s="75" t="str">
        <f>IF(L16=0,"",L18-K18)</f>
        <v/>
      </c>
      <c r="M29" s="17"/>
      <c r="N29" s="15"/>
    </row>
    <row r="30" spans="1:14" x14ac:dyDescent="0.25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</row>
    <row r="31" spans="1:14" x14ac:dyDescent="0.25">
      <c r="A31" s="13"/>
      <c r="B31" s="13"/>
      <c r="C31" s="15"/>
      <c r="D31" s="15"/>
      <c r="E31" s="15"/>
      <c r="F31" s="15"/>
      <c r="G31" s="15"/>
      <c r="H31" s="15"/>
      <c r="I31" s="15"/>
      <c r="J31" s="15" t="s">
        <v>226</v>
      </c>
      <c r="K31" s="15"/>
      <c r="L31" s="15"/>
      <c r="M31" s="15"/>
      <c r="N31" s="15"/>
    </row>
    <row r="32" spans="1:14" x14ac:dyDescent="0.25">
      <c r="A32" s="13"/>
      <c r="B32" s="1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33" x14ac:dyDescent="0.25">
      <c r="A33" s="13"/>
      <c r="B33" s="1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33" x14ac:dyDescent="0.25">
      <c r="A34" s="13"/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33" x14ac:dyDescent="0.25">
      <c r="A35" s="13"/>
      <c r="B35" s="13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33" x14ac:dyDescent="0.25">
      <c r="A36" s="13"/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33" x14ac:dyDescent="0.25">
      <c r="A37" s="13"/>
      <c r="B37" s="1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33" x14ac:dyDescent="0.25">
      <c r="A38" s="13"/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AA38" s="10"/>
      <c r="AB38" s="10"/>
      <c r="AC38" s="10"/>
      <c r="AD38" s="10"/>
      <c r="AE38" s="10"/>
      <c r="AF38" s="10"/>
      <c r="AG38" s="10"/>
    </row>
    <row r="39" spans="1:33" x14ac:dyDescent="0.25">
      <c r="A39" s="13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AA39" s="11"/>
      <c r="AB39" s="11"/>
      <c r="AC39" s="11"/>
      <c r="AD39" s="11"/>
      <c r="AE39" s="11"/>
      <c r="AF39" s="11"/>
    </row>
    <row r="40" spans="1:33" x14ac:dyDescent="0.25">
      <c r="A40" s="13"/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33" x14ac:dyDescent="0.25">
      <c r="A41" s="13"/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33" x14ac:dyDescent="0.25">
      <c r="A42" s="13"/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33" x14ac:dyDescent="0.25">
      <c r="A43" s="13"/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33" x14ac:dyDescent="0.25">
      <c r="A44" s="13"/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33" x14ac:dyDescent="0.25">
      <c r="A45" s="13"/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33" x14ac:dyDescent="0.25">
      <c r="A46" s="13"/>
      <c r="B46" s="1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33" x14ac:dyDescent="0.25">
      <c r="A47" s="13"/>
      <c r="B47" s="1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33" x14ac:dyDescent="0.25">
      <c r="A48" s="13"/>
      <c r="B48" s="1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3"/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3"/>
      <c r="B50" s="1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3"/>
      <c r="B51" s="1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3"/>
      <c r="B52" s="1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3"/>
      <c r="B53" s="1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3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3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3"/>
      <c r="B56" s="1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3"/>
      <c r="B57" s="1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3"/>
      <c r="B58" s="1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3"/>
      <c r="B59" s="1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3"/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3"/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3"/>
      <c r="B62" s="13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3"/>
      <c r="B63" s="13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3"/>
      <c r="B64" s="13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3"/>
      <c r="B65" s="13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3"/>
      <c r="B66" s="1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3"/>
      <c r="B67" s="1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3"/>
      <c r="B68" s="1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3"/>
      <c r="B69" s="1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3"/>
      <c r="B70" s="13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3"/>
      <c r="B71" s="13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3"/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3"/>
      <c r="B73" s="1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3"/>
      <c r="B74" s="13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3"/>
      <c r="B75" s="1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3"/>
      <c r="B76" s="1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3"/>
      <c r="B77" s="1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3"/>
      <c r="B78" s="1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3"/>
      <c r="B79" s="13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3"/>
      <c r="B80" s="1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3"/>
      <c r="B81" s="13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3"/>
      <c r="B82" s="13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3"/>
      <c r="B83" s="1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3"/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3"/>
      <c r="B85" s="13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3"/>
      <c r="B86" s="1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3"/>
      <c r="B87" s="13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3"/>
      <c r="B88" s="13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3"/>
      <c r="B89" s="13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3"/>
      <c r="B90" s="13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3"/>
      <c r="B91" s="13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3"/>
      <c r="B92" s="13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3"/>
      <c r="B93" s="13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3"/>
      <c r="B94" s="13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3"/>
      <c r="B95" s="13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5"/>
      <c r="N96" s="15"/>
    </row>
    <row r="97" spans="1:1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5"/>
      <c r="N97" s="15"/>
    </row>
    <row r="98" spans="1:1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5"/>
      <c r="N98" s="15"/>
    </row>
    <row r="99" spans="1:1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5"/>
      <c r="N99" s="15"/>
    </row>
    <row r="100" spans="1:1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5"/>
      <c r="N100" s="15"/>
    </row>
    <row r="101" spans="1:1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5"/>
      <c r="N101" s="15"/>
    </row>
    <row r="102" spans="1:1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5"/>
      <c r="N102" s="15"/>
    </row>
    <row r="103" spans="1:1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5"/>
      <c r="N103" s="15"/>
    </row>
    <row r="104" spans="1:1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5"/>
      <c r="N104" s="15"/>
    </row>
    <row r="105" spans="1:1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5"/>
      <c r="N105" s="15"/>
    </row>
    <row r="106" spans="1:14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5"/>
      <c r="N106" s="15"/>
    </row>
    <row r="107" spans="1:14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5"/>
      <c r="N107" s="15"/>
    </row>
    <row r="108" spans="1:14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5"/>
      <c r="N108" s="15"/>
    </row>
    <row r="109" spans="1:14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5"/>
      <c r="N109" s="15"/>
    </row>
    <row r="110" spans="1:14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5"/>
      <c r="N110" s="15"/>
    </row>
    <row r="111" spans="1:14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5"/>
      <c r="N111" s="15"/>
    </row>
    <row r="112" spans="1:14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5"/>
      <c r="N112" s="15"/>
    </row>
    <row r="113" spans="1:14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5"/>
      <c r="N113" s="15"/>
    </row>
    <row r="114" spans="1:14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5"/>
      <c r="N114" s="15"/>
    </row>
    <row r="115" spans="1:14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5"/>
      <c r="N115" s="15"/>
    </row>
    <row r="116" spans="1:14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5"/>
      <c r="N116" s="15"/>
    </row>
    <row r="117" spans="1:14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5"/>
      <c r="N117" s="15"/>
    </row>
    <row r="118" spans="1:14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5"/>
      <c r="N118" s="15"/>
    </row>
    <row r="119" spans="1:14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5"/>
      <c r="N119" s="15"/>
    </row>
    <row r="120" spans="1:14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5"/>
      <c r="N120" s="15"/>
    </row>
    <row r="121" spans="1:14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5"/>
      <c r="N121" s="15"/>
    </row>
    <row r="122" spans="1:14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5"/>
      <c r="N122" s="15"/>
    </row>
    <row r="123" spans="1:14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5"/>
      <c r="N123" s="15"/>
    </row>
    <row r="124" spans="1:14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5"/>
      <c r="N124" s="15"/>
    </row>
    <row r="125" spans="1:14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5"/>
      <c r="N125" s="15"/>
    </row>
    <row r="126" spans="1:14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5"/>
      <c r="N126" s="15"/>
    </row>
    <row r="127" spans="1:14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5"/>
      <c r="N127" s="15"/>
    </row>
    <row r="128" spans="1:14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5"/>
      <c r="N128" s="15"/>
    </row>
    <row r="129" spans="1:14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5"/>
      <c r="N129" s="15"/>
    </row>
    <row r="130" spans="1:14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5"/>
      <c r="N130" s="15"/>
    </row>
    <row r="131" spans="1:14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5"/>
      <c r="N131" s="15"/>
    </row>
    <row r="132" spans="1:14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5"/>
      <c r="N132" s="15"/>
    </row>
    <row r="133" spans="1:14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5"/>
      <c r="N133" s="15"/>
    </row>
    <row r="134" spans="1:14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5"/>
      <c r="N134" s="15"/>
    </row>
    <row r="135" spans="1:14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5"/>
      <c r="N135" s="15"/>
    </row>
    <row r="136" spans="1:14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5"/>
      <c r="N136" s="15"/>
    </row>
    <row r="137" spans="1:14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5"/>
      <c r="N137" s="15"/>
    </row>
    <row r="138" spans="1:14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5"/>
      <c r="N138" s="15"/>
    </row>
    <row r="139" spans="1:14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5"/>
      <c r="N139" s="15"/>
    </row>
    <row r="140" spans="1:14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5"/>
      <c r="N140" s="15"/>
    </row>
    <row r="141" spans="1:14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5"/>
      <c r="N141" s="15"/>
    </row>
    <row r="142" spans="1:14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5"/>
      <c r="N142" s="15"/>
    </row>
    <row r="143" spans="1:14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5"/>
      <c r="N143" s="15"/>
    </row>
    <row r="144" spans="1:14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5"/>
      <c r="N144" s="15"/>
    </row>
    <row r="145" spans="1:14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5"/>
      <c r="N145" s="15"/>
    </row>
    <row r="146" spans="1:14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5"/>
      <c r="N146" s="15"/>
    </row>
    <row r="147" spans="1:14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5"/>
      <c r="N147" s="15"/>
    </row>
    <row r="148" spans="1:14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5"/>
      <c r="N148" s="15"/>
    </row>
    <row r="149" spans="1:14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5"/>
      <c r="N149" s="15"/>
    </row>
    <row r="150" spans="1:14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5"/>
      <c r="N150" s="15"/>
    </row>
    <row r="151" spans="1:14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5"/>
      <c r="N151" s="15"/>
    </row>
  </sheetData>
  <mergeCells count="7">
    <mergeCell ref="F1:H1"/>
    <mergeCell ref="C1:D1"/>
    <mergeCell ref="C2:D2"/>
    <mergeCell ref="C5:D5"/>
    <mergeCell ref="H4:J4"/>
    <mergeCell ref="C4:D4"/>
    <mergeCell ref="C3:D3"/>
  </mergeCells>
  <conditionalFormatting sqref="C27:L27">
    <cfRule type="colorScale" priority="6">
      <colorScale>
        <cfvo type="min"/>
        <cfvo type="max"/>
        <color rgb="FF63BE7B"/>
        <color rgb="FFFCFCFF"/>
      </colorScale>
    </cfRule>
  </conditionalFormatting>
  <conditionalFormatting sqref="C28:L28">
    <cfRule type="colorScale" priority="5">
      <colorScale>
        <cfvo type="min"/>
        <cfvo type="max"/>
        <color rgb="FF63BE7B"/>
        <color rgb="FFFCFCFF"/>
      </colorScale>
    </cfRule>
  </conditionalFormatting>
  <conditionalFormatting sqref="D29:K29">
    <cfRule type="colorScale" priority="3">
      <colorScale>
        <cfvo type="min"/>
        <cfvo type="max"/>
        <color rgb="FF63BE7B"/>
        <color rgb="FFFCFCFF"/>
      </colorScale>
    </cfRule>
  </conditionalFormatting>
  <printOptions horizontalCentered="1" verticalCentered="1"/>
  <pageMargins left="0.45" right="0.45" top="0.5" bottom="0.5" header="0.3" footer="0.3"/>
  <pageSetup scale="62" fitToHeight="0" orientation="landscape" r:id="rId1"/>
  <headerFooter>
    <oddFooter>&amp;F&amp;RPage &amp;P</oddFooter>
  </headerFooter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et_My_Axis_Values">
                <anchor moveWithCells="1" sizeWithCells="1">
                  <from>
                    <xdr:col>4</xdr:col>
                    <xdr:colOff>57150</xdr:colOff>
                    <xdr:row>5</xdr:row>
                    <xdr:rowOff>133350</xdr:rowOff>
                  </from>
                  <to>
                    <xdr:col>5</xdr:col>
                    <xdr:colOff>971550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clear_my_data">
                <anchor moveWithCells="1" sizeWithCells="1">
                  <from>
                    <xdr:col>2</xdr:col>
                    <xdr:colOff>142875</xdr:colOff>
                    <xdr:row>5</xdr:row>
                    <xdr:rowOff>133350</xdr:rowOff>
                  </from>
                  <to>
                    <xdr:col>3</xdr:col>
                    <xdr:colOff>1057275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0]!save_load_data">
                <anchor moveWithCells="1" sizeWithCells="1">
                  <from>
                    <xdr:col>5</xdr:col>
                    <xdr:colOff>1171575</xdr:colOff>
                    <xdr:row>5</xdr:row>
                    <xdr:rowOff>133350</xdr:rowOff>
                  </from>
                  <to>
                    <xdr:col>8</xdr:col>
                    <xdr:colOff>809625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CF5200-5FA4-4667-BCFE-265F28415653}">
          <x14:formula1>
            <xm:f>'Projectile Data'!$A$1:$A$76</xm:f>
          </x14:formula1>
          <xm:sqref>C5:D5</xm:sqref>
        </x14:dataValidation>
        <x14:dataValidation type="list" allowBlank="1" showInputMessage="1" showErrorMessage="1" xr:uid="{872620EC-1C55-4AA9-8851-ACEC5ACECF20}">
          <x14:formula1>
            <xm:f>'Case Data'!$A$1:$A$100</xm:f>
          </x14:formula1>
          <xm:sqref>H4:J4</xm:sqref>
        </x14:dataValidation>
        <x14:dataValidation type="list" allowBlank="1" showInputMessage="1" showErrorMessage="1" xr:uid="{3D5E923A-36CC-4026-A16D-2CCC5789A2EE}">
          <x14:formula1>
            <xm:f>'Primer Data'!$A$1:$A$20</xm:f>
          </x14:formula1>
          <xm:sqref>H5</xm:sqref>
        </x14:dataValidation>
        <x14:dataValidation type="list" allowBlank="1" showInputMessage="1" showErrorMessage="1" xr:uid="{2E05DF27-EAD4-4FD8-8962-F71BB91FA7AB}">
          <x14:formula1>
            <xm:f>'Powder Data'!$A$1:$A$51</xm:f>
          </x14:formula1>
          <xm:sqref>J5</xm:sqref>
        </x14:dataValidation>
        <x14:dataValidation type="list" allowBlank="1" showInputMessage="1" showErrorMessage="1" xr:uid="{BDD2DCF6-14F1-436F-98FF-AF37F33C84AC}">
          <x14:formula1>
            <xm:f>'Rifle List'!$A$2:$A$24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D3B-31C6-4AEF-9905-45EA9B606051}">
  <sheetPr codeName="Sheet1"/>
  <dimension ref="A1:I54"/>
  <sheetViews>
    <sheetView workbookViewId="0">
      <selection activeCell="B2" sqref="B2"/>
    </sheetView>
  </sheetViews>
  <sheetFormatPr defaultRowHeight="15" x14ac:dyDescent="0.25"/>
  <cols>
    <col min="1" max="1" width="18.28515625" bestFit="1" customWidth="1"/>
    <col min="2" max="2" width="22.140625" customWidth="1"/>
    <col min="4" max="4" width="18.28515625" bestFit="1" customWidth="1"/>
    <col min="5" max="5" width="22.7109375" customWidth="1"/>
    <col min="7" max="7" width="18.28515625" bestFit="1" customWidth="1"/>
    <col min="8" max="8" width="23" customWidth="1"/>
    <col min="10" max="10" width="18.28515625" bestFit="1" customWidth="1"/>
    <col min="11" max="11" width="21.28515625" customWidth="1"/>
    <col min="13" max="13" width="18.28515625" bestFit="1" customWidth="1"/>
    <col min="14" max="14" width="22.42578125" customWidth="1"/>
  </cols>
  <sheetData>
    <row r="1" spans="1:9" s="1" customFormat="1" x14ac:dyDescent="0.25">
      <c r="A1" s="23" t="s">
        <v>30</v>
      </c>
      <c r="B1" s="23"/>
      <c r="C1" s="23"/>
      <c r="D1" s="23" t="s">
        <v>31</v>
      </c>
      <c r="E1" s="23"/>
      <c r="F1" s="23"/>
      <c r="G1" s="23" t="s">
        <v>32</v>
      </c>
      <c r="H1" s="23"/>
      <c r="I1" s="23"/>
    </row>
    <row r="2" spans="1:9" x14ac:dyDescent="0.25">
      <c r="A2" t="s">
        <v>170</v>
      </c>
      <c r="B2" s="38" cm="1">
        <f t="array" ref="B2:C2">'Load Analysis'!C5:D5</f>
        <v>0</v>
      </c>
      <c r="C2">
        <v>0</v>
      </c>
      <c r="D2" t="s">
        <v>170</v>
      </c>
      <c r="E2" s="38">
        <f>B2</f>
        <v>0</v>
      </c>
      <c r="G2" t="s">
        <v>170</v>
      </c>
      <c r="H2" s="38">
        <f t="shared" ref="H2:H7" si="0">B2</f>
        <v>0</v>
      </c>
    </row>
    <row r="3" spans="1:9" x14ac:dyDescent="0.25">
      <c r="A3" t="s">
        <v>36</v>
      </c>
      <c r="B3" s="1" t="str">
        <f>Case</f>
        <v/>
      </c>
      <c r="D3" t="s">
        <v>36</v>
      </c>
      <c r="E3" s="1" t="str">
        <f>B3</f>
        <v/>
      </c>
      <c r="G3" t="s">
        <v>36</v>
      </c>
      <c r="H3" s="1" t="str">
        <f t="shared" si="0"/>
        <v/>
      </c>
    </row>
    <row r="4" spans="1:9" x14ac:dyDescent="0.25">
      <c r="A4" t="s">
        <v>177</v>
      </c>
      <c r="B4" s="1" t="str">
        <f>Bullet</f>
        <v/>
      </c>
      <c r="D4" t="s">
        <v>177</v>
      </c>
      <c r="E4" s="1" t="str">
        <f>B4</f>
        <v/>
      </c>
      <c r="G4" t="s">
        <v>177</v>
      </c>
      <c r="H4" s="1" t="str">
        <f t="shared" si="0"/>
        <v/>
      </c>
    </row>
    <row r="5" spans="1:9" x14ac:dyDescent="0.25">
      <c r="A5" t="s">
        <v>230</v>
      </c>
      <c r="B5" s="1" t="str">
        <f>'Load Analysis'!F5</f>
        <v/>
      </c>
      <c r="D5" t="s">
        <v>37</v>
      </c>
      <c r="E5" s="1" t="str">
        <f>'Load Analysis'!F5</f>
        <v/>
      </c>
      <c r="G5" t="s">
        <v>37</v>
      </c>
      <c r="H5" s="1" t="str">
        <f t="shared" si="0"/>
        <v/>
      </c>
    </row>
    <row r="6" spans="1:9" x14ac:dyDescent="0.25">
      <c r="A6" t="s">
        <v>229</v>
      </c>
      <c r="B6" s="1" t="str">
        <f>IFERROR(VLOOKUP(B2,'Projectile Data'!A1:I100,9,FALSE),"")</f>
        <v/>
      </c>
      <c r="D6" t="s">
        <v>38</v>
      </c>
      <c r="E6" s="1" t="str">
        <f>Stability!B6</f>
        <v/>
      </c>
      <c r="G6" t="s">
        <v>38</v>
      </c>
      <c r="H6" s="1" t="str">
        <f t="shared" si="0"/>
        <v/>
      </c>
    </row>
    <row r="7" spans="1:9" x14ac:dyDescent="0.25">
      <c r="A7" t="s">
        <v>39</v>
      </c>
      <c r="B7" s="1" t="str">
        <f>'Load Analysis'!L1</f>
        <v/>
      </c>
      <c r="D7" t="s">
        <v>39</v>
      </c>
      <c r="E7" s="1" t="str">
        <f>'Load Analysis'!L1</f>
        <v/>
      </c>
      <c r="G7" t="s">
        <v>39</v>
      </c>
      <c r="H7" s="1" t="str">
        <f t="shared" si="0"/>
        <v/>
      </c>
    </row>
    <row r="8" spans="1:9" x14ac:dyDescent="0.25">
      <c r="A8" t="s">
        <v>40</v>
      </c>
      <c r="B8" s="39" t="str">
        <f>'Load Analysis'!C19</f>
        <v/>
      </c>
      <c r="D8" t="s">
        <v>40</v>
      </c>
      <c r="E8" s="39" t="str">
        <f>'Load Analysis'!D19</f>
        <v/>
      </c>
      <c r="G8" t="s">
        <v>40</v>
      </c>
      <c r="H8" s="39" t="str">
        <f>'Load Analysis'!E19</f>
        <v/>
      </c>
    </row>
    <row r="9" spans="1:9" x14ac:dyDescent="0.25">
      <c r="A9" t="s">
        <v>41</v>
      </c>
      <c r="B9" s="1">
        <f>'Load Analysis'!F2</f>
        <v>0</v>
      </c>
      <c r="D9" t="s">
        <v>41</v>
      </c>
      <c r="E9" s="1">
        <f>'Load Analysis'!F2</f>
        <v>0</v>
      </c>
      <c r="G9" t="s">
        <v>41</v>
      </c>
      <c r="H9" s="1">
        <f>'Load Analysis'!F2</f>
        <v>0</v>
      </c>
    </row>
    <row r="10" spans="1:9" x14ac:dyDescent="0.25">
      <c r="A10" t="s">
        <v>42</v>
      </c>
      <c r="B10" s="24">
        <f>'Load Analysis'!J2</f>
        <v>0</v>
      </c>
      <c r="D10" t="s">
        <v>42</v>
      </c>
      <c r="E10" s="24">
        <f>'Load Analysis'!J2</f>
        <v>0</v>
      </c>
      <c r="G10" t="s">
        <v>42</v>
      </c>
      <c r="H10" s="24">
        <f>'Load Analysis'!J2</f>
        <v>0</v>
      </c>
    </row>
    <row r="11" spans="1:9" x14ac:dyDescent="0.25">
      <c r="B11" s="1"/>
      <c r="E11" s="1"/>
      <c r="H11" s="1"/>
    </row>
    <row r="12" spans="1:9" ht="18" x14ac:dyDescent="0.25">
      <c r="A12" s="25" t="s">
        <v>43</v>
      </c>
      <c r="B12" s="26" t="str">
        <f>IFERROR((30*B5)/((B7/B4)^2*B4^3*B6/B4*(1+(B6/B4)^2))*(B8/2800)^(1/3)*((B9+460)/(59+460)*29.92/B10),"")</f>
        <v/>
      </c>
      <c r="D12" s="25" t="s">
        <v>43</v>
      </c>
      <c r="E12" s="26" t="str">
        <f>IFERROR((30*E5)/((E7/E4)^2*E4^3*E6/E4*(1+(E6/E4)^2))*(E8/2800)^(1/3)*((E9+460)/(59+460)*29.92/E10),"")</f>
        <v/>
      </c>
      <c r="G12" s="25" t="s">
        <v>43</v>
      </c>
      <c r="H12" s="26" t="str">
        <f>IFERROR((30*H5)/((H7/H4)^2*H4^3*H6/H4*(1+(H6/H4)^2))*(H8/2800)^(1/3)*((H9+460)/(59+460)*29.92/H10),"")</f>
        <v/>
      </c>
    </row>
    <row r="13" spans="1:9" x14ac:dyDescent="0.25">
      <c r="B13" s="1"/>
    </row>
    <row r="14" spans="1:9" x14ac:dyDescent="0.25">
      <c r="A14" s="96"/>
      <c r="B14" s="96"/>
      <c r="C14" s="96"/>
      <c r="D14" s="96"/>
      <c r="E14" s="96"/>
      <c r="F14" s="96"/>
      <c r="G14" s="96"/>
      <c r="H14" s="96"/>
    </row>
    <row r="15" spans="1:9" s="1" customFormat="1" x14ac:dyDescent="0.25">
      <c r="A15" s="23" t="s">
        <v>33</v>
      </c>
      <c r="B15" s="23"/>
      <c r="C15" s="23"/>
      <c r="D15" s="23" t="s">
        <v>34</v>
      </c>
      <c r="E15" s="23"/>
      <c r="G15" s="23" t="s">
        <v>44</v>
      </c>
      <c r="H15" s="23"/>
    </row>
    <row r="16" spans="1:9" x14ac:dyDescent="0.25">
      <c r="A16" t="s">
        <v>170</v>
      </c>
      <c r="B16" s="38">
        <f>B2</f>
        <v>0</v>
      </c>
      <c r="D16" t="s">
        <v>170</v>
      </c>
      <c r="E16" s="38">
        <f t="shared" ref="E16:E21" si="1">B2</f>
        <v>0</v>
      </c>
      <c r="G16" t="s">
        <v>170</v>
      </c>
      <c r="H16" s="38">
        <f t="shared" ref="H16:H21" si="2">B2</f>
        <v>0</v>
      </c>
    </row>
    <row r="17" spans="1:9" x14ac:dyDescent="0.25">
      <c r="A17" t="s">
        <v>36</v>
      </c>
      <c r="B17" s="1" t="str">
        <f>B3</f>
        <v/>
      </c>
      <c r="D17" t="s">
        <v>36</v>
      </c>
      <c r="E17" s="1" t="str">
        <f t="shared" si="1"/>
        <v/>
      </c>
      <c r="G17" t="s">
        <v>36</v>
      </c>
      <c r="H17" s="1" t="str">
        <f t="shared" si="2"/>
        <v/>
      </c>
    </row>
    <row r="18" spans="1:9" x14ac:dyDescent="0.25">
      <c r="A18" t="s">
        <v>177</v>
      </c>
      <c r="B18" s="1" t="str">
        <f>+B4</f>
        <v/>
      </c>
      <c r="D18" t="s">
        <v>177</v>
      </c>
      <c r="E18" s="1" t="str">
        <f t="shared" si="1"/>
        <v/>
      </c>
      <c r="G18" t="s">
        <v>177</v>
      </c>
      <c r="H18" s="1" t="str">
        <f t="shared" si="2"/>
        <v/>
      </c>
    </row>
    <row r="19" spans="1:9" x14ac:dyDescent="0.25">
      <c r="A19" t="s">
        <v>37</v>
      </c>
      <c r="B19" s="1" t="str">
        <f>B5</f>
        <v/>
      </c>
      <c r="D19" t="s">
        <v>37</v>
      </c>
      <c r="E19" s="1" t="str">
        <f t="shared" si="1"/>
        <v/>
      </c>
      <c r="G19" t="s">
        <v>37</v>
      </c>
      <c r="H19" s="1" t="str">
        <f t="shared" si="2"/>
        <v/>
      </c>
    </row>
    <row r="20" spans="1:9" x14ac:dyDescent="0.25">
      <c r="A20" t="s">
        <v>38</v>
      </c>
      <c r="B20" s="1" t="str">
        <f>B6</f>
        <v/>
      </c>
      <c r="D20" t="s">
        <v>38</v>
      </c>
      <c r="E20" s="1" t="str">
        <f t="shared" si="1"/>
        <v/>
      </c>
      <c r="G20" t="s">
        <v>38</v>
      </c>
      <c r="H20" s="1" t="str">
        <f t="shared" si="2"/>
        <v/>
      </c>
    </row>
    <row r="21" spans="1:9" x14ac:dyDescent="0.25">
      <c r="A21" t="s">
        <v>39</v>
      </c>
      <c r="B21" s="1" t="str">
        <f>B7</f>
        <v/>
      </c>
      <c r="D21" t="s">
        <v>39</v>
      </c>
      <c r="E21" s="1" t="str">
        <f t="shared" si="1"/>
        <v/>
      </c>
      <c r="G21" t="s">
        <v>39</v>
      </c>
      <c r="H21" s="1" t="str">
        <f t="shared" si="2"/>
        <v/>
      </c>
    </row>
    <row r="22" spans="1:9" x14ac:dyDescent="0.25">
      <c r="A22" t="s">
        <v>40</v>
      </c>
      <c r="B22" s="39" t="str">
        <f>'Load Analysis'!F19</f>
        <v/>
      </c>
      <c r="D22" t="s">
        <v>40</v>
      </c>
      <c r="E22" s="39" t="str">
        <f>'Load Analysis'!G19</f>
        <v/>
      </c>
      <c r="G22" t="s">
        <v>40</v>
      </c>
      <c r="H22" s="39" t="str">
        <f>'Load Analysis'!H19</f>
        <v/>
      </c>
    </row>
    <row r="23" spans="1:9" x14ac:dyDescent="0.25">
      <c r="A23" t="s">
        <v>41</v>
      </c>
      <c r="B23" s="1">
        <f>'Load Analysis'!F2</f>
        <v>0</v>
      </c>
      <c r="D23" t="s">
        <v>41</v>
      </c>
      <c r="E23" s="1">
        <f>'Load Analysis'!F2</f>
        <v>0</v>
      </c>
      <c r="G23" t="s">
        <v>41</v>
      </c>
      <c r="H23" s="1">
        <f>'Load Analysis'!F2</f>
        <v>0</v>
      </c>
    </row>
    <row r="24" spans="1:9" x14ac:dyDescent="0.25">
      <c r="A24" t="s">
        <v>42</v>
      </c>
      <c r="B24" s="24">
        <f>'Load Analysis'!J2</f>
        <v>0</v>
      </c>
      <c r="D24" t="s">
        <v>42</v>
      </c>
      <c r="E24" s="24">
        <f>'Load Analysis'!J2</f>
        <v>0</v>
      </c>
      <c r="G24" t="s">
        <v>42</v>
      </c>
      <c r="H24" s="24">
        <f>'Load Analysis'!J2</f>
        <v>0</v>
      </c>
    </row>
    <row r="25" spans="1:9" x14ac:dyDescent="0.25">
      <c r="B25" s="1"/>
      <c r="E25" s="1"/>
      <c r="H25" s="1"/>
    </row>
    <row r="26" spans="1:9" ht="18" x14ac:dyDescent="0.25">
      <c r="A26" s="25" t="s">
        <v>43</v>
      </c>
      <c r="B26" s="26" t="str">
        <f>IFERROR((30*B19)/((B21/B18)^2*B18^3*B20/B18*(1+(B20/B18)^2))*(B22/2800)^(1/3)*((B23+460)/(59+460)*29.92/B24),"")</f>
        <v/>
      </c>
      <c r="D26" s="25" t="s">
        <v>43</v>
      </c>
      <c r="E26" s="26" t="str">
        <f>IFERROR((30*E19)/((E21/E18)^2*E18^3*E20/E18*(1+(E20/E18)^2))*(E22/2800)^(1/3)*((E23+460)/(59+460)*29.92/E24),"")</f>
        <v/>
      </c>
      <c r="G26" s="25" t="s">
        <v>43</v>
      </c>
      <c r="H26" s="26" t="str">
        <f>IFERROR((30*H19)/((H21/H18)^2*H18^3*H20/H18*(1+(H20/H18)^2))*(H22/2800)^(1/3)*((H23+460)/(59+460)*29.92/H24),"")</f>
        <v/>
      </c>
    </row>
    <row r="27" spans="1:9" x14ac:dyDescent="0.25">
      <c r="B27" s="1"/>
    </row>
    <row r="28" spans="1:9" x14ac:dyDescent="0.25">
      <c r="B28" s="1"/>
    </row>
    <row r="29" spans="1:9" s="1" customFormat="1" x14ac:dyDescent="0.25">
      <c r="A29" s="23" t="s">
        <v>45</v>
      </c>
      <c r="B29" s="23"/>
      <c r="C29" s="23"/>
      <c r="D29" s="23" t="s">
        <v>46</v>
      </c>
      <c r="E29" s="23"/>
      <c r="F29" s="23"/>
      <c r="G29" s="23" t="s">
        <v>47</v>
      </c>
      <c r="H29" s="23"/>
      <c r="I29" s="23"/>
    </row>
    <row r="30" spans="1:9" x14ac:dyDescent="0.25">
      <c r="A30" t="s">
        <v>170</v>
      </c>
      <c r="B30" s="38">
        <f t="shared" ref="B30:B35" si="3">B2</f>
        <v>0</v>
      </c>
      <c r="D30" t="s">
        <v>170</v>
      </c>
      <c r="E30" s="38">
        <f t="shared" ref="E30:E35" si="4">B2</f>
        <v>0</v>
      </c>
      <c r="G30" t="s">
        <v>170</v>
      </c>
      <c r="H30" s="38">
        <f t="shared" ref="H30:H35" si="5">B2</f>
        <v>0</v>
      </c>
    </row>
    <row r="31" spans="1:9" x14ac:dyDescent="0.25">
      <c r="A31" t="s">
        <v>36</v>
      </c>
      <c r="B31" s="1" t="str">
        <f t="shared" si="3"/>
        <v/>
      </c>
      <c r="D31" t="s">
        <v>36</v>
      </c>
      <c r="E31" s="1" t="str">
        <f t="shared" si="4"/>
        <v/>
      </c>
      <c r="G31" t="s">
        <v>36</v>
      </c>
      <c r="H31" s="1" t="str">
        <f t="shared" si="5"/>
        <v/>
      </c>
    </row>
    <row r="32" spans="1:9" x14ac:dyDescent="0.25">
      <c r="A32" t="s">
        <v>177</v>
      </c>
      <c r="B32" s="1" t="str">
        <f t="shared" si="3"/>
        <v/>
      </c>
      <c r="D32" t="s">
        <v>177</v>
      </c>
      <c r="E32" s="1" t="str">
        <f t="shared" si="4"/>
        <v/>
      </c>
      <c r="G32" t="s">
        <v>177</v>
      </c>
      <c r="H32" s="1" t="str">
        <f t="shared" si="5"/>
        <v/>
      </c>
    </row>
    <row r="33" spans="1:8" x14ac:dyDescent="0.25">
      <c r="A33" t="s">
        <v>37</v>
      </c>
      <c r="B33" s="1" t="str">
        <f t="shared" si="3"/>
        <v/>
      </c>
      <c r="D33" t="s">
        <v>37</v>
      </c>
      <c r="E33" s="1" t="str">
        <f t="shared" si="4"/>
        <v/>
      </c>
      <c r="G33" t="s">
        <v>37</v>
      </c>
      <c r="H33" s="1" t="str">
        <f t="shared" si="5"/>
        <v/>
      </c>
    </row>
    <row r="34" spans="1:8" x14ac:dyDescent="0.25">
      <c r="A34" t="s">
        <v>38</v>
      </c>
      <c r="B34" s="1" t="str">
        <f t="shared" si="3"/>
        <v/>
      </c>
      <c r="D34" t="s">
        <v>38</v>
      </c>
      <c r="E34" s="1" t="str">
        <f t="shared" si="4"/>
        <v/>
      </c>
      <c r="G34" t="s">
        <v>38</v>
      </c>
      <c r="H34" s="1" t="str">
        <f t="shared" si="5"/>
        <v/>
      </c>
    </row>
    <row r="35" spans="1:8" x14ac:dyDescent="0.25">
      <c r="A35" t="s">
        <v>39</v>
      </c>
      <c r="B35" s="1" t="str">
        <f t="shared" si="3"/>
        <v/>
      </c>
      <c r="D35" t="s">
        <v>39</v>
      </c>
      <c r="E35" s="1" t="str">
        <f t="shared" si="4"/>
        <v/>
      </c>
      <c r="G35" t="s">
        <v>39</v>
      </c>
      <c r="H35" s="1" t="str">
        <f t="shared" si="5"/>
        <v/>
      </c>
    </row>
    <row r="36" spans="1:8" x14ac:dyDescent="0.25">
      <c r="A36" t="s">
        <v>40</v>
      </c>
      <c r="B36" s="39" t="str">
        <f>'Load Analysis'!I19</f>
        <v/>
      </c>
      <c r="D36" t="s">
        <v>40</v>
      </c>
      <c r="E36" s="39" t="str">
        <f>'Load Analysis'!J19</f>
        <v/>
      </c>
      <c r="G36" t="s">
        <v>40</v>
      </c>
      <c r="H36" s="39" t="str">
        <f>'Load Analysis'!K19</f>
        <v/>
      </c>
    </row>
    <row r="37" spans="1:8" x14ac:dyDescent="0.25">
      <c r="A37" t="s">
        <v>41</v>
      </c>
      <c r="B37" s="1">
        <f>'Load Analysis'!F2</f>
        <v>0</v>
      </c>
      <c r="D37" t="s">
        <v>41</v>
      </c>
      <c r="E37" s="1">
        <f>'Load Analysis'!F2</f>
        <v>0</v>
      </c>
      <c r="G37" t="s">
        <v>41</v>
      </c>
      <c r="H37" s="1">
        <f>'Load Analysis'!F2</f>
        <v>0</v>
      </c>
    </row>
    <row r="38" spans="1:8" x14ac:dyDescent="0.25">
      <c r="A38" t="s">
        <v>42</v>
      </c>
      <c r="B38" s="24">
        <f>'Load Analysis'!J2</f>
        <v>0</v>
      </c>
      <c r="D38" t="s">
        <v>42</v>
      </c>
      <c r="E38" s="24">
        <f>'Load Analysis'!J2</f>
        <v>0</v>
      </c>
      <c r="G38" t="s">
        <v>42</v>
      </c>
      <c r="H38" s="24">
        <f>'Load Analysis'!J2</f>
        <v>0</v>
      </c>
    </row>
    <row r="39" spans="1:8" x14ac:dyDescent="0.25">
      <c r="B39" s="1"/>
      <c r="E39" s="1"/>
      <c r="H39" s="1"/>
    </row>
    <row r="40" spans="1:8" ht="18" x14ac:dyDescent="0.25">
      <c r="A40" s="25" t="s">
        <v>43</v>
      </c>
      <c r="B40" s="26" t="str">
        <f>IFERROR((30*B33)/((B35/B32)^2*B32^3*B34/B32*(1+(B34/B32)^2))*(B36/2800)^(1/3)*((B37+460)/(59+460)*29.92/B38),"")</f>
        <v/>
      </c>
      <c r="D40" s="25" t="s">
        <v>43</v>
      </c>
      <c r="E40" s="26" t="str">
        <f>IFERROR((30*E33)/((E35/E32)^2*E32^3*E34/E32*(1+(E34/E32)^2))*(E36/2800)^(1/3)*((E37+460)/(59+460)*29.92/E38),"")</f>
        <v/>
      </c>
      <c r="G40" s="25" t="s">
        <v>43</v>
      </c>
      <c r="H40" s="26" t="str">
        <f>IFERROR((30*H33)/((H35/H32)^2*H32^3*H34/H32*(1+(H34/H32)^2))*(H36/2800)^(1/3)*((H37+460)/(59+460)*29.92/H38),"")</f>
        <v/>
      </c>
    </row>
    <row r="43" spans="1:8" x14ac:dyDescent="0.25">
      <c r="A43" s="23" t="s">
        <v>48</v>
      </c>
      <c r="B43" s="23"/>
      <c r="D43" s="40"/>
      <c r="E43" s="41"/>
    </row>
    <row r="44" spans="1:8" x14ac:dyDescent="0.25">
      <c r="A44" t="s">
        <v>170</v>
      </c>
      <c r="B44" s="38">
        <f t="shared" ref="B44:B49" si="6">B2</f>
        <v>0</v>
      </c>
      <c r="D44" s="40"/>
      <c r="E44" s="41"/>
    </row>
    <row r="45" spans="1:8" x14ac:dyDescent="0.25">
      <c r="A45" t="s">
        <v>36</v>
      </c>
      <c r="B45" s="1" t="str">
        <f t="shared" si="6"/>
        <v/>
      </c>
      <c r="D45" s="40"/>
      <c r="E45" s="42"/>
    </row>
    <row r="46" spans="1:8" x14ac:dyDescent="0.25">
      <c r="A46" t="s">
        <v>177</v>
      </c>
      <c r="B46" s="1" t="str">
        <f t="shared" si="6"/>
        <v/>
      </c>
      <c r="D46" s="40"/>
      <c r="E46" s="42"/>
    </row>
    <row r="47" spans="1:8" x14ac:dyDescent="0.25">
      <c r="A47" t="s">
        <v>37</v>
      </c>
      <c r="B47" s="1" t="str">
        <f t="shared" si="6"/>
        <v/>
      </c>
      <c r="D47" s="40"/>
      <c r="E47" s="41"/>
    </row>
    <row r="48" spans="1:8" x14ac:dyDescent="0.25">
      <c r="A48" t="s">
        <v>38</v>
      </c>
      <c r="B48" s="1" t="str">
        <f t="shared" si="6"/>
        <v/>
      </c>
    </row>
    <row r="49" spans="1:2" x14ac:dyDescent="0.25">
      <c r="A49" t="s">
        <v>39</v>
      </c>
      <c r="B49" s="1" t="str">
        <f t="shared" si="6"/>
        <v/>
      </c>
    </row>
    <row r="50" spans="1:2" x14ac:dyDescent="0.25">
      <c r="A50" t="s">
        <v>40</v>
      </c>
      <c r="B50" s="39" t="str">
        <f>'Load Analysis'!L19</f>
        <v/>
      </c>
    </row>
    <row r="51" spans="1:2" x14ac:dyDescent="0.25">
      <c r="A51" t="s">
        <v>41</v>
      </c>
      <c r="B51" s="1">
        <f>'Load Analysis'!F2</f>
        <v>0</v>
      </c>
    </row>
    <row r="52" spans="1:2" x14ac:dyDescent="0.25">
      <c r="A52" t="s">
        <v>42</v>
      </c>
      <c r="B52" s="24">
        <f>'Load Analysis'!J2</f>
        <v>0</v>
      </c>
    </row>
    <row r="53" spans="1:2" x14ac:dyDescent="0.25">
      <c r="B53" s="1"/>
    </row>
    <row r="54" spans="1:2" ht="18" x14ac:dyDescent="0.25">
      <c r="A54" s="25" t="s">
        <v>43</v>
      </c>
      <c r="B54" s="26" t="str">
        <f>IFERROR((30*B47)/((B49/B46)^2*B46^3*B48/B46*(1+(B48/B46)^2))*(B50/2800)^(1/3)*((B51+460)/(59+460)*29.92/B52),"")</f>
        <v/>
      </c>
    </row>
  </sheetData>
  <mergeCells count="1">
    <mergeCell ref="A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6718-E548-4D04-9DD7-89A4A31E19E2}">
  <sheetPr codeName="Sheet2"/>
  <dimension ref="A1:E20"/>
  <sheetViews>
    <sheetView workbookViewId="0"/>
  </sheetViews>
  <sheetFormatPr defaultRowHeight="15" x14ac:dyDescent="0.25"/>
  <cols>
    <col min="1" max="1" width="30.7109375" bestFit="1" customWidth="1"/>
    <col min="2" max="2" width="17.7109375" bestFit="1" customWidth="1"/>
    <col min="3" max="3" width="12.7109375" bestFit="1" customWidth="1"/>
    <col min="5" max="5" width="43.140625" bestFit="1" customWidth="1"/>
  </cols>
  <sheetData>
    <row r="1" spans="1:5" x14ac:dyDescent="0.25">
      <c r="A1" s="11" t="s">
        <v>49</v>
      </c>
      <c r="B1" s="11" t="s">
        <v>36</v>
      </c>
      <c r="C1" s="23" t="s">
        <v>50</v>
      </c>
      <c r="D1" s="23" t="s">
        <v>51</v>
      </c>
      <c r="E1" s="11" t="s">
        <v>167</v>
      </c>
    </row>
    <row r="2" spans="1:5" x14ac:dyDescent="0.25">
      <c r="A2" t="s">
        <v>237</v>
      </c>
      <c r="B2" t="s">
        <v>238</v>
      </c>
      <c r="C2" s="1" t="s">
        <v>239</v>
      </c>
      <c r="D2" s="1">
        <v>7</v>
      </c>
      <c r="E2" t="s">
        <v>240</v>
      </c>
    </row>
    <row r="3" spans="1:5" x14ac:dyDescent="0.25">
      <c r="C3" s="1"/>
      <c r="D3" s="1"/>
    </row>
    <row r="4" spans="1:5" x14ac:dyDescent="0.25">
      <c r="C4" s="1"/>
      <c r="D4" s="1"/>
    </row>
    <row r="5" spans="1:5" x14ac:dyDescent="0.25">
      <c r="C5" s="1"/>
      <c r="D5" s="1"/>
    </row>
    <row r="6" spans="1:5" x14ac:dyDescent="0.25">
      <c r="C6" s="1"/>
      <c r="D6" s="1"/>
    </row>
    <row r="7" spans="1:5" x14ac:dyDescent="0.25">
      <c r="C7" s="1"/>
      <c r="D7" s="1"/>
    </row>
    <row r="8" spans="1:5" x14ac:dyDescent="0.25">
      <c r="C8" s="1"/>
      <c r="D8" s="1"/>
    </row>
    <row r="9" spans="1:5" x14ac:dyDescent="0.25">
      <c r="C9" s="1"/>
      <c r="D9" s="1"/>
    </row>
    <row r="10" spans="1:5" x14ac:dyDescent="0.25">
      <c r="C10" s="1"/>
      <c r="D10" s="1"/>
    </row>
    <row r="11" spans="1:5" x14ac:dyDescent="0.25">
      <c r="C11" s="1"/>
      <c r="D11" s="1"/>
    </row>
    <row r="12" spans="1:5" x14ac:dyDescent="0.25">
      <c r="C12" s="1"/>
      <c r="D12" s="1"/>
    </row>
    <row r="13" spans="1:5" x14ac:dyDescent="0.25">
      <c r="C13" s="1"/>
      <c r="D13" s="1"/>
    </row>
    <row r="14" spans="1:5" x14ac:dyDescent="0.25">
      <c r="C14" s="1"/>
      <c r="D14" s="1"/>
    </row>
    <row r="15" spans="1:5" x14ac:dyDescent="0.25">
      <c r="C15" s="1"/>
      <c r="D15" s="1"/>
    </row>
    <row r="16" spans="1:5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  <row r="19" spans="3:4" x14ac:dyDescent="0.25">
      <c r="C19" s="1"/>
      <c r="D19" s="1"/>
    </row>
    <row r="20" spans="3:4" x14ac:dyDescent="0.25">
      <c r="C20" s="1"/>
      <c r="D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E47C-B134-4D76-9655-7D182F7E2733}">
  <sheetPr codeName="Sheet3"/>
  <dimension ref="A1:I49"/>
  <sheetViews>
    <sheetView workbookViewId="0"/>
  </sheetViews>
  <sheetFormatPr defaultRowHeight="15" x14ac:dyDescent="0.25"/>
  <cols>
    <col min="1" max="1" width="29.5703125" customWidth="1"/>
    <col min="2" max="4" width="12.7109375" style="1" customWidth="1"/>
    <col min="5" max="5" width="20" customWidth="1"/>
    <col min="6" max="8" width="9.140625" style="1"/>
  </cols>
  <sheetData>
    <row r="1" spans="1:9" s="11" customFormat="1" x14ac:dyDescent="0.25">
      <c r="A1" s="11" t="s">
        <v>175</v>
      </c>
      <c r="B1" s="27" t="s">
        <v>52</v>
      </c>
      <c r="C1" s="23" t="s">
        <v>53</v>
      </c>
      <c r="D1" s="23" t="s">
        <v>54</v>
      </c>
      <c r="E1" s="11" t="s">
        <v>55</v>
      </c>
      <c r="F1" s="23" t="s">
        <v>56</v>
      </c>
      <c r="G1" s="23" t="s">
        <v>57</v>
      </c>
      <c r="H1" s="23" t="s">
        <v>58</v>
      </c>
      <c r="I1" s="23" t="s">
        <v>59</v>
      </c>
    </row>
    <row r="2" spans="1:9" x14ac:dyDescent="0.25">
      <c r="A2" t="s">
        <v>188</v>
      </c>
      <c r="B2" s="1">
        <v>30160</v>
      </c>
      <c r="C2" s="1" t="s">
        <v>63</v>
      </c>
      <c r="D2" s="28">
        <v>0.224</v>
      </c>
      <c r="E2" t="s">
        <v>64</v>
      </c>
      <c r="F2" s="1">
        <v>52</v>
      </c>
      <c r="G2" s="1">
        <v>0.224</v>
      </c>
      <c r="H2" s="1" t="s">
        <v>62</v>
      </c>
      <c r="I2" s="1">
        <v>0.70499999999999996</v>
      </c>
    </row>
    <row r="3" spans="1:9" x14ac:dyDescent="0.25">
      <c r="A3" t="s">
        <v>187</v>
      </c>
      <c r="B3" s="1">
        <v>30230</v>
      </c>
      <c r="C3" s="1" t="s">
        <v>63</v>
      </c>
      <c r="D3" s="28">
        <v>0.26400000000000001</v>
      </c>
      <c r="E3" t="s">
        <v>87</v>
      </c>
      <c r="F3" s="1">
        <v>140</v>
      </c>
      <c r="G3" s="1">
        <v>0.58599999999999997</v>
      </c>
      <c r="H3" s="1">
        <v>0.28899999999999998</v>
      </c>
      <c r="I3" s="1">
        <v>341</v>
      </c>
    </row>
    <row r="4" spans="1:9" x14ac:dyDescent="0.25">
      <c r="A4" t="s">
        <v>189</v>
      </c>
      <c r="B4" s="1">
        <v>22410</v>
      </c>
      <c r="C4" s="1" t="s">
        <v>68</v>
      </c>
      <c r="D4" s="28">
        <v>0.224</v>
      </c>
      <c r="E4" t="s">
        <v>69</v>
      </c>
      <c r="F4" s="1">
        <v>55</v>
      </c>
      <c r="G4" s="1">
        <v>0.254</v>
      </c>
      <c r="H4" s="1" t="s">
        <v>62</v>
      </c>
      <c r="I4" s="1">
        <v>0.75</v>
      </c>
    </row>
    <row r="5" spans="1:9" x14ac:dyDescent="0.25">
      <c r="A5" t="s">
        <v>190</v>
      </c>
      <c r="B5" s="1">
        <v>22312</v>
      </c>
      <c r="C5" s="1" t="s">
        <v>68</v>
      </c>
      <c r="D5" s="28">
        <v>0.224</v>
      </c>
      <c r="E5" t="s">
        <v>71</v>
      </c>
      <c r="F5" s="1">
        <v>60</v>
      </c>
      <c r="G5" s="1">
        <v>0.27100000000000002</v>
      </c>
      <c r="H5" s="1" t="s">
        <v>62</v>
      </c>
      <c r="I5" s="1">
        <v>0.80100000000000005</v>
      </c>
    </row>
    <row r="6" spans="1:9" x14ac:dyDescent="0.25">
      <c r="A6" t="s">
        <v>185</v>
      </c>
      <c r="B6" s="1">
        <v>24433</v>
      </c>
      <c r="C6" s="1" t="s">
        <v>68</v>
      </c>
      <c r="D6" s="28">
        <v>0.24299999999999999</v>
      </c>
      <c r="E6" t="s">
        <v>79</v>
      </c>
      <c r="F6" s="1">
        <v>105</v>
      </c>
      <c r="G6" s="1">
        <v>0.53600000000000003</v>
      </c>
      <c r="H6" s="1">
        <v>0.27500000000000002</v>
      </c>
      <c r="I6" s="1">
        <v>1.282</v>
      </c>
    </row>
    <row r="7" spans="1:9" x14ac:dyDescent="0.25">
      <c r="A7" t="s">
        <v>228</v>
      </c>
      <c r="B7" s="1">
        <v>24485</v>
      </c>
      <c r="C7" s="1" t="s">
        <v>68</v>
      </c>
      <c r="D7" s="28">
        <v>0.24299999999999999</v>
      </c>
      <c r="E7" t="s">
        <v>227</v>
      </c>
      <c r="F7" s="1">
        <v>109</v>
      </c>
      <c r="G7" s="1">
        <v>0.56799999999999995</v>
      </c>
      <c r="H7" s="1">
        <v>0.29199999999999998</v>
      </c>
      <c r="I7" s="1">
        <v>1.2769999999999999</v>
      </c>
    </row>
    <row r="8" spans="1:9" x14ac:dyDescent="0.25">
      <c r="A8" t="s">
        <v>186</v>
      </c>
      <c r="B8" s="1">
        <v>26414</v>
      </c>
      <c r="C8" s="1" t="s">
        <v>68</v>
      </c>
      <c r="D8" s="28">
        <v>0.26400000000000001</v>
      </c>
      <c r="E8" t="s">
        <v>79</v>
      </c>
      <c r="F8" s="1">
        <v>140</v>
      </c>
      <c r="G8" s="1">
        <v>0.60699999999999998</v>
      </c>
      <c r="H8" s="1">
        <v>0.311</v>
      </c>
      <c r="I8" s="1">
        <v>1.4259999999999999</v>
      </c>
    </row>
    <row r="9" spans="1:9" x14ac:dyDescent="0.25">
      <c r="A9" t="s">
        <v>178</v>
      </c>
      <c r="B9" s="1">
        <v>26486</v>
      </c>
      <c r="C9" s="1" t="s">
        <v>68</v>
      </c>
      <c r="D9" s="28">
        <v>0.26400000000000001</v>
      </c>
      <c r="E9" t="s">
        <v>91</v>
      </c>
      <c r="F9" s="1">
        <v>153.5</v>
      </c>
      <c r="G9" s="1">
        <v>0.69399999999999995</v>
      </c>
      <c r="H9" s="1">
        <v>0.35599999999999998</v>
      </c>
      <c r="I9" s="1">
        <v>1.5</v>
      </c>
    </row>
    <row r="10" spans="1:9" x14ac:dyDescent="0.25">
      <c r="A10" t="s">
        <v>179</v>
      </c>
      <c r="B10" s="1">
        <v>30429</v>
      </c>
      <c r="C10" s="1" t="s">
        <v>68</v>
      </c>
      <c r="D10" s="28">
        <v>0.308</v>
      </c>
      <c r="E10" t="s">
        <v>79</v>
      </c>
      <c r="F10" s="1">
        <v>215</v>
      </c>
      <c r="G10" s="1">
        <v>0.69099999999999995</v>
      </c>
      <c r="H10" s="1">
        <v>0.35399999999999998</v>
      </c>
      <c r="I10" s="1">
        <v>1.5980000000000001</v>
      </c>
    </row>
    <row r="11" spans="1:9" x14ac:dyDescent="0.25">
      <c r="A11" t="s">
        <v>180</v>
      </c>
      <c r="B11" s="1">
        <v>30430</v>
      </c>
      <c r="C11" s="1" t="s">
        <v>68</v>
      </c>
      <c r="D11" s="28">
        <v>0.308</v>
      </c>
      <c r="E11" t="s">
        <v>79</v>
      </c>
      <c r="F11" s="1">
        <v>230</v>
      </c>
      <c r="G11" s="1">
        <v>0.71699999999999997</v>
      </c>
      <c r="H11" s="1">
        <v>0.36799999999999999</v>
      </c>
      <c r="I11" s="1">
        <v>1.64</v>
      </c>
    </row>
    <row r="12" spans="1:9" x14ac:dyDescent="0.25">
      <c r="A12" t="s">
        <v>176</v>
      </c>
      <c r="B12" s="1">
        <v>22241</v>
      </c>
      <c r="C12" s="1" t="s">
        <v>60</v>
      </c>
      <c r="D12" s="28">
        <v>0.224</v>
      </c>
      <c r="E12" t="s">
        <v>61</v>
      </c>
      <c r="F12" s="1">
        <v>40</v>
      </c>
      <c r="G12" s="1">
        <v>0.247</v>
      </c>
      <c r="H12" s="1" t="s">
        <v>62</v>
      </c>
      <c r="I12" s="1">
        <v>0.68600000000000005</v>
      </c>
    </row>
    <row r="13" spans="1:9" x14ac:dyDescent="0.25">
      <c r="A13" t="s">
        <v>191</v>
      </c>
      <c r="B13" s="1">
        <v>22491</v>
      </c>
      <c r="C13" s="1" t="s">
        <v>60</v>
      </c>
      <c r="D13" s="28">
        <v>0.224</v>
      </c>
      <c r="E13" t="s">
        <v>65</v>
      </c>
      <c r="F13" s="1">
        <v>52</v>
      </c>
      <c r="G13" s="1">
        <v>0.247</v>
      </c>
      <c r="H13" s="1" t="s">
        <v>62</v>
      </c>
      <c r="I13" s="1">
        <v>0.79600000000000004</v>
      </c>
    </row>
    <row r="14" spans="1:9" x14ac:dyDescent="0.25">
      <c r="A14" t="s">
        <v>192</v>
      </c>
      <c r="B14" s="1">
        <v>22281</v>
      </c>
      <c r="C14" s="1" t="s">
        <v>60</v>
      </c>
      <c r="D14" s="28">
        <v>0.224</v>
      </c>
      <c r="E14" t="s">
        <v>61</v>
      </c>
      <c r="F14" s="1">
        <v>60</v>
      </c>
      <c r="G14" s="1">
        <v>0.26500000000000001</v>
      </c>
      <c r="H14" s="1" t="s">
        <v>62</v>
      </c>
      <c r="I14" s="1">
        <v>0.873</v>
      </c>
    </row>
    <row r="15" spans="1:9" x14ac:dyDescent="0.25">
      <c r="A15" t="s">
        <v>181</v>
      </c>
      <c r="B15" s="1">
        <v>2278</v>
      </c>
      <c r="C15" s="1" t="s">
        <v>60</v>
      </c>
      <c r="D15" s="28">
        <v>0.224</v>
      </c>
      <c r="E15" t="s">
        <v>77</v>
      </c>
      <c r="F15" s="1">
        <v>68</v>
      </c>
      <c r="G15" s="1">
        <v>0.35499999999999998</v>
      </c>
      <c r="H15" s="1" t="s">
        <v>62</v>
      </c>
      <c r="I15" s="1">
        <v>0.98699999999999999</v>
      </c>
    </row>
    <row r="16" spans="1:9" x14ac:dyDescent="0.25">
      <c r="A16" t="s">
        <v>182</v>
      </c>
      <c r="B16" s="1">
        <v>2279</v>
      </c>
      <c r="C16" s="1" t="s">
        <v>60</v>
      </c>
      <c r="D16" s="28">
        <v>0.224</v>
      </c>
      <c r="E16" t="s">
        <v>78</v>
      </c>
      <c r="F16" s="1">
        <v>75</v>
      </c>
      <c r="G16" s="1">
        <v>0.39500000000000002</v>
      </c>
      <c r="H16" s="28" t="s">
        <v>62</v>
      </c>
      <c r="I16" s="1">
        <v>0.98099999999999998</v>
      </c>
    </row>
    <row r="17" spans="1:9" x14ac:dyDescent="0.25">
      <c r="A17" t="s">
        <v>193</v>
      </c>
      <c r="B17" s="1">
        <v>22774</v>
      </c>
      <c r="C17" s="1" t="s">
        <v>60</v>
      </c>
      <c r="D17" s="28">
        <v>0.224</v>
      </c>
      <c r="E17" t="s">
        <v>65</v>
      </c>
      <c r="F17" s="1">
        <v>73</v>
      </c>
      <c r="G17" s="1">
        <v>0.39800000000000002</v>
      </c>
      <c r="H17" s="28">
        <v>0.2</v>
      </c>
      <c r="I17" s="1">
        <v>1.046</v>
      </c>
    </row>
    <row r="18" spans="1:9" x14ac:dyDescent="0.25">
      <c r="A18" t="s">
        <v>194</v>
      </c>
      <c r="B18" s="1">
        <v>22791</v>
      </c>
      <c r="C18" s="1" t="s">
        <v>60</v>
      </c>
      <c r="D18" s="28">
        <v>0.224</v>
      </c>
      <c r="E18" t="s">
        <v>65</v>
      </c>
      <c r="F18" s="1">
        <v>75</v>
      </c>
      <c r="G18" s="1">
        <v>0.46700000000000003</v>
      </c>
      <c r="H18" s="1">
        <v>0.23499999999999999</v>
      </c>
      <c r="I18" s="1">
        <v>1.121</v>
      </c>
    </row>
    <row r="19" spans="1:9" x14ac:dyDescent="0.25">
      <c r="A19" t="s">
        <v>183</v>
      </c>
      <c r="B19" s="1">
        <v>2458</v>
      </c>
      <c r="C19" s="1" t="s">
        <v>60</v>
      </c>
      <c r="D19" s="28">
        <v>0.24299999999999999</v>
      </c>
      <c r="E19" t="s">
        <v>80</v>
      </c>
      <c r="F19" s="1">
        <v>105</v>
      </c>
      <c r="G19" s="1">
        <v>0.53</v>
      </c>
      <c r="H19" s="1" t="s">
        <v>62</v>
      </c>
      <c r="I19" s="1">
        <v>1.22</v>
      </c>
    </row>
    <row r="20" spans="1:9" x14ac:dyDescent="0.25">
      <c r="A20" t="s">
        <v>184</v>
      </c>
      <c r="B20" s="1" t="s">
        <v>81</v>
      </c>
      <c r="C20" s="1" t="s">
        <v>60</v>
      </c>
      <c r="D20" s="28">
        <v>0.24299999999999999</v>
      </c>
      <c r="E20" t="s">
        <v>80</v>
      </c>
      <c r="F20" s="1">
        <v>105</v>
      </c>
      <c r="G20" s="1">
        <v>0.53</v>
      </c>
      <c r="H20" s="1" t="s">
        <v>62</v>
      </c>
      <c r="I20" s="1">
        <v>1.22</v>
      </c>
    </row>
    <row r="21" spans="1:9" x14ac:dyDescent="0.25">
      <c r="A21" t="s">
        <v>195</v>
      </c>
      <c r="B21" s="1">
        <v>24561</v>
      </c>
      <c r="C21" s="1" t="s">
        <v>60</v>
      </c>
      <c r="D21" s="28">
        <v>0.24299999999999999</v>
      </c>
      <c r="E21" t="s">
        <v>65</v>
      </c>
      <c r="F21" s="1">
        <v>108</v>
      </c>
      <c r="G21" s="1">
        <v>0.53600000000000003</v>
      </c>
      <c r="H21" s="28">
        <v>0.27</v>
      </c>
      <c r="I21" s="1">
        <v>1.268</v>
      </c>
    </row>
    <row r="22" spans="1:9" x14ac:dyDescent="0.25">
      <c r="A22" t="s">
        <v>196</v>
      </c>
      <c r="B22" s="1" t="s">
        <v>85</v>
      </c>
      <c r="C22" s="1" t="s">
        <v>60</v>
      </c>
      <c r="D22" s="28">
        <v>0.24299999999999999</v>
      </c>
      <c r="E22" t="s">
        <v>65</v>
      </c>
      <c r="F22" s="1">
        <v>108</v>
      </c>
      <c r="G22" s="1">
        <v>0.53600000000000003</v>
      </c>
      <c r="H22" s="28">
        <v>0.27</v>
      </c>
      <c r="I22" s="1">
        <v>1.268</v>
      </c>
    </row>
    <row r="23" spans="1:9" x14ac:dyDescent="0.25">
      <c r="A23" t="s">
        <v>197</v>
      </c>
      <c r="B23" s="1">
        <v>2635</v>
      </c>
      <c r="C23" s="1" t="s">
        <v>60</v>
      </c>
      <c r="D23" s="28">
        <v>0.26400000000000001</v>
      </c>
      <c r="E23" t="s">
        <v>90</v>
      </c>
      <c r="F23" s="1">
        <v>143</v>
      </c>
      <c r="G23" s="1">
        <v>0.625</v>
      </c>
      <c r="H23" s="1">
        <v>0.315</v>
      </c>
      <c r="I23" s="1">
        <v>1.44</v>
      </c>
    </row>
    <row r="24" spans="1:9" x14ac:dyDescent="0.25">
      <c r="A24" t="s">
        <v>204</v>
      </c>
      <c r="B24" s="1">
        <v>26179</v>
      </c>
      <c r="C24" s="1" t="s">
        <v>60</v>
      </c>
      <c r="D24" s="28">
        <v>0.26400000000000001</v>
      </c>
      <c r="E24" t="s">
        <v>86</v>
      </c>
      <c r="F24" s="1">
        <v>135</v>
      </c>
      <c r="G24" s="1">
        <v>0.63700000000000001</v>
      </c>
      <c r="H24" s="1">
        <v>0.32100000000000001</v>
      </c>
      <c r="I24" s="1">
        <v>1.383</v>
      </c>
    </row>
    <row r="25" spans="1:9" x14ac:dyDescent="0.25">
      <c r="A25" t="s">
        <v>198</v>
      </c>
      <c r="B25" s="1">
        <v>26331</v>
      </c>
      <c r="C25" s="1" t="s">
        <v>60</v>
      </c>
      <c r="D25" s="28">
        <v>0.26400000000000001</v>
      </c>
      <c r="E25" t="s">
        <v>65</v>
      </c>
      <c r="F25" s="1">
        <v>140</v>
      </c>
      <c r="G25" s="1">
        <v>0.64600000000000002</v>
      </c>
      <c r="H25" s="1">
        <v>0.32600000000000001</v>
      </c>
      <c r="I25" s="1">
        <v>1.3740000000000001</v>
      </c>
    </row>
    <row r="26" spans="1:9" x14ac:dyDescent="0.25">
      <c r="A26" t="s">
        <v>199</v>
      </c>
      <c r="B26" s="1">
        <v>26333</v>
      </c>
      <c r="C26" s="1" t="s">
        <v>60</v>
      </c>
      <c r="D26" s="28">
        <v>0.26400000000000001</v>
      </c>
      <c r="E26" t="s">
        <v>65</v>
      </c>
      <c r="F26" s="1">
        <v>147</v>
      </c>
      <c r="G26" s="1">
        <v>0.69699999999999995</v>
      </c>
      <c r="H26" s="1">
        <v>0.35099999999999998</v>
      </c>
      <c r="I26" s="1">
        <v>1.44</v>
      </c>
    </row>
    <row r="27" spans="1:9" x14ac:dyDescent="0.25">
      <c r="A27" t="s">
        <v>200</v>
      </c>
      <c r="B27" s="1">
        <v>30506</v>
      </c>
      <c r="C27" s="1" t="s">
        <v>60</v>
      </c>
      <c r="D27" s="28">
        <v>0.308</v>
      </c>
      <c r="E27" t="s">
        <v>65</v>
      </c>
      <c r="F27" s="1">
        <v>168</v>
      </c>
      <c r="G27" s="1">
        <v>0.52300000000000002</v>
      </c>
      <c r="H27" s="1">
        <v>0.26300000000000001</v>
      </c>
      <c r="I27" s="1">
        <v>1.272</v>
      </c>
    </row>
    <row r="28" spans="1:9" x14ac:dyDescent="0.25">
      <c r="A28" t="s">
        <v>201</v>
      </c>
      <c r="B28" s="1">
        <v>30713</v>
      </c>
      <c r="C28" s="1" t="s">
        <v>60</v>
      </c>
      <c r="D28" s="28">
        <v>0.308</v>
      </c>
      <c r="E28" t="s">
        <v>65</v>
      </c>
      <c r="F28" s="1">
        <v>178</v>
      </c>
      <c r="G28" s="1">
        <v>0.54700000000000004</v>
      </c>
      <c r="H28" s="1">
        <v>0.27500000000000002</v>
      </c>
      <c r="I28" s="1">
        <v>1.32</v>
      </c>
    </row>
    <row r="29" spans="1:9" x14ac:dyDescent="0.25">
      <c r="A29" t="s">
        <v>202</v>
      </c>
      <c r="B29" s="1">
        <v>3078</v>
      </c>
      <c r="C29" s="1" t="s">
        <v>60</v>
      </c>
      <c r="D29" s="28">
        <v>0.308</v>
      </c>
      <c r="E29" t="s">
        <v>90</v>
      </c>
      <c r="F29" s="1">
        <v>220</v>
      </c>
      <c r="G29" s="28">
        <v>0.65400000000000003</v>
      </c>
      <c r="H29" s="1">
        <v>0.32900000000000001</v>
      </c>
      <c r="I29" s="1">
        <v>1.623</v>
      </c>
    </row>
    <row r="30" spans="1:9" x14ac:dyDescent="0.25">
      <c r="A30" t="s">
        <v>203</v>
      </c>
      <c r="B30" s="1">
        <v>30731</v>
      </c>
      <c r="C30" s="1" t="s">
        <v>60</v>
      </c>
      <c r="D30" s="28">
        <v>0.308</v>
      </c>
      <c r="E30" t="s">
        <v>65</v>
      </c>
      <c r="F30" s="1">
        <v>208</v>
      </c>
      <c r="G30" s="28">
        <v>0.69</v>
      </c>
      <c r="H30" s="1">
        <v>0.34799999999999998</v>
      </c>
      <c r="I30" s="1">
        <v>1.5349999999999999</v>
      </c>
    </row>
    <row r="31" spans="1:9" x14ac:dyDescent="0.25">
      <c r="A31" t="s">
        <v>205</v>
      </c>
      <c r="B31" s="1" t="s">
        <v>92</v>
      </c>
      <c r="C31" s="1" t="s">
        <v>60</v>
      </c>
      <c r="D31" s="28">
        <v>0.308</v>
      </c>
      <c r="E31" t="s">
        <v>65</v>
      </c>
      <c r="F31" s="1">
        <v>208</v>
      </c>
      <c r="G31" s="28">
        <v>0.69</v>
      </c>
      <c r="H31" s="1">
        <v>0.34799999999999998</v>
      </c>
      <c r="I31" s="1">
        <v>1.5349999999999999</v>
      </c>
    </row>
    <row r="32" spans="1:9" x14ac:dyDescent="0.25">
      <c r="A32" t="s">
        <v>206</v>
      </c>
      <c r="B32" s="1">
        <v>30904</v>
      </c>
      <c r="C32" s="1" t="s">
        <v>60</v>
      </c>
      <c r="D32" s="28">
        <v>0.308</v>
      </c>
      <c r="E32" t="s">
        <v>65</v>
      </c>
      <c r="F32" s="1">
        <v>225</v>
      </c>
      <c r="G32" s="28">
        <v>0.77700000000000002</v>
      </c>
      <c r="H32" s="1">
        <v>0.39100000000000001</v>
      </c>
      <c r="I32" s="1">
        <v>1.6559999999999999</v>
      </c>
    </row>
    <row r="33" spans="1:9" x14ac:dyDescent="0.25">
      <c r="A33" t="s">
        <v>207</v>
      </c>
      <c r="B33" s="1">
        <v>3091</v>
      </c>
      <c r="C33" s="1" t="s">
        <v>60</v>
      </c>
      <c r="D33" s="28">
        <v>0.308</v>
      </c>
      <c r="E33" t="s">
        <v>86</v>
      </c>
      <c r="F33" s="1">
        <v>230</v>
      </c>
      <c r="G33" s="28">
        <v>0.82299999999999995</v>
      </c>
      <c r="H33" s="1">
        <v>0.41399999999999998</v>
      </c>
      <c r="I33" s="1">
        <v>1.762</v>
      </c>
    </row>
    <row r="34" spans="1:9" x14ac:dyDescent="0.25">
      <c r="A34" t="s">
        <v>208</v>
      </c>
      <c r="B34" s="1">
        <v>3092</v>
      </c>
      <c r="C34" s="1" t="s">
        <v>60</v>
      </c>
      <c r="D34" s="28">
        <v>0.308</v>
      </c>
      <c r="E34" t="s">
        <v>86</v>
      </c>
      <c r="F34" s="1">
        <v>250</v>
      </c>
      <c r="G34" s="28">
        <v>0.878</v>
      </c>
      <c r="H34" s="1">
        <v>0.442</v>
      </c>
      <c r="I34" s="1">
        <v>1.8759999999999999</v>
      </c>
    </row>
    <row r="35" spans="1:9" x14ac:dyDescent="0.25">
      <c r="A35" t="s">
        <v>209</v>
      </c>
      <c r="B35" s="1" t="s">
        <v>82</v>
      </c>
      <c r="C35" s="1" t="s">
        <v>83</v>
      </c>
      <c r="D35" s="28">
        <v>0.24299999999999999</v>
      </c>
      <c r="E35" s="29" t="s">
        <v>84</v>
      </c>
      <c r="F35" s="1">
        <v>105</v>
      </c>
      <c r="G35" s="1">
        <v>0.47199999999999998</v>
      </c>
      <c r="H35" s="1">
        <v>0.23599999999999999</v>
      </c>
      <c r="I35" s="1">
        <v>1.25</v>
      </c>
    </row>
    <row r="36" spans="1:9" x14ac:dyDescent="0.25">
      <c r="A36" t="s">
        <v>210</v>
      </c>
      <c r="B36" s="1">
        <v>34992</v>
      </c>
      <c r="C36" s="1" t="s">
        <v>72</v>
      </c>
      <c r="D36" s="28">
        <v>0.224</v>
      </c>
      <c r="E36" t="s">
        <v>73</v>
      </c>
      <c r="F36" s="1">
        <v>60</v>
      </c>
      <c r="G36" s="1">
        <v>0.27</v>
      </c>
      <c r="H36" s="1" t="s">
        <v>62</v>
      </c>
      <c r="I36" s="1">
        <v>0.85799999999999998</v>
      </c>
    </row>
    <row r="37" spans="1:9" x14ac:dyDescent="0.25">
      <c r="A37" t="s">
        <v>211</v>
      </c>
      <c r="B37" s="1">
        <v>49824</v>
      </c>
      <c r="C37" s="1" t="s">
        <v>72</v>
      </c>
      <c r="D37" s="28">
        <v>0.26400000000000001</v>
      </c>
      <c r="E37" t="s">
        <v>88</v>
      </c>
      <c r="F37" s="1">
        <v>140</v>
      </c>
      <c r="G37" s="1">
        <v>0.65800000000000003</v>
      </c>
      <c r="H37" s="28">
        <v>0.33</v>
      </c>
      <c r="I37" s="1">
        <v>1.42</v>
      </c>
    </row>
    <row r="38" spans="1:9" x14ac:dyDescent="0.25">
      <c r="A38" t="s">
        <v>212</v>
      </c>
      <c r="B38" s="1">
        <v>1410</v>
      </c>
      <c r="C38" s="1" t="s">
        <v>66</v>
      </c>
      <c r="D38" s="28">
        <v>0.224</v>
      </c>
      <c r="E38" t="s">
        <v>67</v>
      </c>
      <c r="F38" s="1">
        <v>52</v>
      </c>
      <c r="G38" s="1">
        <v>0.22500000000000001</v>
      </c>
      <c r="H38" s="1">
        <v>0.14799999999999999</v>
      </c>
      <c r="I38" s="1">
        <v>0.71299999999999997</v>
      </c>
    </row>
    <row r="39" spans="1:9" x14ac:dyDescent="0.25">
      <c r="A39" t="s">
        <v>213</v>
      </c>
      <c r="B39" s="1">
        <v>1375</v>
      </c>
      <c r="C39" s="1" t="s">
        <v>66</v>
      </c>
      <c r="D39" s="28">
        <v>0.224</v>
      </c>
      <c r="E39" t="s">
        <v>74</v>
      </c>
      <c r="F39" s="1">
        <v>60</v>
      </c>
      <c r="G39" s="1">
        <v>0.246</v>
      </c>
      <c r="H39" s="1">
        <v>0.17100000000000001</v>
      </c>
      <c r="I39" s="1">
        <v>0.77600000000000002</v>
      </c>
    </row>
    <row r="40" spans="1:9" x14ac:dyDescent="0.25">
      <c r="A40" t="s">
        <v>214</v>
      </c>
      <c r="B40" s="1">
        <v>1455</v>
      </c>
      <c r="C40" s="1" t="s">
        <v>66</v>
      </c>
      <c r="D40" s="28">
        <v>0.224</v>
      </c>
      <c r="E40" t="s">
        <v>70</v>
      </c>
      <c r="F40" s="1">
        <v>55</v>
      </c>
      <c r="G40" s="1">
        <v>0.26400000000000001</v>
      </c>
      <c r="H40" s="1">
        <v>0.157</v>
      </c>
      <c r="I40" s="1">
        <v>0.82199999999999995</v>
      </c>
    </row>
    <row r="41" spans="1:9" x14ac:dyDescent="0.25">
      <c r="A41" t="s">
        <v>215</v>
      </c>
      <c r="B41" s="1">
        <v>1395</v>
      </c>
      <c r="C41" s="1" t="s">
        <v>66</v>
      </c>
      <c r="D41" s="28">
        <v>0.224</v>
      </c>
      <c r="E41" t="s">
        <v>76</v>
      </c>
      <c r="F41" s="1">
        <v>65</v>
      </c>
      <c r="G41" s="1">
        <v>0.30299999999999999</v>
      </c>
      <c r="H41" s="1">
        <v>0.185</v>
      </c>
      <c r="I41" s="1">
        <v>0.85199999999999998</v>
      </c>
    </row>
    <row r="42" spans="1:9" x14ac:dyDescent="0.25">
      <c r="A42" t="s">
        <v>216</v>
      </c>
      <c r="B42" s="1">
        <v>7160</v>
      </c>
      <c r="C42" s="1" t="s">
        <v>66</v>
      </c>
      <c r="D42" s="28">
        <v>0.224</v>
      </c>
      <c r="E42" t="s">
        <v>75</v>
      </c>
      <c r="F42" s="1">
        <v>60</v>
      </c>
      <c r="G42" s="1">
        <v>0.32300000000000001</v>
      </c>
      <c r="H42" s="1">
        <v>0.17100000000000001</v>
      </c>
      <c r="I42" s="1">
        <v>0.89700000000000002</v>
      </c>
    </row>
    <row r="43" spans="1:9" x14ac:dyDescent="0.25">
      <c r="A43" t="s">
        <v>217</v>
      </c>
      <c r="B43" s="1">
        <v>7169</v>
      </c>
      <c r="C43" s="1" t="s">
        <v>66</v>
      </c>
      <c r="D43" s="28">
        <v>0.224</v>
      </c>
      <c r="E43" t="s">
        <v>75</v>
      </c>
      <c r="F43" s="1">
        <v>69</v>
      </c>
      <c r="G43" s="1">
        <v>0.34499999999999997</v>
      </c>
      <c r="H43" s="1">
        <v>0.182</v>
      </c>
      <c r="I43" s="1">
        <v>0.98199999999999998</v>
      </c>
    </row>
    <row r="44" spans="1:9" x14ac:dyDescent="0.25">
      <c r="A44" t="s">
        <v>218</v>
      </c>
      <c r="B44" s="1">
        <v>7177</v>
      </c>
      <c r="C44" s="1" t="s">
        <v>66</v>
      </c>
      <c r="D44" s="28">
        <v>0.224</v>
      </c>
      <c r="E44" t="s">
        <v>75</v>
      </c>
      <c r="F44" s="1">
        <v>77</v>
      </c>
      <c r="G44" s="1">
        <v>0.42</v>
      </c>
      <c r="H44" s="28">
        <v>0.19</v>
      </c>
      <c r="I44" s="1">
        <v>1.0720000000000001</v>
      </c>
    </row>
    <row r="45" spans="1:9" x14ac:dyDescent="0.25">
      <c r="A45" t="s">
        <v>219</v>
      </c>
      <c r="B45" s="1">
        <v>1740</v>
      </c>
      <c r="C45" s="1" t="s">
        <v>66</v>
      </c>
      <c r="D45" s="28">
        <v>0.26400000000000001</v>
      </c>
      <c r="E45" t="s">
        <v>89</v>
      </c>
      <c r="F45" s="1">
        <v>142</v>
      </c>
      <c r="G45" s="1">
        <v>0.53500000000000003</v>
      </c>
      <c r="H45" s="1" t="s">
        <v>62</v>
      </c>
      <c r="I45" s="1">
        <v>1.45</v>
      </c>
    </row>
    <row r="46" spans="1:9" x14ac:dyDescent="0.25">
      <c r="A46" t="s">
        <v>220</v>
      </c>
      <c r="B46" s="1">
        <v>1755</v>
      </c>
      <c r="C46" s="1" t="s">
        <v>66</v>
      </c>
      <c r="D46" s="28">
        <v>0.26400000000000001</v>
      </c>
      <c r="E46" t="s">
        <v>89</v>
      </c>
      <c r="F46" s="1">
        <v>150</v>
      </c>
      <c r="G46" s="1">
        <v>0.71299999999999997</v>
      </c>
      <c r="H46" s="1" t="s">
        <v>62</v>
      </c>
      <c r="I46" s="1">
        <v>1.4990000000000001</v>
      </c>
    </row>
    <row r="47" spans="1:9" x14ac:dyDescent="0.25">
      <c r="A47" t="s">
        <v>221</v>
      </c>
      <c r="B47" s="1">
        <v>2200</v>
      </c>
      <c r="C47" s="1" t="s">
        <v>66</v>
      </c>
      <c r="D47" s="28">
        <v>0.308</v>
      </c>
      <c r="E47" t="s">
        <v>89</v>
      </c>
      <c r="F47" s="1">
        <v>168</v>
      </c>
      <c r="G47" s="1">
        <v>0.44700000000000001</v>
      </c>
      <c r="H47" s="1">
        <v>0.218</v>
      </c>
      <c r="I47" s="1">
        <v>1.2150000000000001</v>
      </c>
    </row>
    <row r="48" spans="1:9" x14ac:dyDescent="0.25">
      <c r="A48" t="s">
        <v>222</v>
      </c>
      <c r="B48" s="1">
        <v>2240</v>
      </c>
      <c r="C48" s="1" t="s">
        <v>66</v>
      </c>
      <c r="D48" s="28">
        <v>0.308</v>
      </c>
      <c r="E48" t="s">
        <v>89</v>
      </c>
      <c r="F48" s="1">
        <v>220</v>
      </c>
      <c r="G48" s="28">
        <v>0.629</v>
      </c>
      <c r="H48" s="1" t="s">
        <v>62</v>
      </c>
      <c r="I48" s="1">
        <v>1.4890000000000001</v>
      </c>
    </row>
    <row r="49" spans="1:9" x14ac:dyDescent="0.25">
      <c r="A49" t="s">
        <v>223</v>
      </c>
      <c r="B49" s="1">
        <v>2251</v>
      </c>
      <c r="C49" s="1" t="s">
        <v>66</v>
      </c>
      <c r="D49" s="28">
        <v>0.308</v>
      </c>
      <c r="E49" t="s">
        <v>89</v>
      </c>
      <c r="F49" s="1">
        <v>230</v>
      </c>
      <c r="G49" s="28">
        <v>0.8</v>
      </c>
      <c r="H49" s="1" t="s">
        <v>62</v>
      </c>
      <c r="I49" s="1"/>
    </row>
  </sheetData>
  <sortState xmlns:xlrd2="http://schemas.microsoft.com/office/spreadsheetml/2017/richdata2" ref="B2:I49">
    <sortCondition ref="C2:C49"/>
    <sortCondition ref="D2:D49"/>
    <sortCondition ref="G2:G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1D26-4386-422F-82B0-F410A8F9C215}">
  <sheetPr codeName="Sheet5"/>
  <dimension ref="A1:A34"/>
  <sheetViews>
    <sheetView workbookViewId="0"/>
  </sheetViews>
  <sheetFormatPr defaultRowHeight="15" x14ac:dyDescent="0.25"/>
  <cols>
    <col min="1" max="1" width="29.7109375" customWidth="1"/>
  </cols>
  <sheetData>
    <row r="1" spans="1:1" x14ac:dyDescent="0.25">
      <c r="A1" s="1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9672-609A-41E4-9C3A-DF798D1C8B66}">
  <sheetPr codeName="Sheet6"/>
  <dimension ref="A1:A13"/>
  <sheetViews>
    <sheetView workbookViewId="0"/>
  </sheetViews>
  <sheetFormatPr defaultRowHeight="15" x14ac:dyDescent="0.25"/>
  <cols>
    <col min="1" max="1" width="18.140625" customWidth="1"/>
  </cols>
  <sheetData>
    <row r="1" spans="1:1" x14ac:dyDescent="0.25">
      <c r="A1" s="1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EB55-630E-4EEF-AE19-913D5C05F253}">
  <sheetPr codeName="Sheet7"/>
  <dimension ref="A1:A29"/>
  <sheetViews>
    <sheetView workbookViewId="0"/>
  </sheetViews>
  <sheetFormatPr defaultRowHeight="15" x14ac:dyDescent="0.25"/>
  <cols>
    <col min="1" max="1" width="20" bestFit="1" customWidth="1"/>
  </cols>
  <sheetData>
    <row r="1" spans="1:1" x14ac:dyDescent="0.25">
      <c r="A1" s="11" t="s">
        <v>93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225</v>
      </c>
    </row>
    <row r="28" spans="1:1" x14ac:dyDescent="0.25">
      <c r="A28" t="s">
        <v>165</v>
      </c>
    </row>
    <row r="29" spans="1:1" x14ac:dyDescent="0.25">
      <c r="A2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Load Analysis</vt:lpstr>
      <vt:lpstr>Stability</vt:lpstr>
      <vt:lpstr>Rifle List</vt:lpstr>
      <vt:lpstr>Projectile Data</vt:lpstr>
      <vt:lpstr>Case Data</vt:lpstr>
      <vt:lpstr>Primer Data</vt:lpstr>
      <vt:lpstr>Powder Data</vt:lpstr>
      <vt:lpstr>Bullet</vt:lpstr>
      <vt:lpstr>Case</vt:lpstr>
      <vt:lpstr>'Load Analysis'!my_load_data</vt:lpstr>
      <vt:lpstr>Powder</vt:lpstr>
      <vt:lpstr>'Load Analysis'!Print_Area</vt:lpstr>
      <vt:lpstr>'Load Analysis'!yaxis_max</vt:lpstr>
      <vt:lpstr>'Load Analysis'!yaxis_min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Steve A.</dc:creator>
  <cp:lastModifiedBy>Brian Wozniak</cp:lastModifiedBy>
  <cp:lastPrinted>2020-12-20T19:48:05Z</cp:lastPrinted>
  <dcterms:created xsi:type="dcterms:W3CDTF">2015-07-08T13:59:53Z</dcterms:created>
  <dcterms:modified xsi:type="dcterms:W3CDTF">2020-12-25T13:39:56Z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c0f418-96a4-4caf-9d7c-ccc5ec7f9d91_Enabled">
    <vt:lpwstr>True</vt:lpwstr>
  </property>
  <property fmtid="{D5CDD505-2E9C-101B-9397-08002B2CF9AE}" pid="3" name="MSIP_Label_1bc0f418-96a4-4caf-9d7c-ccc5ec7f9d91_SiteId">
    <vt:lpwstr>e0793d39-0939-496d-b129-198edd916feb</vt:lpwstr>
  </property>
  <property fmtid="{D5CDD505-2E9C-101B-9397-08002B2CF9AE}" pid="4" name="MSIP_Label_1bc0f418-96a4-4caf-9d7c-ccc5ec7f9d91_Owner">
    <vt:lpwstr>steve.a.lawrence@accenture.com</vt:lpwstr>
  </property>
  <property fmtid="{D5CDD505-2E9C-101B-9397-08002B2CF9AE}" pid="5" name="MSIP_Label_1bc0f418-96a4-4caf-9d7c-ccc5ec7f9d91_SetDate">
    <vt:lpwstr>2018-05-31T16:29:54.3320048Z</vt:lpwstr>
  </property>
  <property fmtid="{D5CDD505-2E9C-101B-9397-08002B2CF9AE}" pid="6" name="MSIP_Label_1bc0f418-96a4-4caf-9d7c-ccc5ec7f9d91_Name">
    <vt:lpwstr>Unrestricted</vt:lpwstr>
  </property>
  <property fmtid="{D5CDD505-2E9C-101B-9397-08002B2CF9AE}" pid="7" name="MSIP_Label_1bc0f418-96a4-4caf-9d7c-ccc5ec7f9d91_Application">
    <vt:lpwstr>Microsoft Azure Information Protection</vt:lpwstr>
  </property>
  <property fmtid="{D5CDD505-2E9C-101B-9397-08002B2CF9AE}" pid="8" name="MSIP_Label_1bc0f418-96a4-4caf-9d7c-ccc5ec7f9d91_Extended_MSFT_Method">
    <vt:lpwstr>Manual</vt:lpwstr>
  </property>
  <property fmtid="{D5CDD505-2E9C-101B-9397-08002B2CF9AE}" pid="9" name="Sensitivity">
    <vt:lpwstr>Unrestricted</vt:lpwstr>
  </property>
</Properties>
</file>