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yserda.org\DATA\Users\NYC\Multifamily_Residential\CEF\RetrofitNY\Consultant support\cost compression consultant\"/>
    </mc:Choice>
  </mc:AlternateContent>
  <xr:revisionPtr revIDLastSave="0" documentId="13_ncr:1_{F002579E-503F-43AB-9383-C7D8168F19D3}" xr6:coauthVersionLast="43" xr6:coauthVersionMax="43" xr10:uidLastSave="{00000000-0000-0000-0000-000000000000}"/>
  <bookViews>
    <workbookView xWindow="28740" yWindow="-60" windowWidth="28920" windowHeight="16320" xr2:uid="{55FB1677-22A5-4695-B17B-08E2CC25AA40}"/>
  </bookViews>
  <sheets>
    <sheet name="Project Takeoff Summary" sheetId="2" r:id="rId1"/>
    <sheet name="Project Detail from Team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2" l="1"/>
  <c r="B53" i="2" l="1"/>
  <c r="N53" i="2"/>
  <c r="E92" i="3"/>
  <c r="C90" i="3"/>
  <c r="E90" i="3" s="1"/>
  <c r="E89" i="3"/>
  <c r="E88" i="3"/>
  <c r="E87" i="3"/>
  <c r="M53" i="2"/>
  <c r="L53" i="2"/>
  <c r="D91" i="3"/>
  <c r="C91" i="3"/>
  <c r="E91" i="3" s="1"/>
  <c r="L54" i="2"/>
  <c r="G55" i="2"/>
  <c r="G54" i="2"/>
  <c r="G56" i="2"/>
  <c r="G53" i="2"/>
  <c r="H53" i="2" l="1"/>
  <c r="E49" i="2"/>
  <c r="G49" i="2" s="1"/>
  <c r="F46" i="2"/>
  <c r="G46" i="2" s="1"/>
  <c r="F45" i="2"/>
  <c r="G45" i="2" s="1"/>
  <c r="F40" i="2"/>
  <c r="F39" i="2"/>
  <c r="F37" i="2"/>
  <c r="F36" i="2"/>
  <c r="F35" i="2"/>
  <c r="F34" i="2"/>
  <c r="F33" i="2"/>
  <c r="F32" i="2"/>
  <c r="G47" i="2"/>
  <c r="G48" i="2"/>
  <c r="G43" i="2"/>
  <c r="G44" i="2"/>
  <c r="E77" i="3"/>
  <c r="D77" i="3"/>
  <c r="E76" i="3"/>
  <c r="D76" i="3"/>
  <c r="D75" i="3"/>
  <c r="E75" i="3"/>
  <c r="D74" i="3"/>
  <c r="F74" i="3" s="1"/>
  <c r="E73" i="3"/>
  <c r="F73" i="3" s="1"/>
  <c r="E72" i="3"/>
  <c r="D72" i="3"/>
  <c r="F72" i="3" s="1"/>
  <c r="E71" i="3"/>
  <c r="D71" i="3"/>
  <c r="F71" i="3" s="1"/>
  <c r="E68" i="3"/>
  <c r="F68" i="3" s="1"/>
  <c r="E63" i="3"/>
  <c r="E67" i="3"/>
  <c r="D67" i="3"/>
  <c r="F67" i="3" s="1"/>
  <c r="E66" i="3"/>
  <c r="D66" i="3"/>
  <c r="E65" i="3"/>
  <c r="D65" i="3"/>
  <c r="E64" i="3"/>
  <c r="D64" i="3"/>
  <c r="D63" i="3"/>
  <c r="E62" i="3"/>
  <c r="D62" i="3"/>
  <c r="E61" i="3"/>
  <c r="D61" i="3"/>
  <c r="E57" i="3"/>
  <c r="D57" i="3"/>
  <c r="E56" i="3"/>
  <c r="D56" i="3"/>
  <c r="E55" i="3"/>
  <c r="D55" i="3"/>
  <c r="E51" i="3"/>
  <c r="D51" i="3"/>
  <c r="E50" i="3"/>
  <c r="D50" i="3"/>
  <c r="E49" i="3"/>
  <c r="F49" i="3" s="1"/>
  <c r="E47" i="3"/>
  <c r="D47" i="3"/>
  <c r="E46" i="3"/>
  <c r="D46" i="3"/>
  <c r="F46" i="3" s="1"/>
  <c r="E45" i="3"/>
  <c r="D45" i="3"/>
  <c r="E44" i="3"/>
  <c r="D44" i="3"/>
  <c r="E43" i="3"/>
  <c r="D43" i="3"/>
  <c r="E42" i="3"/>
  <c r="D42" i="3"/>
  <c r="F75" i="3"/>
  <c r="F70" i="3"/>
  <c r="F69" i="3"/>
  <c r="G42" i="2"/>
  <c r="G41" i="2"/>
  <c r="F57" i="3"/>
  <c r="F43" i="3" l="1"/>
  <c r="F44" i="3"/>
  <c r="F45" i="3"/>
  <c r="F47" i="3"/>
  <c r="F51" i="3"/>
  <c r="F55" i="3"/>
  <c r="F56" i="3"/>
  <c r="F61" i="3"/>
  <c r="F62" i="3"/>
  <c r="F76" i="3"/>
  <c r="F77" i="3"/>
  <c r="F64" i="3"/>
  <c r="F65" i="3"/>
  <c r="F66" i="3"/>
  <c r="F63" i="3"/>
  <c r="F42" i="3"/>
  <c r="F50" i="3"/>
  <c r="N32" i="2"/>
  <c r="O32" i="2"/>
  <c r="C32" i="2"/>
  <c r="G40" i="2"/>
  <c r="G39" i="2"/>
  <c r="G38" i="2"/>
  <c r="G37" i="2"/>
  <c r="G36" i="2"/>
  <c r="G35" i="2"/>
  <c r="G34" i="2"/>
  <c r="G33" i="2"/>
  <c r="G32" i="2"/>
  <c r="B27" i="2"/>
  <c r="H27" i="2"/>
  <c r="B22" i="2"/>
  <c r="C22" i="2"/>
  <c r="H32" i="2" l="1"/>
  <c r="B32" i="2" s="1"/>
  <c r="G22" i="2"/>
  <c r="H22" i="2" s="1"/>
  <c r="C27" i="2"/>
  <c r="M32" i="2"/>
  <c r="J13" i="2"/>
  <c r="L13" i="2" s="1"/>
  <c r="J12" i="2"/>
  <c r="L12" i="2" s="1"/>
  <c r="J11" i="2"/>
  <c r="L11" i="2" s="1"/>
  <c r="J10" i="2"/>
  <c r="L10" i="2" s="1"/>
  <c r="J9" i="2"/>
  <c r="L9" i="2" s="1"/>
  <c r="L5" i="2"/>
  <c r="L4" i="2"/>
  <c r="L3" i="2"/>
  <c r="G18" i="2"/>
  <c r="M9" i="2" l="1"/>
  <c r="M3" i="2"/>
  <c r="F16" i="2"/>
  <c r="F17" i="2"/>
  <c r="G17" i="2" s="1"/>
  <c r="G16" i="2"/>
  <c r="F15" i="2"/>
  <c r="G15" i="2" s="1"/>
  <c r="F14" i="2"/>
  <c r="G14" i="2" s="1"/>
  <c r="F13" i="2"/>
  <c r="F12" i="2"/>
  <c r="G12" i="2" s="1"/>
  <c r="F11" i="2"/>
  <c r="G11" i="2" s="1"/>
  <c r="F10" i="2"/>
  <c r="G10" i="2" s="1"/>
  <c r="F9" i="2"/>
  <c r="G9" i="2" s="1"/>
  <c r="E13" i="2"/>
  <c r="N9" i="2"/>
  <c r="O9" i="2"/>
  <c r="G13" i="2" l="1"/>
  <c r="H9" i="2" s="1"/>
  <c r="E5" i="2"/>
  <c r="G5" i="2" s="1"/>
  <c r="E4" i="2"/>
  <c r="G4" i="2" s="1"/>
  <c r="E3" i="2"/>
  <c r="G3" i="2" s="1"/>
  <c r="C9" i="2" l="1"/>
  <c r="H3" i="2"/>
  <c r="B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Saul Brown</author>
  </authors>
  <commentList>
    <comment ref="A53" authorId="0" shapeId="0" xr:uid="{7C7BAA8D-C68E-46F7-9F5C-9D9293194866}">
      <text>
        <r>
          <rPr>
            <b/>
            <sz val="8"/>
            <color indexed="81"/>
            <rFont val="Tahoma"/>
            <charset val="1"/>
          </rPr>
          <t>Saul Brown:</t>
        </r>
        <r>
          <rPr>
            <sz val="8"/>
            <color indexed="81"/>
            <rFont val="Tahoma"/>
            <charset val="1"/>
          </rPr>
          <t xml:space="preserve">
Campus has (5) identical 2-story 8-unit buildings.  All figures noted here are combined totals for all five buildings.  For individiual building counts divide figures by five.</t>
        </r>
      </text>
    </comment>
    <comment ref="N60" authorId="0" shapeId="0" xr:uid="{86205084-1F3D-4C01-8306-028BCFF00B0F}">
      <text>
        <r>
          <rPr>
            <b/>
            <sz val="8"/>
            <color indexed="81"/>
            <rFont val="Tahoma"/>
            <charset val="1"/>
          </rPr>
          <t>Saul Brown:</t>
        </r>
        <r>
          <rPr>
            <sz val="8"/>
            <color indexed="81"/>
            <rFont val="Tahoma"/>
            <charset val="1"/>
          </rPr>
          <t xml:space="preserve">
TRC report calls out 14,000sf for existing roof plus 2,000sf for addition roof (= 6000sf addition divided by 3 floors)</t>
        </r>
      </text>
    </comment>
  </commentList>
</comments>
</file>

<file path=xl/sharedStrings.xml><?xml version="1.0" encoding="utf-8"?>
<sst xmlns="http://schemas.openxmlformats.org/spreadsheetml/2006/main" count="320" uniqueCount="147">
  <si>
    <t>Project</t>
  </si>
  <si>
    <t>1 Eddy's Lane</t>
  </si>
  <si>
    <t>90 South Main St</t>
  </si>
  <si>
    <t>439 W 125 St</t>
  </si>
  <si>
    <t>300-304 E 162 St</t>
  </si>
  <si>
    <t>3-0 x 4-6</t>
  </si>
  <si>
    <t>3-0 x 5-4</t>
  </si>
  <si>
    <t>3-2 x 4-0</t>
  </si>
  <si>
    <t>Size</t>
  </si>
  <si>
    <t>SF</t>
  </si>
  <si>
    <t>Total SF</t>
  </si>
  <si>
    <t>Total Window Area</t>
  </si>
  <si>
    <t>Total Façade Area</t>
  </si>
  <si>
    <t>Roof Area</t>
  </si>
  <si>
    <t>Canopy EIFS</t>
  </si>
  <si>
    <t>PANELS</t>
  </si>
  <si>
    <t>WINDOWS</t>
  </si>
  <si>
    <t>Parapet Area</t>
  </si>
  <si>
    <t>6-0 x 6-0</t>
  </si>
  <si>
    <t>3-0 x 3-0</t>
  </si>
  <si>
    <t>3-0 x 6-0</t>
  </si>
  <si>
    <t>3-0 x 6-2 3/4</t>
  </si>
  <si>
    <t>2-0 x 4-0</t>
  </si>
  <si>
    <t>4-6 x 6-0</t>
  </si>
  <si>
    <t>5-6 x 6-0</t>
  </si>
  <si>
    <t>Façade Panel Area</t>
  </si>
  <si>
    <t xml:space="preserve">OTHER </t>
  </si>
  <si>
    <t>DOORS</t>
  </si>
  <si>
    <t>Total Door Area</t>
  </si>
  <si>
    <t>2-8 x 7-0</t>
  </si>
  <si>
    <t>3-0 x 6-4</t>
  </si>
  <si>
    <t>Front SF</t>
  </si>
  <si>
    <t>Rear SF</t>
  </si>
  <si>
    <t>Storefront</t>
  </si>
  <si>
    <t>Storefront w/o windows</t>
  </si>
  <si>
    <t>Remaining facade w/ windows</t>
  </si>
  <si>
    <t>Remaining facade  w/o windows</t>
  </si>
  <si>
    <t>area (SF)</t>
  </si>
  <si>
    <t>Bulkhead walls</t>
  </si>
  <si>
    <t>Roof</t>
  </si>
  <si>
    <t>Bulkhead Walls</t>
  </si>
  <si>
    <t>WINDOWS &amp; STOREFRONT</t>
  </si>
  <si>
    <t>Windows</t>
  </si>
  <si>
    <t>10-0 x 4-6 1/2 (Storefront)</t>
  </si>
  <si>
    <t>ROOF SURFACE AREA = 3,066 SF</t>
  </si>
  <si>
    <t>PARAPET AREA = 597 SF</t>
  </si>
  <si>
    <t>FACADE SURFACE AREA (with Party Wall) = 18,568 SF</t>
  </si>
  <si>
    <t>FACADE SURFACE AREA (withOUT Party Wall) = 14,707 SF</t>
  </si>
  <si>
    <t>WINDOW+Storefront AREA =  5,656 SF</t>
  </si>
  <si>
    <t>WINDOW-TO-WALL RATIO (with Party Wall) = .3046</t>
  </si>
  <si>
    <t>WINDOW-TO-WALL RATIO (withOUT Party Wall) = .3847</t>
  </si>
  <si>
    <t>300 E 162 St (does not include 304 E 162 St)</t>
  </si>
  <si>
    <t>Qty</t>
  </si>
  <si>
    <t>For roof area, I have 3,803 ft2 footprint, 4,245 ft2 surface area.</t>
  </si>
  <si>
    <t>Roof Area (surface)</t>
  </si>
  <si>
    <t>ROOF (flat)</t>
  </si>
  <si>
    <t>ROOF (double pitch)</t>
  </si>
  <si>
    <t>104-110 GROVE ST</t>
  </si>
  <si>
    <t>INSTALL NEW STO THERM LOTUSAN OVER EXISTING MASONRY</t>
  </si>
  <si>
    <t>PROVIDE NEW RIGID INSULATION ON ROOF</t>
  </si>
  <si>
    <t>1 EDDY'S LANE</t>
  </si>
  <si>
    <t>TRADE ITEM</t>
  </si>
  <si>
    <t>QUANTITY</t>
  </si>
  <si>
    <t>PROVIDE INSULATION ON EXTERIOR CELLAR WALLS</t>
  </si>
  <si>
    <t>SWBR</t>
  </si>
  <si>
    <t>CONIFER</t>
  </si>
  <si>
    <t>BRIGHT POWER</t>
  </si>
  <si>
    <t>VOLMAR</t>
  </si>
  <si>
    <t>LEVY PARTNERSHIP</t>
  </si>
  <si>
    <t>JOE NYC</t>
  </si>
  <si>
    <t>ICAST</t>
  </si>
  <si>
    <t>BEACON</t>
  </si>
  <si>
    <t>CHRIS BENEDICT RA</t>
  </si>
  <si>
    <t>RISEBORO</t>
  </si>
  <si>
    <t>104-110 Grove St</t>
  </si>
  <si>
    <t>Insul. Ext. Cellar Walls</t>
  </si>
  <si>
    <t>PROVIDE TYPE "G" OPERABLE WINDOW</t>
  </si>
  <si>
    <t>PROVIDE TYPE "K" OPERABLE WINDOW</t>
  </si>
  <si>
    <t>PROVIDE TYPE "L" OPERABLE WINDOW</t>
  </si>
  <si>
    <t>PROVIDE TYPE "M" OPERABLE WINDOW</t>
  </si>
  <si>
    <t>A</t>
  </si>
  <si>
    <t>104 Grove</t>
  </si>
  <si>
    <t>5-8 1/2 x 2-10</t>
  </si>
  <si>
    <t>5-8 1/2 x 2-6</t>
  </si>
  <si>
    <t>5-7 1/2 x 2-2</t>
  </si>
  <si>
    <t>5-7 1/2 x 2-6</t>
  </si>
  <si>
    <t>3-9 1/2 x 1-6</t>
  </si>
  <si>
    <t>4-5 1/2 x 2-6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</si>
  <si>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</si>
  <si>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</si>
  <si>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</si>
  <si>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</si>
  <si>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</si>
  <si>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</si>
  <si>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</si>
  <si>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</si>
  <si>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</si>
  <si>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</si>
  <si>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</si>
  <si>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</si>
  <si>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</si>
  <si>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</si>
  <si>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</si>
  <si>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</si>
  <si>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6-4 1/2 x 3-6</t>
  </si>
  <si>
    <t>5-0 x 2-6</t>
  </si>
  <si>
    <t>2-3 1/2 x 2-5</t>
  </si>
  <si>
    <t>5-8 1/2 x 2-2</t>
  </si>
  <si>
    <t>5-7 1/2 x 2-11</t>
  </si>
  <si>
    <t>5-7 1/2 x 2-9</t>
  </si>
  <si>
    <t>5-7 1/2 x 4-11</t>
  </si>
  <si>
    <t>5-7 1/2 x 4-4</t>
  </si>
  <si>
    <t>110 Grove</t>
  </si>
  <si>
    <t>6-4 1/2 x 4-2</t>
  </si>
  <si>
    <t>6-3 1/2 x 6-3 1/2</t>
  </si>
  <si>
    <t>5-7 1/2 x 2-5</t>
  </si>
  <si>
    <t>5-7 1/2 x 3-3</t>
  </si>
  <si>
    <t>2-2 1/2 x 2-6</t>
  </si>
  <si>
    <t>R</t>
  </si>
  <si>
    <t>7-8 x 6-0 (Storefront)</t>
  </si>
  <si>
    <t>KING + KING</t>
  </si>
  <si>
    <t>ROCK PMC</t>
  </si>
  <si>
    <t>22 Maplehurst Drive</t>
  </si>
  <si>
    <t>SUNY ONEONTA</t>
  </si>
  <si>
    <t>CURTAINWALL</t>
  </si>
  <si>
    <t>PANELS/WINDOWS</t>
  </si>
  <si>
    <t>108 Ravine Parkway</t>
  </si>
  <si>
    <t>Total opaque envelope: 21,900sf</t>
  </si>
  <si>
    <t>Total Window Area: 2,075sf</t>
  </si>
  <si>
    <t>Total Patio Door Area - fixed lite, swing: 1,580sf</t>
  </si>
  <si>
    <t>Entry Door Area: 224sf</t>
  </si>
  <si>
    <t>Window and Door Types, Count, Size:</t>
  </si>
  <si>
    <r>
      <t>Tilt/Turn A (164):  </t>
    </r>
    <r>
      <rPr>
        <sz val="12"/>
        <color rgb="FF000000"/>
        <rFont val="Calibri"/>
        <family val="2"/>
        <scheme val="minor"/>
      </rPr>
      <t>30"x48"</t>
    </r>
  </si>
  <si>
    <r>
      <t xml:space="preserve">Tilt/Turn B (20) : </t>
    </r>
    <r>
      <rPr>
        <sz val="12"/>
        <color rgb="FF000000"/>
        <rFont val="Calibri"/>
        <family val="2"/>
        <scheme val="minor"/>
      </rPr>
      <t>24"x48"</t>
    </r>
  </si>
  <si>
    <r>
      <t xml:space="preserve">Tilt/Turn C (20): </t>
    </r>
    <r>
      <rPr>
        <sz val="12"/>
        <color rgb="FF000000"/>
        <rFont val="Calibri"/>
        <family val="2"/>
        <scheme val="minor"/>
      </rPr>
      <t>24"x36"</t>
    </r>
  </si>
  <si>
    <t>Fixed (5): 93”x48”</t>
  </si>
  <si>
    <t>Patio Door - fixed lite, swing (40): 80”x71”</t>
  </si>
  <si>
    <t>Entry Door (5): 36”x84”</t>
  </si>
  <si>
    <t>7-9 x 4-0 (fixed)</t>
  </si>
  <si>
    <t>2-6 x 4-0 (tilt &amp; turn)</t>
  </si>
  <si>
    <t>2-0 x 4-0 (tilt &amp; turn)</t>
  </si>
  <si>
    <t>2-0 x 3-0 (tilt &amp; turn)</t>
  </si>
  <si>
    <t>3-0 x 7-0</t>
  </si>
  <si>
    <t>6-8 x 5-11</t>
  </si>
  <si>
    <t>width</t>
  </si>
  <si>
    <t>height</t>
  </si>
  <si>
    <t>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</si>
</sst>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3" fontId="0" fillId="0" borderId="1" xfId="0" applyNumberForma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/>
    <xf numFmtId="0" fontId="5" fillId="0" borderId="0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/>
    </xf>
    <xf numFmtId="4" fontId="0" fillId="2" borderId="1" xfId="0" applyNumberFormat="1" applyFill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Fill="1" applyBorder="1" applyAlignment="1">
      <alignment vertical="center"/>
    </xf>
    <xf numFmtId="2" fontId="0" fillId="0" borderId="0" xfId="0" applyNumberFormat="1"/>
    <xf numFmtId="1" fontId="0" fillId="0" borderId="0" xfId="0" applyNumberFormat="1"/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3" fontId="0" fillId="0" borderId="0" xfId="0" applyNumberFormat="1" applyFill="1" applyBorder="1"/>
    <xf numFmtId="1" fontId="0" fillId="0" borderId="1" xfId="0" applyNumberFormat="1" applyBorder="1"/>
    <xf numFmtId="3" fontId="0" fillId="0" borderId="1" xfId="0" applyNumberFormat="1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3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6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4" fontId="0" fillId="0" borderId="1" xfId="1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28575</xdr:rowOff>
    </xdr:from>
    <xdr:to>
      <xdr:col>4</xdr:col>
      <xdr:colOff>552450</xdr:colOff>
      <xdr:row>28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B7BA0A-B44B-4090-ABB1-F49FF60C8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4325"/>
          <a:ext cx="535305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17B3C-CDC8-4231-B4FC-5E806EB88C78}">
  <dimension ref="A1:Q60"/>
  <sheetViews>
    <sheetView tabSelected="1" topLeftCell="A19" workbookViewId="0">
      <selection activeCell="P17" sqref="P17"/>
    </sheetView>
  </sheetViews>
  <sheetFormatPr defaultRowHeight="15" x14ac:dyDescent="0.25"/>
  <cols>
    <col min="1" max="2" width="20.7109375" style="9" customWidth="1"/>
    <col min="3" max="3" width="20.7109375" style="1" customWidth="1"/>
    <col min="4" max="4" width="20.7109375" customWidth="1"/>
    <col min="5" max="6" width="6.7109375" customWidth="1"/>
    <col min="7" max="7" width="8.7109375" customWidth="1"/>
    <col min="8" max="8" width="17.85546875" style="1" customWidth="1"/>
    <col min="9" max="9" width="8.7109375" customWidth="1"/>
    <col min="10" max="11" width="6.7109375" customWidth="1"/>
    <col min="12" max="12" width="8.7109375" customWidth="1"/>
    <col min="13" max="13" width="16.140625" style="1" customWidth="1"/>
    <col min="14" max="14" width="21.28515625" style="9" customWidth="1"/>
    <col min="15" max="15" width="20.7109375" style="1" customWidth="1"/>
    <col min="16" max="17" width="20.7109375" customWidth="1"/>
  </cols>
  <sheetData>
    <row r="1" spans="1:17" x14ac:dyDescent="0.25">
      <c r="A1" s="47" t="s">
        <v>64</v>
      </c>
      <c r="B1" s="47" t="s">
        <v>65</v>
      </c>
      <c r="C1" s="54" t="s">
        <v>15</v>
      </c>
      <c r="D1" s="66" t="s">
        <v>16</v>
      </c>
      <c r="E1" s="66"/>
      <c r="F1" s="66"/>
      <c r="G1" s="66"/>
      <c r="H1" s="66"/>
      <c r="I1" s="74" t="s">
        <v>27</v>
      </c>
      <c r="J1" s="75"/>
      <c r="K1" s="75"/>
      <c r="L1" s="75"/>
      <c r="M1" s="76"/>
      <c r="N1" s="46" t="s">
        <v>55</v>
      </c>
      <c r="O1" s="46" t="s">
        <v>26</v>
      </c>
    </row>
    <row r="2" spans="1:17" x14ac:dyDescent="0.25">
      <c r="A2" s="4" t="s">
        <v>0</v>
      </c>
      <c r="B2" s="4" t="s">
        <v>12</v>
      </c>
      <c r="C2" s="5" t="s">
        <v>25</v>
      </c>
      <c r="D2" s="2" t="s">
        <v>8</v>
      </c>
      <c r="E2" s="2" t="s">
        <v>9</v>
      </c>
      <c r="F2" s="2" t="s">
        <v>52</v>
      </c>
      <c r="G2" s="2" t="s">
        <v>10</v>
      </c>
      <c r="H2" s="5" t="s">
        <v>11</v>
      </c>
      <c r="I2" s="2" t="s">
        <v>8</v>
      </c>
      <c r="J2" s="2" t="s">
        <v>9</v>
      </c>
      <c r="K2" s="2" t="s">
        <v>52</v>
      </c>
      <c r="L2" s="2" t="s">
        <v>10</v>
      </c>
      <c r="M2" s="5" t="s">
        <v>28</v>
      </c>
      <c r="N2" s="4" t="s">
        <v>13</v>
      </c>
      <c r="O2" s="5" t="s">
        <v>14</v>
      </c>
    </row>
    <row r="3" spans="1:17" x14ac:dyDescent="0.25">
      <c r="A3" s="67" t="s">
        <v>2</v>
      </c>
      <c r="B3" s="64">
        <f>SUM(C3,H3)</f>
        <v>11104.162200000001</v>
      </c>
      <c r="C3" s="64">
        <v>9961</v>
      </c>
      <c r="D3" s="3" t="s">
        <v>5</v>
      </c>
      <c r="E3" s="3">
        <f>3*4.5</f>
        <v>13.5</v>
      </c>
      <c r="F3" s="3">
        <v>75</v>
      </c>
      <c r="G3" s="3">
        <f>E3*F3</f>
        <v>1012.5</v>
      </c>
      <c r="H3" s="64">
        <f>SUM(G3:G5)</f>
        <v>1143.1622</v>
      </c>
      <c r="I3" s="3"/>
      <c r="J3" s="3"/>
      <c r="K3" s="3"/>
      <c r="L3" s="3">
        <f>J3*K3</f>
        <v>0</v>
      </c>
      <c r="M3" s="64">
        <f>SUM(L3:L5)</f>
        <v>0</v>
      </c>
      <c r="N3" s="64">
        <v>10115</v>
      </c>
      <c r="O3" s="70">
        <v>192</v>
      </c>
    </row>
    <row r="4" spans="1:17" x14ac:dyDescent="0.25">
      <c r="A4" s="68"/>
      <c r="B4" s="73"/>
      <c r="C4" s="73"/>
      <c r="D4" s="3" t="s">
        <v>6</v>
      </c>
      <c r="E4" s="3">
        <f>3*5.333</f>
        <v>15.999000000000001</v>
      </c>
      <c r="F4" s="3">
        <v>5</v>
      </c>
      <c r="G4" s="3">
        <f>E4*F4</f>
        <v>79.995000000000005</v>
      </c>
      <c r="H4" s="73"/>
      <c r="I4" s="3"/>
      <c r="J4" s="3"/>
      <c r="K4" s="3"/>
      <c r="L4" s="3">
        <f>J4*K4</f>
        <v>0</v>
      </c>
      <c r="M4" s="73"/>
      <c r="N4" s="73"/>
      <c r="O4" s="71"/>
    </row>
    <row r="5" spans="1:17" x14ac:dyDescent="0.25">
      <c r="A5" s="69"/>
      <c r="B5" s="65"/>
      <c r="C5" s="65"/>
      <c r="D5" s="3" t="s">
        <v>7</v>
      </c>
      <c r="E5" s="3">
        <f>3.1667*4</f>
        <v>12.6668</v>
      </c>
      <c r="F5" s="3">
        <v>4</v>
      </c>
      <c r="G5" s="3">
        <f>E5*F5</f>
        <v>50.667200000000001</v>
      </c>
      <c r="H5" s="65"/>
      <c r="I5" s="3"/>
      <c r="J5" s="3"/>
      <c r="K5" s="3"/>
      <c r="L5" s="3">
        <f>J5*K5</f>
        <v>0</v>
      </c>
      <c r="M5" s="65"/>
      <c r="N5" s="65"/>
      <c r="O5" s="72"/>
    </row>
    <row r="6" spans="1:17" x14ac:dyDescent="0.25">
      <c r="A6" s="48"/>
      <c r="B6" s="48"/>
      <c r="C6" s="49"/>
      <c r="D6" s="50"/>
      <c r="E6" s="50"/>
      <c r="F6" s="50"/>
      <c r="G6" s="50"/>
      <c r="H6" s="51"/>
      <c r="I6" s="52"/>
      <c r="J6" s="52"/>
      <c r="K6" s="52"/>
      <c r="L6" s="52"/>
      <c r="M6" s="51"/>
      <c r="N6" s="53"/>
      <c r="O6" s="51"/>
    </row>
    <row r="7" spans="1:17" x14ac:dyDescent="0.25">
      <c r="A7" s="47" t="s">
        <v>66</v>
      </c>
      <c r="B7" s="47" t="s">
        <v>67</v>
      </c>
      <c r="C7" s="54" t="s">
        <v>15</v>
      </c>
      <c r="D7" s="66" t="s">
        <v>41</v>
      </c>
      <c r="E7" s="66"/>
      <c r="F7" s="66"/>
      <c r="G7" s="66"/>
      <c r="H7" s="66"/>
      <c r="I7" s="66" t="s">
        <v>27</v>
      </c>
      <c r="J7" s="66"/>
      <c r="K7" s="66"/>
      <c r="L7" s="66"/>
      <c r="M7" s="66"/>
      <c r="N7" s="46" t="s">
        <v>55</v>
      </c>
      <c r="O7" s="46" t="s">
        <v>26</v>
      </c>
    </row>
    <row r="8" spans="1:17" x14ac:dyDescent="0.25">
      <c r="A8" s="4" t="s">
        <v>0</v>
      </c>
      <c r="B8" s="4" t="s">
        <v>12</v>
      </c>
      <c r="C8" s="5" t="s">
        <v>25</v>
      </c>
      <c r="D8" s="2" t="s">
        <v>8</v>
      </c>
      <c r="E8" s="2" t="s">
        <v>9</v>
      </c>
      <c r="F8" s="2" t="s">
        <v>52</v>
      </c>
      <c r="G8" s="2" t="s">
        <v>10</v>
      </c>
      <c r="H8" s="5" t="s">
        <v>11</v>
      </c>
      <c r="I8" s="2" t="s">
        <v>8</v>
      </c>
      <c r="J8" s="2" t="s">
        <v>9</v>
      </c>
      <c r="K8" s="2" t="s">
        <v>52</v>
      </c>
      <c r="L8" s="2" t="s">
        <v>10</v>
      </c>
      <c r="M8" s="5" t="s">
        <v>28</v>
      </c>
      <c r="N8" s="4" t="s">
        <v>13</v>
      </c>
      <c r="O8" s="5" t="s">
        <v>17</v>
      </c>
    </row>
    <row r="9" spans="1:17" x14ac:dyDescent="0.25">
      <c r="A9" s="60" t="s">
        <v>4</v>
      </c>
      <c r="B9" s="63">
        <f>14707*2+1912</f>
        <v>31326</v>
      </c>
      <c r="C9" s="62">
        <f>B9-H9-M9</f>
        <v>20015.185999999998</v>
      </c>
      <c r="D9" s="3" t="s">
        <v>18</v>
      </c>
      <c r="E9" s="3">
        <v>36</v>
      </c>
      <c r="F9" s="3">
        <f>18*2</f>
        <v>36</v>
      </c>
      <c r="G9" s="3">
        <f t="shared" ref="G9:G17" si="0">E9*F9</f>
        <v>1296</v>
      </c>
      <c r="H9" s="62">
        <f>SUM(G9:G18)</f>
        <v>11123.52</v>
      </c>
      <c r="I9" s="3" t="s">
        <v>29</v>
      </c>
      <c r="J9" s="3">
        <f>2.666*7</f>
        <v>18.661999999999999</v>
      </c>
      <c r="K9" s="3">
        <v>2</v>
      </c>
      <c r="L9" s="3">
        <f t="shared" ref="L9" si="1">J9*K9</f>
        <v>37.323999999999998</v>
      </c>
      <c r="M9" s="62">
        <f>SUM(L9:L18)</f>
        <v>187.29399999999998</v>
      </c>
      <c r="N9" s="63">
        <f>3066*2</f>
        <v>6132</v>
      </c>
      <c r="O9" s="63">
        <f>597*2</f>
        <v>1194</v>
      </c>
    </row>
    <row r="10" spans="1:17" x14ac:dyDescent="0.25">
      <c r="A10" s="60"/>
      <c r="B10" s="63"/>
      <c r="C10" s="62"/>
      <c r="D10" s="3" t="s">
        <v>19</v>
      </c>
      <c r="E10" s="3">
        <v>9</v>
      </c>
      <c r="F10" s="3">
        <f>2*2</f>
        <v>4</v>
      </c>
      <c r="G10" s="3">
        <f t="shared" si="0"/>
        <v>36</v>
      </c>
      <c r="H10" s="62"/>
      <c r="I10" s="3" t="s">
        <v>29</v>
      </c>
      <c r="J10" s="3">
        <f>2.666*7</f>
        <v>18.661999999999999</v>
      </c>
      <c r="K10" s="3">
        <v>2</v>
      </c>
      <c r="L10" s="3">
        <f t="shared" ref="L10:L12" si="2">J10*K10</f>
        <v>37.323999999999998</v>
      </c>
      <c r="M10" s="62"/>
      <c r="N10" s="63"/>
      <c r="O10" s="63"/>
    </row>
    <row r="11" spans="1:17" x14ac:dyDescent="0.25">
      <c r="A11" s="60"/>
      <c r="B11" s="63"/>
      <c r="C11" s="62"/>
      <c r="D11" s="3" t="s">
        <v>20</v>
      </c>
      <c r="E11" s="3">
        <v>18</v>
      </c>
      <c r="F11" s="3">
        <f>116*2</f>
        <v>232</v>
      </c>
      <c r="G11" s="3">
        <f t="shared" si="0"/>
        <v>4176</v>
      </c>
      <c r="H11" s="62"/>
      <c r="I11" s="3" t="s">
        <v>29</v>
      </c>
      <c r="J11" s="3">
        <f>2.666*7</f>
        <v>18.661999999999999</v>
      </c>
      <c r="K11" s="3">
        <v>2</v>
      </c>
      <c r="L11" s="3">
        <f t="shared" si="2"/>
        <v>37.323999999999998</v>
      </c>
      <c r="M11" s="62"/>
      <c r="N11" s="63"/>
      <c r="O11" s="63"/>
    </row>
    <row r="12" spans="1:17" x14ac:dyDescent="0.25">
      <c r="A12" s="60"/>
      <c r="B12" s="63"/>
      <c r="C12" s="62"/>
      <c r="D12" s="3" t="s">
        <v>20</v>
      </c>
      <c r="E12" s="3">
        <v>18</v>
      </c>
      <c r="F12" s="3">
        <f>39*2</f>
        <v>78</v>
      </c>
      <c r="G12" s="3">
        <f t="shared" si="0"/>
        <v>1404</v>
      </c>
      <c r="H12" s="62"/>
      <c r="I12" s="3" t="s">
        <v>29</v>
      </c>
      <c r="J12" s="3">
        <f>2.666*7</f>
        <v>18.661999999999999</v>
      </c>
      <c r="K12" s="3">
        <v>2</v>
      </c>
      <c r="L12" s="3">
        <f t="shared" si="2"/>
        <v>37.323999999999998</v>
      </c>
      <c r="M12" s="62"/>
      <c r="N12" s="63"/>
      <c r="O12" s="63"/>
      <c r="Q12" s="77"/>
    </row>
    <row r="13" spans="1:17" x14ac:dyDescent="0.25">
      <c r="A13" s="60"/>
      <c r="B13" s="63"/>
      <c r="C13" s="62"/>
      <c r="D13" s="3" t="s">
        <v>21</v>
      </c>
      <c r="E13" s="3">
        <f>3*6.23</f>
        <v>18.690000000000001</v>
      </c>
      <c r="F13" s="3">
        <f>4*2</f>
        <v>8</v>
      </c>
      <c r="G13" s="3">
        <f t="shared" si="0"/>
        <v>149.52000000000001</v>
      </c>
      <c r="H13" s="62"/>
      <c r="I13" s="3" t="s">
        <v>30</v>
      </c>
      <c r="J13" s="3">
        <f>3*6.333</f>
        <v>18.999000000000002</v>
      </c>
      <c r="K13" s="3">
        <v>2</v>
      </c>
      <c r="L13" s="3">
        <f t="shared" ref="L13" si="3">J13*K13</f>
        <v>37.998000000000005</v>
      </c>
      <c r="M13" s="62"/>
      <c r="N13" s="63"/>
      <c r="O13" s="63"/>
      <c r="Q13" s="77"/>
    </row>
    <row r="14" spans="1:17" x14ac:dyDescent="0.25">
      <c r="A14" s="60"/>
      <c r="B14" s="63"/>
      <c r="C14" s="62"/>
      <c r="D14" s="3" t="s">
        <v>22</v>
      </c>
      <c r="E14" s="3">
        <v>8</v>
      </c>
      <c r="F14" s="3">
        <f>42*2</f>
        <v>84</v>
      </c>
      <c r="G14" s="3">
        <f t="shared" si="0"/>
        <v>672</v>
      </c>
      <c r="H14" s="62"/>
      <c r="I14" s="22"/>
      <c r="J14" s="22"/>
      <c r="K14" s="22"/>
      <c r="L14" s="22">
        <v>0</v>
      </c>
      <c r="M14" s="62"/>
      <c r="N14" s="63"/>
      <c r="O14" s="63"/>
      <c r="Q14" s="77"/>
    </row>
    <row r="15" spans="1:17" x14ac:dyDescent="0.25">
      <c r="A15" s="60"/>
      <c r="B15" s="63"/>
      <c r="C15" s="62"/>
      <c r="D15" s="3" t="s">
        <v>23</v>
      </c>
      <c r="E15" s="3">
        <v>27</v>
      </c>
      <c r="F15" s="3">
        <f>10*2</f>
        <v>20</v>
      </c>
      <c r="G15" s="3">
        <f t="shared" si="0"/>
        <v>540</v>
      </c>
      <c r="H15" s="62"/>
      <c r="I15" s="22"/>
      <c r="J15" s="22"/>
      <c r="K15" s="22"/>
      <c r="L15" s="22">
        <v>0</v>
      </c>
      <c r="M15" s="62"/>
      <c r="N15" s="63"/>
      <c r="O15" s="63"/>
      <c r="Q15" s="77"/>
    </row>
    <row r="16" spans="1:17" x14ac:dyDescent="0.25">
      <c r="A16" s="60"/>
      <c r="B16" s="63"/>
      <c r="C16" s="62"/>
      <c r="D16" s="3" t="s">
        <v>18</v>
      </c>
      <c r="E16" s="3">
        <v>36</v>
      </c>
      <c r="F16" s="3">
        <f>20*2</f>
        <v>40</v>
      </c>
      <c r="G16" s="3">
        <f t="shared" si="0"/>
        <v>1440</v>
      </c>
      <c r="H16" s="62"/>
      <c r="I16" s="22"/>
      <c r="J16" s="22"/>
      <c r="K16" s="22"/>
      <c r="L16" s="22">
        <v>0</v>
      </c>
      <c r="M16" s="62"/>
      <c r="N16" s="63"/>
      <c r="O16" s="63"/>
    </row>
    <row r="17" spans="1:17" x14ac:dyDescent="0.25">
      <c r="A17" s="60"/>
      <c r="B17" s="63"/>
      <c r="C17" s="62"/>
      <c r="D17" s="3" t="s">
        <v>24</v>
      </c>
      <c r="E17" s="3">
        <v>33</v>
      </c>
      <c r="F17" s="3">
        <f>20*2</f>
        <v>40</v>
      </c>
      <c r="G17" s="3">
        <f t="shared" si="0"/>
        <v>1320</v>
      </c>
      <c r="H17" s="62"/>
      <c r="I17" s="22"/>
      <c r="J17" s="22"/>
      <c r="K17" s="22"/>
      <c r="L17" s="22">
        <v>0</v>
      </c>
      <c r="M17" s="62"/>
      <c r="N17" s="63"/>
      <c r="O17" s="63"/>
      <c r="Q17" s="77"/>
    </row>
    <row r="18" spans="1:17" x14ac:dyDescent="0.25">
      <c r="A18" s="60"/>
      <c r="B18" s="63"/>
      <c r="C18" s="62"/>
      <c r="D18" s="3" t="s">
        <v>43</v>
      </c>
      <c r="E18" s="3">
        <v>45</v>
      </c>
      <c r="F18" s="3">
        <v>2</v>
      </c>
      <c r="G18" s="3">
        <f t="shared" ref="G18" si="4">E18*F18</f>
        <v>90</v>
      </c>
      <c r="H18" s="62"/>
      <c r="I18" s="22"/>
      <c r="J18" s="22"/>
      <c r="K18" s="22"/>
      <c r="L18" s="22">
        <v>0</v>
      </c>
      <c r="M18" s="62"/>
      <c r="N18" s="63"/>
      <c r="O18" s="63"/>
      <c r="Q18" s="77"/>
    </row>
    <row r="19" spans="1:17" x14ac:dyDescent="0.25">
      <c r="A19" s="48"/>
      <c r="B19" s="48"/>
      <c r="C19" s="51"/>
      <c r="D19" s="50"/>
      <c r="E19" s="50"/>
      <c r="F19" s="50"/>
      <c r="G19" s="50"/>
      <c r="H19" s="49"/>
      <c r="I19" s="50"/>
      <c r="J19" s="50"/>
      <c r="K19" s="50"/>
      <c r="L19" s="50"/>
      <c r="M19" s="49"/>
      <c r="N19" s="48"/>
      <c r="O19" s="49"/>
      <c r="Q19" s="77"/>
    </row>
    <row r="20" spans="1:17" x14ac:dyDescent="0.25">
      <c r="A20" s="47" t="s">
        <v>68</v>
      </c>
      <c r="B20" s="47" t="s">
        <v>69</v>
      </c>
      <c r="C20" s="54" t="s">
        <v>15</v>
      </c>
      <c r="D20" s="66" t="s">
        <v>41</v>
      </c>
      <c r="E20" s="66"/>
      <c r="F20" s="66"/>
      <c r="G20" s="66"/>
      <c r="H20" s="66"/>
      <c r="I20" s="66" t="s">
        <v>27</v>
      </c>
      <c r="J20" s="66"/>
      <c r="K20" s="66"/>
      <c r="L20" s="66"/>
      <c r="M20" s="66"/>
      <c r="N20" s="46" t="s">
        <v>55</v>
      </c>
      <c r="O20" s="46" t="s">
        <v>26</v>
      </c>
    </row>
    <row r="21" spans="1:17" x14ac:dyDescent="0.25">
      <c r="A21" s="4" t="s">
        <v>0</v>
      </c>
      <c r="B21" s="4" t="s">
        <v>12</v>
      </c>
      <c r="C21" s="5" t="s">
        <v>25</v>
      </c>
      <c r="D21" s="2" t="s">
        <v>8</v>
      </c>
      <c r="E21" s="2" t="s">
        <v>9</v>
      </c>
      <c r="F21" s="2" t="s">
        <v>52</v>
      </c>
      <c r="G21" s="2" t="s">
        <v>10</v>
      </c>
      <c r="H21" s="5" t="s">
        <v>11</v>
      </c>
      <c r="I21" s="2" t="s">
        <v>8</v>
      </c>
      <c r="J21" s="2" t="s">
        <v>9</v>
      </c>
      <c r="K21" s="2" t="s">
        <v>52</v>
      </c>
      <c r="L21" s="2" t="s">
        <v>10</v>
      </c>
      <c r="M21" s="5" t="s">
        <v>28</v>
      </c>
      <c r="N21" s="4" t="s">
        <v>13</v>
      </c>
      <c r="O21" s="5" t="s">
        <v>40</v>
      </c>
    </row>
    <row r="22" spans="1:17" x14ac:dyDescent="0.25">
      <c r="A22" s="60" t="s">
        <v>3</v>
      </c>
      <c r="B22" s="61">
        <f>3381+5765+G23</f>
        <v>10195</v>
      </c>
      <c r="C22" s="62">
        <f>2422+4855</f>
        <v>7277</v>
      </c>
      <c r="D22" s="3" t="s">
        <v>42</v>
      </c>
      <c r="E22" s="3"/>
      <c r="F22" s="3"/>
      <c r="G22" s="3">
        <f>B22-C22</f>
        <v>2918</v>
      </c>
      <c r="H22" s="62">
        <f>SUM(G22:G23)</f>
        <v>3967</v>
      </c>
      <c r="I22" s="3"/>
      <c r="J22" s="3"/>
      <c r="K22" s="3"/>
      <c r="L22" s="3">
        <v>0</v>
      </c>
      <c r="M22" s="64">
        <v>0</v>
      </c>
      <c r="N22" s="63">
        <v>3200</v>
      </c>
      <c r="O22" s="63">
        <v>608</v>
      </c>
    </row>
    <row r="23" spans="1:17" x14ac:dyDescent="0.25">
      <c r="A23" s="60"/>
      <c r="B23" s="61"/>
      <c r="C23" s="62"/>
      <c r="D23" s="3" t="s">
        <v>33</v>
      </c>
      <c r="E23" s="3"/>
      <c r="F23" s="3"/>
      <c r="G23" s="3">
        <v>1049</v>
      </c>
      <c r="H23" s="62"/>
      <c r="I23" s="3"/>
      <c r="J23" s="3"/>
      <c r="K23" s="3"/>
      <c r="L23" s="3">
        <v>0</v>
      </c>
      <c r="M23" s="65"/>
      <c r="N23" s="63"/>
      <c r="O23" s="63"/>
    </row>
    <row r="24" spans="1:17" x14ac:dyDescent="0.25">
      <c r="A24" s="56"/>
      <c r="B24" s="56"/>
      <c r="C24" s="57"/>
      <c r="D24" s="58"/>
      <c r="E24" s="58"/>
      <c r="F24" s="58"/>
      <c r="G24" s="58"/>
      <c r="H24" s="57"/>
      <c r="I24" s="58"/>
      <c r="J24" s="58"/>
      <c r="K24" s="58"/>
      <c r="L24" s="58"/>
      <c r="M24" s="57"/>
      <c r="N24" s="56"/>
      <c r="O24" s="57"/>
    </row>
    <row r="25" spans="1:17" x14ac:dyDescent="0.25">
      <c r="A25" s="47" t="s">
        <v>70</v>
      </c>
      <c r="B25" s="47" t="s">
        <v>71</v>
      </c>
      <c r="C25" s="54" t="s">
        <v>15</v>
      </c>
      <c r="D25" s="66" t="s">
        <v>41</v>
      </c>
      <c r="E25" s="66"/>
      <c r="F25" s="66"/>
      <c r="G25" s="66"/>
      <c r="H25" s="66"/>
      <c r="I25" s="66" t="s">
        <v>27</v>
      </c>
      <c r="J25" s="66"/>
      <c r="K25" s="66"/>
      <c r="L25" s="66"/>
      <c r="M25" s="66"/>
      <c r="N25" s="46" t="s">
        <v>56</v>
      </c>
      <c r="O25" s="46" t="s">
        <v>26</v>
      </c>
    </row>
    <row r="26" spans="1:17" x14ac:dyDescent="0.25">
      <c r="A26" s="7" t="s">
        <v>0</v>
      </c>
      <c r="B26" s="7" t="s">
        <v>12</v>
      </c>
      <c r="C26" s="6" t="s">
        <v>25</v>
      </c>
      <c r="D26" s="2" t="s">
        <v>8</v>
      </c>
      <c r="E26" s="2" t="s">
        <v>9</v>
      </c>
      <c r="F26" s="2" t="s">
        <v>52</v>
      </c>
      <c r="G26" s="2" t="s">
        <v>10</v>
      </c>
      <c r="H26" s="6" t="s">
        <v>11</v>
      </c>
      <c r="I26" s="2" t="s">
        <v>8</v>
      </c>
      <c r="J26" s="2" t="s">
        <v>9</v>
      </c>
      <c r="K26" s="2" t="s">
        <v>52</v>
      </c>
      <c r="L26" s="2" t="s">
        <v>10</v>
      </c>
      <c r="M26" s="6" t="s">
        <v>28</v>
      </c>
      <c r="N26" s="7" t="s">
        <v>54</v>
      </c>
      <c r="O26" s="6"/>
    </row>
    <row r="27" spans="1:17" x14ac:dyDescent="0.25">
      <c r="A27" s="60" t="s">
        <v>1</v>
      </c>
      <c r="B27" s="61">
        <f>1201+2268+1201+2268</f>
        <v>6938</v>
      </c>
      <c r="C27" s="62">
        <f>B27-H27</f>
        <v>6268</v>
      </c>
      <c r="D27" s="3" t="s">
        <v>42</v>
      </c>
      <c r="E27" s="3"/>
      <c r="F27" s="3"/>
      <c r="G27" s="3">
        <v>250</v>
      </c>
      <c r="H27" s="62">
        <f>SUM(G27:G28)</f>
        <v>670</v>
      </c>
      <c r="I27" s="3"/>
      <c r="J27" s="3"/>
      <c r="K27" s="3"/>
      <c r="L27" s="3">
        <v>0</v>
      </c>
      <c r="M27" s="64">
        <v>0</v>
      </c>
      <c r="N27" s="63">
        <v>4245</v>
      </c>
      <c r="O27" s="63"/>
    </row>
    <row r="28" spans="1:17" x14ac:dyDescent="0.25">
      <c r="A28" s="60"/>
      <c r="B28" s="61"/>
      <c r="C28" s="62"/>
      <c r="D28" s="3" t="s">
        <v>42</v>
      </c>
      <c r="E28" s="3"/>
      <c r="F28" s="3"/>
      <c r="G28" s="3">
        <v>420</v>
      </c>
      <c r="H28" s="62"/>
      <c r="I28" s="3"/>
      <c r="J28" s="3"/>
      <c r="K28" s="3"/>
      <c r="L28" s="3">
        <v>0</v>
      </c>
      <c r="M28" s="65"/>
      <c r="N28" s="63"/>
      <c r="O28" s="63"/>
    </row>
    <row r="29" spans="1:17" x14ac:dyDescent="0.25">
      <c r="A29" s="48"/>
      <c r="B29" s="48"/>
      <c r="C29" s="51"/>
      <c r="D29" s="52"/>
      <c r="E29" s="52"/>
      <c r="F29" s="52"/>
      <c r="G29" s="52"/>
      <c r="H29" s="51"/>
      <c r="I29" s="52"/>
      <c r="J29" s="52"/>
      <c r="K29" s="52"/>
      <c r="L29" s="52"/>
      <c r="M29" s="51"/>
      <c r="N29" s="48"/>
      <c r="O29" s="51"/>
    </row>
    <row r="30" spans="1:17" x14ac:dyDescent="0.25">
      <c r="A30" s="47" t="s">
        <v>72</v>
      </c>
      <c r="B30" s="47" t="s">
        <v>73</v>
      </c>
      <c r="C30" s="54" t="s">
        <v>15</v>
      </c>
      <c r="D30" s="66" t="s">
        <v>41</v>
      </c>
      <c r="E30" s="66"/>
      <c r="F30" s="66"/>
      <c r="G30" s="66"/>
      <c r="H30" s="66"/>
      <c r="I30" s="66" t="s">
        <v>27</v>
      </c>
      <c r="J30" s="66"/>
      <c r="K30" s="66"/>
      <c r="L30" s="66"/>
      <c r="M30" s="66"/>
      <c r="N30" s="46" t="s">
        <v>55</v>
      </c>
      <c r="O30" s="46" t="s">
        <v>26</v>
      </c>
    </row>
    <row r="31" spans="1:17" x14ac:dyDescent="0.25">
      <c r="A31" s="7" t="s">
        <v>0</v>
      </c>
      <c r="B31" s="7" t="s">
        <v>12</v>
      </c>
      <c r="C31" s="6" t="s">
        <v>25</v>
      </c>
      <c r="D31" s="2" t="s">
        <v>8</v>
      </c>
      <c r="E31" s="2" t="s">
        <v>9</v>
      </c>
      <c r="F31" s="2" t="s">
        <v>52</v>
      </c>
      <c r="G31" s="2" t="s">
        <v>10</v>
      </c>
      <c r="H31" s="6" t="s">
        <v>11</v>
      </c>
      <c r="I31" s="2" t="s">
        <v>8</v>
      </c>
      <c r="J31" s="2" t="s">
        <v>9</v>
      </c>
      <c r="K31" s="2" t="s">
        <v>52</v>
      </c>
      <c r="L31" s="2" t="s">
        <v>10</v>
      </c>
      <c r="M31" s="6" t="s">
        <v>28</v>
      </c>
      <c r="N31" s="7" t="s">
        <v>13</v>
      </c>
      <c r="O31" s="6" t="s">
        <v>75</v>
      </c>
    </row>
    <row r="32" spans="1:17" x14ac:dyDescent="0.25">
      <c r="A32" s="60" t="s">
        <v>74</v>
      </c>
      <c r="B32" s="63">
        <f>C32+H32</f>
        <v>47047.116999999998</v>
      </c>
      <c r="C32" s="62">
        <f>22320+19200</f>
        <v>41520</v>
      </c>
      <c r="D32" s="19" t="s">
        <v>82</v>
      </c>
      <c r="E32" s="43">
        <v>16.173611111111111</v>
      </c>
      <c r="F32" s="2">
        <f>30+8</f>
        <v>38</v>
      </c>
      <c r="G32" s="3">
        <f t="shared" ref="G32:G40" si="5">E32*F32</f>
        <v>614.59722222222217</v>
      </c>
      <c r="H32" s="62">
        <f>SUM(G32:G49)</f>
        <v>5527.1170000000002</v>
      </c>
      <c r="I32" s="3"/>
      <c r="J32" s="3"/>
      <c r="K32" s="3"/>
      <c r="L32" s="3">
        <v>0</v>
      </c>
      <c r="M32" s="62">
        <f>SUM(L32:L40)</f>
        <v>0</v>
      </c>
      <c r="N32" s="63">
        <f>5660*2</f>
        <v>11320</v>
      </c>
      <c r="O32" s="63">
        <f>3200*2</f>
        <v>6400</v>
      </c>
    </row>
    <row r="33" spans="1:15" x14ac:dyDescent="0.25">
      <c r="A33" s="60"/>
      <c r="B33" s="63"/>
      <c r="C33" s="62"/>
      <c r="D33" s="19" t="s">
        <v>83</v>
      </c>
      <c r="E33" s="43">
        <v>14.270833333333332</v>
      </c>
      <c r="F33" s="2">
        <f>8+29</f>
        <v>37</v>
      </c>
      <c r="G33" s="3">
        <f t="shared" si="5"/>
        <v>528.02083333333326</v>
      </c>
      <c r="H33" s="62"/>
      <c r="I33" s="3"/>
      <c r="J33" s="3"/>
      <c r="K33" s="3"/>
      <c r="L33" s="3">
        <v>0</v>
      </c>
      <c r="M33" s="62"/>
      <c r="N33" s="63"/>
      <c r="O33" s="63"/>
    </row>
    <row r="34" spans="1:15" x14ac:dyDescent="0.25">
      <c r="A34" s="60"/>
      <c r="B34" s="63"/>
      <c r="C34" s="62"/>
      <c r="D34" s="19" t="s">
        <v>84</v>
      </c>
      <c r="E34" s="43">
        <v>12.1875</v>
      </c>
      <c r="F34" s="2">
        <f>36+36</f>
        <v>72</v>
      </c>
      <c r="G34" s="3">
        <f t="shared" si="5"/>
        <v>877.5</v>
      </c>
      <c r="H34" s="62"/>
      <c r="I34" s="3"/>
      <c r="J34" s="3"/>
      <c r="K34" s="3"/>
      <c r="L34" s="3">
        <v>0</v>
      </c>
      <c r="M34" s="62"/>
      <c r="N34" s="63"/>
      <c r="O34" s="63"/>
    </row>
    <row r="35" spans="1:15" x14ac:dyDescent="0.25">
      <c r="A35" s="60"/>
      <c r="B35" s="63"/>
      <c r="C35" s="62"/>
      <c r="D35" s="19" t="s">
        <v>85</v>
      </c>
      <c r="E35" s="43">
        <v>14.0625</v>
      </c>
      <c r="F35" s="2">
        <f>47+44</f>
        <v>91</v>
      </c>
      <c r="G35" s="3">
        <f t="shared" si="5"/>
        <v>1279.6875</v>
      </c>
      <c r="H35" s="62"/>
      <c r="I35" s="3"/>
      <c r="J35" s="3"/>
      <c r="K35" s="3"/>
      <c r="L35" s="3">
        <v>0</v>
      </c>
      <c r="M35" s="62"/>
      <c r="N35" s="63"/>
      <c r="O35" s="63"/>
    </row>
    <row r="36" spans="1:15" x14ac:dyDescent="0.25">
      <c r="A36" s="60"/>
      <c r="B36" s="63"/>
      <c r="C36" s="62"/>
      <c r="D36" s="19" t="s">
        <v>86</v>
      </c>
      <c r="E36" s="43">
        <v>5.6875</v>
      </c>
      <c r="F36" s="2">
        <f>24+24</f>
        <v>48</v>
      </c>
      <c r="G36" s="3">
        <f t="shared" si="5"/>
        <v>273</v>
      </c>
      <c r="H36" s="62"/>
      <c r="I36" s="3"/>
      <c r="J36" s="3"/>
      <c r="K36" s="3"/>
      <c r="L36" s="3">
        <v>0</v>
      </c>
      <c r="M36" s="62"/>
      <c r="N36" s="63"/>
      <c r="O36" s="63"/>
    </row>
    <row r="37" spans="1:15" x14ac:dyDescent="0.25">
      <c r="A37" s="60"/>
      <c r="B37" s="63"/>
      <c r="C37" s="62"/>
      <c r="D37" s="19" t="s">
        <v>87</v>
      </c>
      <c r="E37" s="43">
        <v>11.145833333333332</v>
      </c>
      <c r="F37" s="2">
        <f>4+1</f>
        <v>5</v>
      </c>
      <c r="G37" s="3">
        <f t="shared" si="5"/>
        <v>55.729166666666657</v>
      </c>
      <c r="H37" s="62"/>
      <c r="I37" s="22"/>
      <c r="J37" s="22"/>
      <c r="K37" s="22"/>
      <c r="L37" s="3">
        <v>0</v>
      </c>
      <c r="M37" s="62"/>
      <c r="N37" s="63"/>
      <c r="O37" s="63"/>
    </row>
    <row r="38" spans="1:15" x14ac:dyDescent="0.25">
      <c r="A38" s="60"/>
      <c r="B38" s="63"/>
      <c r="C38" s="62"/>
      <c r="D38" s="19" t="s">
        <v>104</v>
      </c>
      <c r="E38" s="43">
        <v>22.3125</v>
      </c>
      <c r="F38" s="2">
        <v>1</v>
      </c>
      <c r="G38" s="3">
        <f t="shared" si="5"/>
        <v>22.3125</v>
      </c>
      <c r="H38" s="62"/>
      <c r="I38" s="22"/>
      <c r="J38" s="22"/>
      <c r="K38" s="22"/>
      <c r="L38" s="3">
        <v>0</v>
      </c>
      <c r="M38" s="62"/>
      <c r="N38" s="63"/>
      <c r="O38" s="63"/>
    </row>
    <row r="39" spans="1:15" x14ac:dyDescent="0.25">
      <c r="A39" s="60"/>
      <c r="B39" s="63"/>
      <c r="C39" s="62"/>
      <c r="D39" s="19" t="s">
        <v>105</v>
      </c>
      <c r="E39" s="43">
        <v>12.5</v>
      </c>
      <c r="F39" s="2">
        <f>4+4</f>
        <v>8</v>
      </c>
      <c r="G39" s="3">
        <f t="shared" si="5"/>
        <v>100</v>
      </c>
      <c r="H39" s="62"/>
      <c r="I39" s="22"/>
      <c r="J39" s="22"/>
      <c r="K39" s="22"/>
      <c r="L39" s="3">
        <v>0</v>
      </c>
      <c r="M39" s="62"/>
      <c r="N39" s="63"/>
      <c r="O39" s="63"/>
    </row>
    <row r="40" spans="1:15" x14ac:dyDescent="0.25">
      <c r="A40" s="60"/>
      <c r="B40" s="63"/>
      <c r="C40" s="62"/>
      <c r="D40" s="19" t="s">
        <v>108</v>
      </c>
      <c r="E40" s="43">
        <v>16.406249999999961</v>
      </c>
      <c r="F40" s="2">
        <f>4+8</f>
        <v>12</v>
      </c>
      <c r="G40" s="3">
        <f t="shared" si="5"/>
        <v>196.87499999999955</v>
      </c>
      <c r="H40" s="62"/>
      <c r="I40" s="22"/>
      <c r="J40" s="22"/>
      <c r="K40" s="22"/>
      <c r="L40" s="3">
        <v>0</v>
      </c>
      <c r="M40" s="62"/>
      <c r="N40" s="63"/>
      <c r="O40" s="63"/>
    </row>
    <row r="41" spans="1:15" x14ac:dyDescent="0.25">
      <c r="A41" s="60"/>
      <c r="B41" s="63"/>
      <c r="C41" s="62"/>
      <c r="D41" s="19" t="s">
        <v>113</v>
      </c>
      <c r="E41" s="43">
        <v>26.562500000000004</v>
      </c>
      <c r="F41" s="2">
        <v>13</v>
      </c>
      <c r="G41" s="44">
        <f>E41*F41</f>
        <v>345.31250000000006</v>
      </c>
      <c r="H41" s="62"/>
      <c r="I41" s="2"/>
      <c r="J41" s="2"/>
      <c r="K41" s="2"/>
      <c r="L41" s="3">
        <v>0</v>
      </c>
      <c r="M41" s="62"/>
      <c r="N41" s="63"/>
      <c r="O41" s="63"/>
    </row>
    <row r="42" spans="1:15" x14ac:dyDescent="0.25">
      <c r="A42" s="60"/>
      <c r="B42" s="63"/>
      <c r="C42" s="62"/>
      <c r="D42" s="19" t="s">
        <v>114</v>
      </c>
      <c r="E42" s="43">
        <v>39.58506944444445</v>
      </c>
      <c r="F42" s="2">
        <v>8</v>
      </c>
      <c r="G42" s="44">
        <f>E42*F42</f>
        <v>316.6805555555556</v>
      </c>
      <c r="H42" s="62"/>
      <c r="I42" s="2"/>
      <c r="J42" s="2"/>
      <c r="K42" s="2"/>
      <c r="L42" s="3">
        <v>0</v>
      </c>
      <c r="M42" s="62"/>
      <c r="N42" s="63"/>
      <c r="O42" s="63"/>
    </row>
    <row r="43" spans="1:15" x14ac:dyDescent="0.25">
      <c r="A43" s="60"/>
      <c r="B43" s="63"/>
      <c r="C43" s="62"/>
      <c r="D43" s="19" t="s">
        <v>115</v>
      </c>
      <c r="E43" s="43">
        <v>14.0625</v>
      </c>
      <c r="F43" s="2">
        <v>4</v>
      </c>
      <c r="G43" s="44">
        <f t="shared" ref="G43:G49" si="6">E43*F43</f>
        <v>56.25</v>
      </c>
      <c r="H43" s="62"/>
      <c r="I43" s="2"/>
      <c r="J43" s="2"/>
      <c r="K43" s="2"/>
      <c r="L43" s="3">
        <v>0</v>
      </c>
      <c r="M43" s="62"/>
      <c r="N43" s="63"/>
      <c r="O43" s="63"/>
    </row>
    <row r="44" spans="1:15" x14ac:dyDescent="0.25">
      <c r="A44" s="60"/>
      <c r="B44" s="63"/>
      <c r="C44" s="62"/>
      <c r="D44" s="19" t="s">
        <v>106</v>
      </c>
      <c r="E44" s="43">
        <v>5.7291666666666661</v>
      </c>
      <c r="F44" s="2">
        <v>4</v>
      </c>
      <c r="G44" s="44">
        <f t="shared" si="6"/>
        <v>22.916666666666664</v>
      </c>
      <c r="H44" s="62"/>
      <c r="I44" s="2"/>
      <c r="J44" s="2"/>
      <c r="K44" s="2"/>
      <c r="L44" s="3">
        <v>0</v>
      </c>
      <c r="M44" s="62"/>
      <c r="N44" s="63"/>
      <c r="O44" s="63"/>
    </row>
    <row r="45" spans="1:15" x14ac:dyDescent="0.25">
      <c r="A45" s="60"/>
      <c r="B45" s="63"/>
      <c r="C45" s="62"/>
      <c r="D45" s="19" t="s">
        <v>107</v>
      </c>
      <c r="E45" s="43">
        <v>12.368055555555554</v>
      </c>
      <c r="F45" s="2">
        <f>6+13</f>
        <v>19</v>
      </c>
      <c r="G45" s="44">
        <f t="shared" si="6"/>
        <v>234.99305555555551</v>
      </c>
      <c r="H45" s="62"/>
      <c r="I45" s="2"/>
      <c r="J45" s="2"/>
      <c r="K45" s="2"/>
      <c r="L45" s="3">
        <v>0</v>
      </c>
      <c r="M45" s="62"/>
      <c r="N45" s="63"/>
      <c r="O45" s="63"/>
    </row>
    <row r="46" spans="1:15" x14ac:dyDescent="0.25">
      <c r="A46" s="60"/>
      <c r="B46" s="63"/>
      <c r="C46" s="62"/>
      <c r="D46" s="19" t="s">
        <v>110</v>
      </c>
      <c r="E46" s="43">
        <v>27.65625</v>
      </c>
      <c r="F46" s="2">
        <f>4+4+4</f>
        <v>12</v>
      </c>
      <c r="G46" s="44">
        <f t="shared" si="6"/>
        <v>331.875</v>
      </c>
      <c r="H46" s="62"/>
      <c r="I46" s="2"/>
      <c r="J46" s="2"/>
      <c r="K46" s="2"/>
      <c r="L46" s="3">
        <v>0</v>
      </c>
      <c r="M46" s="62"/>
      <c r="N46" s="63"/>
      <c r="O46" s="63"/>
    </row>
    <row r="47" spans="1:15" x14ac:dyDescent="0.25">
      <c r="A47" s="60"/>
      <c r="B47" s="63"/>
      <c r="C47" s="62"/>
      <c r="D47" s="19" t="s">
        <v>116</v>
      </c>
      <c r="E47" s="43">
        <v>18.28125</v>
      </c>
      <c r="F47" s="2">
        <v>8</v>
      </c>
      <c r="G47" s="44">
        <f t="shared" si="6"/>
        <v>146.25</v>
      </c>
      <c r="H47" s="62"/>
      <c r="I47" s="2"/>
      <c r="J47" s="2"/>
      <c r="K47" s="2"/>
      <c r="L47" s="3">
        <v>0</v>
      </c>
      <c r="M47" s="62"/>
      <c r="N47" s="63"/>
      <c r="O47" s="63"/>
    </row>
    <row r="48" spans="1:15" x14ac:dyDescent="0.25">
      <c r="A48" s="60"/>
      <c r="B48" s="63"/>
      <c r="C48" s="62"/>
      <c r="D48" s="19" t="s">
        <v>117</v>
      </c>
      <c r="E48" s="43">
        <v>5.5208333333333339</v>
      </c>
      <c r="F48" s="2">
        <v>6</v>
      </c>
      <c r="G48" s="44">
        <f t="shared" si="6"/>
        <v>33.125</v>
      </c>
      <c r="H48" s="62"/>
      <c r="I48" s="2"/>
      <c r="J48" s="2"/>
      <c r="K48" s="2"/>
      <c r="L48" s="3">
        <v>0</v>
      </c>
      <c r="M48" s="62"/>
      <c r="N48" s="63"/>
      <c r="O48" s="63"/>
    </row>
    <row r="49" spans="1:15" x14ac:dyDescent="0.25">
      <c r="A49" s="60"/>
      <c r="B49" s="63"/>
      <c r="C49" s="62"/>
      <c r="D49" s="19" t="s">
        <v>119</v>
      </c>
      <c r="E49" s="43">
        <f>7.666*6</f>
        <v>45.996000000000002</v>
      </c>
      <c r="F49" s="45">
        <v>2</v>
      </c>
      <c r="G49" s="44">
        <f t="shared" si="6"/>
        <v>91.992000000000004</v>
      </c>
      <c r="H49" s="62"/>
      <c r="I49" s="2"/>
      <c r="J49" s="2"/>
      <c r="K49" s="2"/>
      <c r="L49" s="3">
        <v>0</v>
      </c>
      <c r="M49" s="62"/>
      <c r="N49" s="63"/>
      <c r="O49" s="63"/>
    </row>
    <row r="50" spans="1:15" x14ac:dyDescent="0.25">
      <c r="D50" s="1"/>
      <c r="E50" s="39"/>
      <c r="G50" s="42"/>
    </row>
    <row r="51" spans="1:15" x14ac:dyDescent="0.25">
      <c r="A51" s="47" t="s">
        <v>120</v>
      </c>
      <c r="B51" s="47" t="s">
        <v>121</v>
      </c>
      <c r="C51" s="54" t="s">
        <v>15</v>
      </c>
      <c r="D51" s="66" t="s">
        <v>41</v>
      </c>
      <c r="E51" s="66"/>
      <c r="F51" s="66"/>
      <c r="G51" s="66"/>
      <c r="H51" s="66"/>
      <c r="I51" s="66" t="s">
        <v>27</v>
      </c>
      <c r="J51" s="66"/>
      <c r="K51" s="66"/>
      <c r="L51" s="66"/>
      <c r="M51" s="66"/>
      <c r="N51" s="46" t="s">
        <v>56</v>
      </c>
      <c r="O51" s="46" t="s">
        <v>26</v>
      </c>
    </row>
    <row r="52" spans="1:15" x14ac:dyDescent="0.25">
      <c r="A52" s="20" t="s">
        <v>0</v>
      </c>
      <c r="B52" s="20" t="s">
        <v>12</v>
      </c>
      <c r="C52" s="19" t="s">
        <v>25</v>
      </c>
      <c r="D52" s="2" t="s">
        <v>8</v>
      </c>
      <c r="E52" s="2" t="s">
        <v>9</v>
      </c>
      <c r="F52" s="2" t="s">
        <v>52</v>
      </c>
      <c r="G52" s="2" t="s">
        <v>10</v>
      </c>
      <c r="H52" s="19" t="s">
        <v>11</v>
      </c>
      <c r="I52" s="2" t="s">
        <v>8</v>
      </c>
      <c r="J52" s="2" t="s">
        <v>9</v>
      </c>
      <c r="K52" s="2" t="s">
        <v>52</v>
      </c>
      <c r="L52" s="2" t="s">
        <v>10</v>
      </c>
      <c r="M52" s="19" t="s">
        <v>28</v>
      </c>
      <c r="N52" s="20" t="s">
        <v>54</v>
      </c>
      <c r="O52" s="19"/>
    </row>
    <row r="53" spans="1:15" x14ac:dyDescent="0.25">
      <c r="A53" s="60" t="s">
        <v>122</v>
      </c>
      <c r="B53" s="61">
        <f>C53+H53+M53</f>
        <v>25762.6</v>
      </c>
      <c r="C53" s="61">
        <v>21900</v>
      </c>
      <c r="D53" s="3" t="s">
        <v>139</v>
      </c>
      <c r="E53" s="3">
        <v>10</v>
      </c>
      <c r="F53" s="3">
        <v>164</v>
      </c>
      <c r="G53" s="44">
        <f t="shared" ref="G53:G56" si="7">E53*F53</f>
        <v>1640</v>
      </c>
      <c r="H53" s="62">
        <f>SUM(G53:G56)</f>
        <v>2075</v>
      </c>
      <c r="I53" s="3" t="s">
        <v>143</v>
      </c>
      <c r="J53" s="3">
        <v>39.44</v>
      </c>
      <c r="K53" s="3">
        <v>40</v>
      </c>
      <c r="L53" s="44">
        <f t="shared" ref="L53:L54" si="8">J53*K53</f>
        <v>1577.6</v>
      </c>
      <c r="M53" s="62">
        <f>SUM(L53:L56)</f>
        <v>1787.6</v>
      </c>
      <c r="N53" s="63">
        <f>3200*5</f>
        <v>16000</v>
      </c>
      <c r="O53" s="63"/>
    </row>
    <row r="54" spans="1:15" x14ac:dyDescent="0.25">
      <c r="A54" s="60"/>
      <c r="B54" s="61"/>
      <c r="C54" s="61"/>
      <c r="D54" s="3" t="s">
        <v>140</v>
      </c>
      <c r="E54" s="3">
        <v>8</v>
      </c>
      <c r="F54" s="3">
        <v>20</v>
      </c>
      <c r="G54" s="44">
        <f t="shared" ref="G54:G55" si="9">E54*F54</f>
        <v>160</v>
      </c>
      <c r="H54" s="62"/>
      <c r="I54" s="3" t="s">
        <v>142</v>
      </c>
      <c r="J54" s="3">
        <v>21</v>
      </c>
      <c r="K54" s="3">
        <v>10</v>
      </c>
      <c r="L54" s="44">
        <f t="shared" si="8"/>
        <v>210</v>
      </c>
      <c r="M54" s="62"/>
      <c r="N54" s="63"/>
      <c r="O54" s="63"/>
    </row>
    <row r="55" spans="1:15" x14ac:dyDescent="0.25">
      <c r="A55" s="60"/>
      <c r="B55" s="61"/>
      <c r="C55" s="61"/>
      <c r="D55" s="3" t="s">
        <v>141</v>
      </c>
      <c r="E55" s="3">
        <v>6</v>
      </c>
      <c r="F55" s="3">
        <v>20</v>
      </c>
      <c r="G55" s="44">
        <f t="shared" si="9"/>
        <v>120</v>
      </c>
      <c r="H55" s="62"/>
      <c r="I55" s="3"/>
      <c r="J55" s="3"/>
      <c r="K55" s="3"/>
      <c r="L55" s="3"/>
      <c r="M55" s="62"/>
      <c r="N55" s="63"/>
      <c r="O55" s="63"/>
    </row>
    <row r="56" spans="1:15" x14ac:dyDescent="0.25">
      <c r="A56" s="60"/>
      <c r="B56" s="61"/>
      <c r="C56" s="61"/>
      <c r="D56" s="3" t="s">
        <v>138</v>
      </c>
      <c r="E56" s="3">
        <v>31</v>
      </c>
      <c r="F56" s="3">
        <v>5</v>
      </c>
      <c r="G56" s="44">
        <f t="shared" si="7"/>
        <v>155</v>
      </c>
      <c r="H56" s="62"/>
      <c r="I56" s="3"/>
      <c r="J56" s="3"/>
      <c r="K56" s="3"/>
      <c r="L56" s="3"/>
      <c r="M56" s="62"/>
      <c r="N56" s="63"/>
      <c r="O56" s="63"/>
    </row>
    <row r="57" spans="1:15" x14ac:dyDescent="0.25">
      <c r="A57" s="48"/>
      <c r="B57" s="48"/>
      <c r="C57" s="51"/>
      <c r="D57" s="52"/>
      <c r="E57" s="52"/>
      <c r="F57" s="52"/>
      <c r="G57" s="52"/>
      <c r="H57" s="51"/>
      <c r="I57" s="52"/>
      <c r="J57" s="52"/>
      <c r="K57" s="52"/>
      <c r="L57" s="52"/>
      <c r="M57" s="51"/>
      <c r="N57" s="48"/>
      <c r="O57" s="51"/>
    </row>
    <row r="58" spans="1:15" x14ac:dyDescent="0.25">
      <c r="A58" s="47"/>
      <c r="B58" s="47" t="s">
        <v>123</v>
      </c>
      <c r="C58" s="55" t="s">
        <v>125</v>
      </c>
      <c r="D58" s="66" t="s">
        <v>124</v>
      </c>
      <c r="E58" s="66"/>
      <c r="F58" s="66"/>
      <c r="G58" s="66"/>
      <c r="H58" s="66"/>
      <c r="I58" s="66" t="s">
        <v>27</v>
      </c>
      <c r="J58" s="66"/>
      <c r="K58" s="66"/>
      <c r="L58" s="66"/>
      <c r="M58" s="66"/>
      <c r="N58" s="46" t="s">
        <v>55</v>
      </c>
      <c r="O58" s="46" t="s">
        <v>26</v>
      </c>
    </row>
    <row r="59" spans="1:15" x14ac:dyDescent="0.25">
      <c r="A59" s="31" t="s">
        <v>0</v>
      </c>
      <c r="B59" s="31" t="s">
        <v>12</v>
      </c>
      <c r="C59" s="19" t="s">
        <v>25</v>
      </c>
      <c r="D59" s="2" t="s">
        <v>8</v>
      </c>
      <c r="E59" s="2" t="s">
        <v>9</v>
      </c>
      <c r="F59" s="2" t="s">
        <v>52</v>
      </c>
      <c r="G59" s="2" t="s">
        <v>10</v>
      </c>
      <c r="H59" s="19" t="s">
        <v>11</v>
      </c>
      <c r="I59" s="2" t="s">
        <v>8</v>
      </c>
      <c r="J59" s="2" t="s">
        <v>9</v>
      </c>
      <c r="K59" s="2" t="s">
        <v>52</v>
      </c>
      <c r="L59" s="2" t="s">
        <v>10</v>
      </c>
      <c r="M59" s="19" t="s">
        <v>28</v>
      </c>
      <c r="N59" s="31" t="s">
        <v>54</v>
      </c>
      <c r="O59" s="19"/>
    </row>
    <row r="60" spans="1:15" x14ac:dyDescent="0.25">
      <c r="A60" s="31" t="s">
        <v>126</v>
      </c>
      <c r="B60" s="33">
        <v>33601</v>
      </c>
      <c r="C60" s="32">
        <v>31931</v>
      </c>
      <c r="D60" s="3"/>
      <c r="E60" s="32">
        <v>1670</v>
      </c>
      <c r="F60" s="3">
        <v>1</v>
      </c>
      <c r="G60" s="32">
        <v>1670</v>
      </c>
      <c r="H60" s="32">
        <v>1670</v>
      </c>
      <c r="I60" s="3"/>
      <c r="J60" s="3"/>
      <c r="K60" s="3"/>
      <c r="L60" s="3">
        <v>0</v>
      </c>
      <c r="M60" s="32">
        <v>0</v>
      </c>
      <c r="N60" s="30">
        <v>16000</v>
      </c>
      <c r="O60" s="30"/>
    </row>
  </sheetData>
  <mergeCells count="56">
    <mergeCell ref="N27:N28"/>
    <mergeCell ref="O27:O28"/>
    <mergeCell ref="D30:H30"/>
    <mergeCell ref="I30:M30"/>
    <mergeCell ref="D58:H58"/>
    <mergeCell ref="I58:M58"/>
    <mergeCell ref="N53:N56"/>
    <mergeCell ref="O53:O56"/>
    <mergeCell ref="D51:H51"/>
    <mergeCell ref="I51:M51"/>
    <mergeCell ref="I25:M25"/>
    <mergeCell ref="A27:A28"/>
    <mergeCell ref="B27:B28"/>
    <mergeCell ref="C27:C28"/>
    <mergeCell ref="H27:H28"/>
    <mergeCell ref="D1:H1"/>
    <mergeCell ref="A3:A5"/>
    <mergeCell ref="O3:O5"/>
    <mergeCell ref="B3:B5"/>
    <mergeCell ref="C3:C5"/>
    <mergeCell ref="H3:H5"/>
    <mergeCell ref="I1:M1"/>
    <mergeCell ref="M3:M5"/>
    <mergeCell ref="N3:N5"/>
    <mergeCell ref="D7:H7"/>
    <mergeCell ref="C9:C18"/>
    <mergeCell ref="B9:B18"/>
    <mergeCell ref="A9:A18"/>
    <mergeCell ref="I7:M7"/>
    <mergeCell ref="H9:H18"/>
    <mergeCell ref="N9:N18"/>
    <mergeCell ref="O9:O18"/>
    <mergeCell ref="M9:M18"/>
    <mergeCell ref="I20:M20"/>
    <mergeCell ref="D20:H20"/>
    <mergeCell ref="A32:A49"/>
    <mergeCell ref="M32:M49"/>
    <mergeCell ref="N32:N49"/>
    <mergeCell ref="O32:O49"/>
    <mergeCell ref="M22:M23"/>
    <mergeCell ref="M27:M28"/>
    <mergeCell ref="H32:H49"/>
    <mergeCell ref="C32:C49"/>
    <mergeCell ref="B32:B49"/>
    <mergeCell ref="O22:O23"/>
    <mergeCell ref="A22:A23"/>
    <mergeCell ref="B22:B23"/>
    <mergeCell ref="C22:C23"/>
    <mergeCell ref="H22:H23"/>
    <mergeCell ref="N22:N23"/>
    <mergeCell ref="D25:H25"/>
    <mergeCell ref="A53:A56"/>
    <mergeCell ref="B53:B56"/>
    <mergeCell ref="C53:C56"/>
    <mergeCell ref="H53:H56"/>
    <mergeCell ref="M53:M56"/>
  </mergeCells>
  <pageMargins left="0.7" right="0.7" top="0.75" bottom="0.75" header="0.3" footer="0.3"/>
  <pageSetup paperSize="0" orientation="portrait" horizontalDpi="0" verticalDpi="0" copies="0"/>
  <ignoredErrors>
    <ignoredError sqref="M32" formulaRange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9855-D119-4B31-8D5A-3F5F01CBB84F}">
  <dimension ref="A1:F92"/>
  <sheetViews>
    <sheetView topLeftCell="A54" workbookViewId="0">
      <selection activeCell="C85" sqref="C85"/>
    </sheetView>
  </sheetViews>
  <sheetFormatPr defaultRowHeight="15" x14ac:dyDescent="0.25"/>
  <cols>
    <col min="1" max="1" width="18" customWidth="1"/>
    <col min="2" max="2" width="22.42578125" customWidth="1"/>
    <col min="3" max="6" width="18" customWidth="1"/>
    <col min="7" max="7" width="18.7109375" customWidth="1"/>
  </cols>
  <sheetData>
    <row r="1" spans="1:6" x14ac:dyDescent="0.25">
      <c r="A1" s="23" t="s">
        <v>51</v>
      </c>
    </row>
    <row r="2" spans="1:6" x14ac:dyDescent="0.25">
      <c r="A2" s="21" t="s">
        <v>44</v>
      </c>
    </row>
    <row r="3" spans="1:6" x14ac:dyDescent="0.25">
      <c r="A3" s="21" t="s">
        <v>45</v>
      </c>
    </row>
    <row r="4" spans="1:6" x14ac:dyDescent="0.25">
      <c r="A4" s="21" t="s">
        <v>46</v>
      </c>
    </row>
    <row r="5" spans="1:6" x14ac:dyDescent="0.25">
      <c r="A5" s="21" t="s">
        <v>47</v>
      </c>
    </row>
    <row r="6" spans="1:6" x14ac:dyDescent="0.25">
      <c r="A6" s="21" t="s">
        <v>48</v>
      </c>
    </row>
    <row r="7" spans="1:6" x14ac:dyDescent="0.25">
      <c r="A7" s="21" t="s">
        <v>49</v>
      </c>
    </row>
    <row r="8" spans="1:6" x14ac:dyDescent="0.25">
      <c r="A8" s="21" t="s">
        <v>50</v>
      </c>
    </row>
    <row r="10" spans="1:6" ht="15.75" thickBot="1" x14ac:dyDescent="0.3">
      <c r="A10" s="24" t="s">
        <v>3</v>
      </c>
    </row>
    <row r="11" spans="1:6" ht="15.75" thickBot="1" x14ac:dyDescent="0.3">
      <c r="A11" s="10"/>
      <c r="B11" s="11" t="s">
        <v>31</v>
      </c>
      <c r="C11" s="11" t="s">
        <v>32</v>
      </c>
      <c r="E11" s="15"/>
      <c r="F11" s="16" t="s">
        <v>37</v>
      </c>
    </row>
    <row r="12" spans="1:6" ht="15.75" thickBot="1" x14ac:dyDescent="0.3">
      <c r="A12" s="12" t="s">
        <v>33</v>
      </c>
      <c r="B12" s="13">
        <v>1049</v>
      </c>
      <c r="C12" s="14"/>
      <c r="E12" s="17" t="s">
        <v>38</v>
      </c>
      <c r="F12" s="18">
        <v>608</v>
      </c>
    </row>
    <row r="13" spans="1:6" ht="33.75" customHeight="1" thickBot="1" x14ac:dyDescent="0.3">
      <c r="A13" s="12" t="s">
        <v>34</v>
      </c>
      <c r="B13" s="13">
        <v>609</v>
      </c>
      <c r="C13" s="14"/>
      <c r="E13" s="17" t="s">
        <v>39</v>
      </c>
      <c r="F13" s="18">
        <v>3200</v>
      </c>
    </row>
    <row r="14" spans="1:6" ht="30.75" thickBot="1" x14ac:dyDescent="0.3">
      <c r="A14" s="12" t="s">
        <v>35</v>
      </c>
      <c r="B14" s="13">
        <v>3381</v>
      </c>
      <c r="C14" s="13">
        <v>5765</v>
      </c>
    </row>
    <row r="15" spans="1:6" ht="30.75" thickBot="1" x14ac:dyDescent="0.3">
      <c r="A15" s="12" t="s">
        <v>36</v>
      </c>
      <c r="B15" s="13">
        <v>2422</v>
      </c>
      <c r="C15" s="13">
        <v>4855</v>
      </c>
    </row>
    <row r="18" spans="1:1" x14ac:dyDescent="0.25">
      <c r="A18" s="25" t="s">
        <v>60</v>
      </c>
    </row>
    <row r="31" spans="1:1" x14ac:dyDescent="0.25">
      <c r="A31" s="8" t="s">
        <v>53</v>
      </c>
    </row>
    <row r="33" spans="1:6" x14ac:dyDescent="0.25">
      <c r="A33" s="24" t="s">
        <v>57</v>
      </c>
    </row>
    <row r="34" spans="1:6" x14ac:dyDescent="0.25">
      <c r="A34" s="28" t="s">
        <v>61</v>
      </c>
      <c r="B34" s="28"/>
      <c r="C34" s="29" t="s">
        <v>62</v>
      </c>
    </row>
    <row r="35" spans="1:6" x14ac:dyDescent="0.25">
      <c r="A35" s="67">
        <v>104</v>
      </c>
      <c r="B35" s="26" t="s">
        <v>58</v>
      </c>
      <c r="C35" s="27">
        <v>22320</v>
      </c>
    </row>
    <row r="36" spans="1:6" x14ac:dyDescent="0.25">
      <c r="A36" s="68"/>
      <c r="B36" s="26" t="s">
        <v>59</v>
      </c>
      <c r="C36" s="27">
        <v>5660</v>
      </c>
    </row>
    <row r="37" spans="1:6" x14ac:dyDescent="0.25">
      <c r="A37" s="69"/>
      <c r="B37" s="26" t="s">
        <v>63</v>
      </c>
      <c r="C37" s="27">
        <v>3200</v>
      </c>
    </row>
    <row r="38" spans="1:6" x14ac:dyDescent="0.25">
      <c r="A38" s="67">
        <v>110</v>
      </c>
      <c r="B38" s="26" t="s">
        <v>58</v>
      </c>
      <c r="C38" s="27">
        <v>19200</v>
      </c>
    </row>
    <row r="39" spans="1:6" x14ac:dyDescent="0.25">
      <c r="A39" s="68"/>
      <c r="B39" s="26" t="s">
        <v>59</v>
      </c>
      <c r="C39" s="27">
        <v>5660</v>
      </c>
    </row>
    <row r="40" spans="1:6" x14ac:dyDescent="0.25">
      <c r="A40" s="69"/>
      <c r="B40" s="26" t="s">
        <v>63</v>
      </c>
      <c r="C40" s="27">
        <v>3200</v>
      </c>
    </row>
    <row r="41" spans="1:6" x14ac:dyDescent="0.25">
      <c r="A41" t="s">
        <v>112</v>
      </c>
      <c r="D41" t="s">
        <v>144</v>
      </c>
      <c r="E41" t="s">
        <v>145</v>
      </c>
      <c r="F41" t="s">
        <v>146</v>
      </c>
    </row>
    <row r="42" spans="1:6" x14ac:dyDescent="0.25">
      <c r="A42" s="41" t="s">
        <v>80</v>
      </c>
      <c r="B42" s="26" t="s">
        <v>82</v>
      </c>
      <c r="C42" s="27">
        <v>8</v>
      </c>
      <c r="D42" s="38">
        <f>8.5/12+5</f>
        <v>5.708333333333333</v>
      </c>
      <c r="E42" s="38">
        <f>10/12+2</f>
        <v>2.8333333333333335</v>
      </c>
      <c r="F42" s="38">
        <f t="shared" ref="F42:F47" si="0">D42*E42</f>
        <v>16.173611111111111</v>
      </c>
    </row>
    <row r="43" spans="1:6" x14ac:dyDescent="0.25">
      <c r="A43" s="37" t="s">
        <v>88</v>
      </c>
      <c r="B43" s="26" t="s">
        <v>83</v>
      </c>
      <c r="C43" s="27">
        <v>29</v>
      </c>
      <c r="D43" s="38">
        <f>8.5/12+5</f>
        <v>5.708333333333333</v>
      </c>
      <c r="E43">
        <f>6/12+2</f>
        <v>2.5</v>
      </c>
      <c r="F43" s="38">
        <f t="shared" si="0"/>
        <v>14.270833333333332</v>
      </c>
    </row>
    <row r="44" spans="1:6" x14ac:dyDescent="0.25">
      <c r="A44" s="37" t="s">
        <v>89</v>
      </c>
      <c r="B44" s="26" t="s">
        <v>84</v>
      </c>
      <c r="C44" s="27">
        <v>36</v>
      </c>
      <c r="D44" s="38">
        <f>7.5/12+5</f>
        <v>5.625</v>
      </c>
      <c r="E44" s="38">
        <f>2/12+2</f>
        <v>2.1666666666666665</v>
      </c>
      <c r="F44" s="38">
        <f t="shared" si="0"/>
        <v>12.1875</v>
      </c>
    </row>
    <row r="45" spans="1:6" x14ac:dyDescent="0.25">
      <c r="A45" s="37" t="s">
        <v>90</v>
      </c>
      <c r="B45" s="26" t="s">
        <v>85</v>
      </c>
      <c r="C45" s="27">
        <v>44</v>
      </c>
      <c r="D45" s="38">
        <f>7.5/12+5</f>
        <v>5.625</v>
      </c>
      <c r="E45">
        <f>6/12+2</f>
        <v>2.5</v>
      </c>
      <c r="F45" s="38">
        <f t="shared" si="0"/>
        <v>14.0625</v>
      </c>
    </row>
    <row r="46" spans="1:6" x14ac:dyDescent="0.25">
      <c r="A46" s="37" t="s">
        <v>91</v>
      </c>
      <c r="B46" s="3" t="s">
        <v>86</v>
      </c>
      <c r="C46" s="27">
        <v>24</v>
      </c>
      <c r="D46" s="38">
        <f>9.5/12+3</f>
        <v>3.7916666666666665</v>
      </c>
      <c r="E46">
        <f>6/12+1</f>
        <v>1.5</v>
      </c>
      <c r="F46" s="38">
        <f t="shared" si="0"/>
        <v>5.6875</v>
      </c>
    </row>
    <row r="47" spans="1:6" x14ac:dyDescent="0.25">
      <c r="A47" s="37" t="s">
        <v>92</v>
      </c>
      <c r="B47" s="26" t="s">
        <v>87</v>
      </c>
      <c r="C47" s="27">
        <v>1</v>
      </c>
      <c r="D47" s="38">
        <f>5.5/12+4</f>
        <v>4.458333333333333</v>
      </c>
      <c r="E47">
        <f>6/12+2</f>
        <v>2.5</v>
      </c>
      <c r="F47" s="38">
        <f t="shared" si="0"/>
        <v>11.145833333333332</v>
      </c>
    </row>
    <row r="48" spans="1:6" x14ac:dyDescent="0.25">
      <c r="A48" s="37" t="s">
        <v>93</v>
      </c>
      <c r="B48" s="26" t="s">
        <v>76</v>
      </c>
      <c r="C48" s="27">
        <v>0</v>
      </c>
    </row>
    <row r="49" spans="1:6" x14ac:dyDescent="0.25">
      <c r="A49" s="37" t="s">
        <v>94</v>
      </c>
      <c r="B49" s="26" t="s">
        <v>105</v>
      </c>
      <c r="C49" s="27">
        <v>4</v>
      </c>
      <c r="D49">
        <v>5</v>
      </c>
      <c r="E49">
        <f>6/12+2</f>
        <v>2.5</v>
      </c>
      <c r="F49" s="38">
        <f>D49*E49</f>
        <v>12.5</v>
      </c>
    </row>
    <row r="50" spans="1:6" x14ac:dyDescent="0.25">
      <c r="A50" s="37" t="s">
        <v>95</v>
      </c>
      <c r="B50" s="26" t="s">
        <v>108</v>
      </c>
      <c r="C50" s="27">
        <v>8</v>
      </c>
      <c r="D50" s="38">
        <f>7.5/12+5</f>
        <v>5.625</v>
      </c>
      <c r="E50" s="38">
        <f>11/12+2</f>
        <v>2.9166666666666665</v>
      </c>
      <c r="F50" s="38">
        <f>D50*E50</f>
        <v>16.40625</v>
      </c>
    </row>
    <row r="51" spans="1:6" x14ac:dyDescent="0.25">
      <c r="A51" s="35" t="s">
        <v>96</v>
      </c>
      <c r="B51" s="26" t="s">
        <v>116</v>
      </c>
      <c r="C51" s="27">
        <v>8</v>
      </c>
      <c r="D51" s="38">
        <f>7.5/12+5</f>
        <v>5.625</v>
      </c>
      <c r="E51">
        <f>3/12+3</f>
        <v>3.25</v>
      </c>
      <c r="F51" s="38">
        <f>D51*E51</f>
        <v>18.28125</v>
      </c>
    </row>
    <row r="52" spans="1:6" x14ac:dyDescent="0.25">
      <c r="A52" s="35" t="s">
        <v>97</v>
      </c>
      <c r="B52" s="26" t="s">
        <v>77</v>
      </c>
      <c r="C52" s="34">
        <v>0</v>
      </c>
    </row>
    <row r="53" spans="1:6" x14ac:dyDescent="0.25">
      <c r="A53" s="35" t="s">
        <v>98</v>
      </c>
      <c r="B53" s="26" t="s">
        <v>78</v>
      </c>
      <c r="C53" s="34">
        <v>0</v>
      </c>
    </row>
    <row r="54" spans="1:6" x14ac:dyDescent="0.25">
      <c r="A54" s="35" t="s">
        <v>99</v>
      </c>
      <c r="B54" s="26" t="s">
        <v>79</v>
      </c>
      <c r="C54" s="34">
        <v>0</v>
      </c>
    </row>
    <row r="55" spans="1:6" x14ac:dyDescent="0.25">
      <c r="A55" s="35" t="s">
        <v>100</v>
      </c>
      <c r="B55" s="26" t="s">
        <v>117</v>
      </c>
      <c r="C55" s="34">
        <v>6</v>
      </c>
      <c r="D55" s="38">
        <f>2.5/12+2</f>
        <v>2.2083333333333335</v>
      </c>
      <c r="E55">
        <f>6/12+2</f>
        <v>2.5</v>
      </c>
      <c r="F55" s="38">
        <f>D55*E55</f>
        <v>5.5208333333333339</v>
      </c>
    </row>
    <row r="56" spans="1:6" x14ac:dyDescent="0.25">
      <c r="A56" s="35" t="s">
        <v>101</v>
      </c>
      <c r="B56" s="26" t="s">
        <v>107</v>
      </c>
      <c r="C56" s="34">
        <v>13</v>
      </c>
      <c r="D56" s="38">
        <f>8.5/12+5</f>
        <v>5.708333333333333</v>
      </c>
      <c r="E56" s="38">
        <f>2/12+2</f>
        <v>2.1666666666666665</v>
      </c>
      <c r="F56" s="38">
        <f>D56*E56</f>
        <v>12.368055555555554</v>
      </c>
    </row>
    <row r="57" spans="1:6" x14ac:dyDescent="0.25">
      <c r="A57" s="36" t="s">
        <v>102</v>
      </c>
      <c r="B57" s="26" t="s">
        <v>110</v>
      </c>
      <c r="C57" s="27">
        <v>4</v>
      </c>
      <c r="D57" s="38">
        <f>7.5/12+5</f>
        <v>5.625</v>
      </c>
      <c r="E57" s="38">
        <f>11/12+4</f>
        <v>4.916666666666667</v>
      </c>
      <c r="F57" s="38">
        <f>D57*E57</f>
        <v>27.65625</v>
      </c>
    </row>
    <row r="58" spans="1:6" x14ac:dyDescent="0.25">
      <c r="A58" s="37" t="s">
        <v>103</v>
      </c>
      <c r="B58" s="26" t="s">
        <v>111</v>
      </c>
    </row>
    <row r="60" spans="1:6" x14ac:dyDescent="0.25">
      <c r="A60" s="40" t="s">
        <v>81</v>
      </c>
    </row>
    <row r="61" spans="1:6" x14ac:dyDescent="0.25">
      <c r="A61" s="41" t="s">
        <v>80</v>
      </c>
      <c r="B61" s="26" t="s">
        <v>82</v>
      </c>
      <c r="C61" s="27">
        <v>30</v>
      </c>
      <c r="D61" s="38">
        <f>8.5/12+5</f>
        <v>5.708333333333333</v>
      </c>
      <c r="E61" s="38">
        <f>10/12+2</f>
        <v>2.8333333333333335</v>
      </c>
      <c r="F61" s="38">
        <f t="shared" ref="F61:F77" si="1">D61*E61</f>
        <v>16.173611111111111</v>
      </c>
    </row>
    <row r="62" spans="1:6" x14ac:dyDescent="0.25">
      <c r="A62" s="37" t="s">
        <v>88</v>
      </c>
      <c r="B62" s="26" t="s">
        <v>83</v>
      </c>
      <c r="C62" s="27">
        <v>8</v>
      </c>
      <c r="D62" s="38">
        <f>8.5/12+5</f>
        <v>5.708333333333333</v>
      </c>
      <c r="E62">
        <f>6/12+2</f>
        <v>2.5</v>
      </c>
      <c r="F62" s="38">
        <f t="shared" si="1"/>
        <v>14.270833333333332</v>
      </c>
    </row>
    <row r="63" spans="1:6" x14ac:dyDescent="0.25">
      <c r="A63" s="37" t="s">
        <v>89</v>
      </c>
      <c r="B63" s="26" t="s">
        <v>84</v>
      </c>
      <c r="C63" s="27">
        <v>36</v>
      </c>
      <c r="D63" s="38">
        <f>7.5/12+5</f>
        <v>5.625</v>
      </c>
      <c r="E63" s="38">
        <f>2/12+2</f>
        <v>2.1666666666666665</v>
      </c>
      <c r="F63" s="38">
        <f t="shared" si="1"/>
        <v>12.1875</v>
      </c>
    </row>
    <row r="64" spans="1:6" x14ac:dyDescent="0.25">
      <c r="A64" s="37" t="s">
        <v>90</v>
      </c>
      <c r="B64" s="26" t="s">
        <v>85</v>
      </c>
      <c r="C64" s="27">
        <v>47</v>
      </c>
      <c r="D64" s="38">
        <f>7.5/12+5</f>
        <v>5.625</v>
      </c>
      <c r="E64">
        <f>6/12+2</f>
        <v>2.5</v>
      </c>
      <c r="F64" s="38">
        <f t="shared" si="1"/>
        <v>14.0625</v>
      </c>
    </row>
    <row r="65" spans="1:6" x14ac:dyDescent="0.25">
      <c r="A65" s="37" t="s">
        <v>91</v>
      </c>
      <c r="B65" s="3" t="s">
        <v>86</v>
      </c>
      <c r="C65" s="27">
        <v>24</v>
      </c>
      <c r="D65" s="38">
        <f>9.5/12+3</f>
        <v>3.7916666666666665</v>
      </c>
      <c r="E65">
        <f>6/12+1</f>
        <v>1.5</v>
      </c>
      <c r="F65" s="38">
        <f t="shared" si="1"/>
        <v>5.6875</v>
      </c>
    </row>
    <row r="66" spans="1:6" x14ac:dyDescent="0.25">
      <c r="A66" s="37" t="s">
        <v>92</v>
      </c>
      <c r="B66" s="26" t="s">
        <v>87</v>
      </c>
      <c r="C66" s="27">
        <v>4</v>
      </c>
      <c r="D66" s="38">
        <f>5.5/12+4</f>
        <v>4.458333333333333</v>
      </c>
      <c r="E66">
        <f>6/12+2</f>
        <v>2.5</v>
      </c>
      <c r="F66" s="38">
        <f t="shared" si="1"/>
        <v>11.145833333333332</v>
      </c>
    </row>
    <row r="67" spans="1:6" x14ac:dyDescent="0.25">
      <c r="A67" s="37" t="s">
        <v>93</v>
      </c>
      <c r="B67" s="26" t="s">
        <v>104</v>
      </c>
      <c r="C67" s="27">
        <v>1</v>
      </c>
      <c r="D67" s="38">
        <f>4.5/12+6</f>
        <v>6.375</v>
      </c>
      <c r="E67">
        <f>6/12+3</f>
        <v>3.5</v>
      </c>
      <c r="F67" s="38">
        <f t="shared" si="1"/>
        <v>22.3125</v>
      </c>
    </row>
    <row r="68" spans="1:6" x14ac:dyDescent="0.25">
      <c r="A68" s="37" t="s">
        <v>94</v>
      </c>
      <c r="B68" s="26" t="s">
        <v>105</v>
      </c>
      <c r="C68" s="27">
        <v>4</v>
      </c>
      <c r="D68">
        <v>5</v>
      </c>
      <c r="E68">
        <f>6/12+2</f>
        <v>2.5</v>
      </c>
      <c r="F68" s="38">
        <f t="shared" si="1"/>
        <v>12.5</v>
      </c>
    </row>
    <row r="69" spans="1:6" x14ac:dyDescent="0.25">
      <c r="A69" s="37" t="s">
        <v>95</v>
      </c>
      <c r="B69" s="26" t="s">
        <v>108</v>
      </c>
      <c r="C69" s="27">
        <v>4</v>
      </c>
      <c r="D69" s="38">
        <v>5.625</v>
      </c>
      <c r="E69" s="38">
        <v>2.9166666666666599</v>
      </c>
      <c r="F69" s="38">
        <f t="shared" si="1"/>
        <v>16.406249999999961</v>
      </c>
    </row>
    <row r="70" spans="1:6" x14ac:dyDescent="0.25">
      <c r="A70" s="35" t="s">
        <v>96</v>
      </c>
      <c r="B70" s="26" t="s">
        <v>109</v>
      </c>
      <c r="C70" s="27">
        <v>0</v>
      </c>
      <c r="D70" s="38">
        <v>5.625</v>
      </c>
      <c r="E70">
        <v>2.75</v>
      </c>
      <c r="F70" s="38">
        <f t="shared" si="1"/>
        <v>15.46875</v>
      </c>
    </row>
    <row r="71" spans="1:6" x14ac:dyDescent="0.25">
      <c r="A71" s="35" t="s">
        <v>97</v>
      </c>
      <c r="B71" s="26" t="s">
        <v>113</v>
      </c>
      <c r="C71" s="27">
        <v>13</v>
      </c>
      <c r="D71" s="38">
        <f>4.5/12+6</f>
        <v>6.375</v>
      </c>
      <c r="E71" s="38">
        <f>2/12+4</f>
        <v>4.166666666666667</v>
      </c>
      <c r="F71" s="38">
        <f t="shared" si="1"/>
        <v>26.562500000000004</v>
      </c>
    </row>
    <row r="72" spans="1:6" x14ac:dyDescent="0.25">
      <c r="A72" s="35" t="s">
        <v>98</v>
      </c>
      <c r="B72" s="26" t="s">
        <v>114</v>
      </c>
      <c r="C72" s="34">
        <v>8</v>
      </c>
      <c r="D72" s="38">
        <f>3.5/12+6</f>
        <v>6.291666666666667</v>
      </c>
      <c r="E72" s="38">
        <f>3.5/12+6</f>
        <v>6.291666666666667</v>
      </c>
      <c r="F72" s="38">
        <f t="shared" si="1"/>
        <v>39.58506944444445</v>
      </c>
    </row>
    <row r="73" spans="1:6" x14ac:dyDescent="0.25">
      <c r="A73" s="35" t="s">
        <v>99</v>
      </c>
      <c r="B73" s="26" t="s">
        <v>115</v>
      </c>
      <c r="C73" s="34">
        <v>4</v>
      </c>
      <c r="D73" s="38">
        <v>5.625</v>
      </c>
      <c r="E73">
        <f>6/12+2</f>
        <v>2.5</v>
      </c>
      <c r="F73" s="38">
        <f t="shared" si="1"/>
        <v>14.0625</v>
      </c>
    </row>
    <row r="74" spans="1:6" x14ac:dyDescent="0.25">
      <c r="A74" s="35" t="s">
        <v>100</v>
      </c>
      <c r="B74" s="26" t="s">
        <v>106</v>
      </c>
      <c r="C74" s="34">
        <v>4</v>
      </c>
      <c r="D74" s="38">
        <f>3.5/12+2</f>
        <v>2.2916666666666665</v>
      </c>
      <c r="E74">
        <v>2.5</v>
      </c>
      <c r="F74" s="38">
        <f t="shared" si="1"/>
        <v>5.7291666666666661</v>
      </c>
    </row>
    <row r="75" spans="1:6" x14ac:dyDescent="0.25">
      <c r="A75" s="35" t="s">
        <v>101</v>
      </c>
      <c r="B75" s="26" t="s">
        <v>107</v>
      </c>
      <c r="C75" s="34">
        <v>6</v>
      </c>
      <c r="D75" s="38">
        <f>8.5/12+5</f>
        <v>5.708333333333333</v>
      </c>
      <c r="E75" s="38">
        <f>2/12+2</f>
        <v>2.1666666666666665</v>
      </c>
      <c r="F75" s="38">
        <f t="shared" si="1"/>
        <v>12.368055555555554</v>
      </c>
    </row>
    <row r="76" spans="1:6" x14ac:dyDescent="0.25">
      <c r="A76" s="36" t="s">
        <v>102</v>
      </c>
      <c r="B76" s="26" t="s">
        <v>110</v>
      </c>
      <c r="C76" s="34">
        <v>4</v>
      </c>
      <c r="D76" s="38">
        <f>7.5/12+5</f>
        <v>5.625</v>
      </c>
      <c r="E76" s="38">
        <f>11/12+4</f>
        <v>4.916666666666667</v>
      </c>
      <c r="F76" s="38">
        <f t="shared" si="1"/>
        <v>27.65625</v>
      </c>
    </row>
    <row r="77" spans="1:6" x14ac:dyDescent="0.25">
      <c r="A77" s="37" t="s">
        <v>118</v>
      </c>
      <c r="B77" s="26" t="s">
        <v>110</v>
      </c>
      <c r="C77" s="27">
        <v>4</v>
      </c>
      <c r="D77" s="38">
        <f>7.5/12+5</f>
        <v>5.625</v>
      </c>
      <c r="E77" s="38">
        <f>11/12+4</f>
        <v>4.916666666666667</v>
      </c>
      <c r="F77" s="38">
        <f t="shared" si="1"/>
        <v>27.65625</v>
      </c>
    </row>
    <row r="79" spans="1:6" x14ac:dyDescent="0.25">
      <c r="A79" s="59" t="s">
        <v>122</v>
      </c>
    </row>
    <row r="80" spans="1:6" x14ac:dyDescent="0.25">
      <c r="A80" s="8" t="s">
        <v>127</v>
      </c>
    </row>
    <row r="81" spans="1:5" x14ac:dyDescent="0.25">
      <c r="A81" s="8" t="s">
        <v>128</v>
      </c>
    </row>
    <row r="82" spans="1:5" x14ac:dyDescent="0.25">
      <c r="A82" s="8" t="s">
        <v>129</v>
      </c>
    </row>
    <row r="83" spans="1:5" x14ac:dyDescent="0.25">
      <c r="A83" s="8" t="s">
        <v>130</v>
      </c>
    </row>
    <row r="84" spans="1:5" x14ac:dyDescent="0.25">
      <c r="A84" s="8"/>
    </row>
    <row r="85" spans="1:5" x14ac:dyDescent="0.25">
      <c r="A85" s="8" t="s">
        <v>131</v>
      </c>
    </row>
    <row r="86" spans="1:5" x14ac:dyDescent="0.25">
      <c r="A86" s="8"/>
      <c r="C86" t="s">
        <v>144</v>
      </c>
      <c r="D86" t="s">
        <v>145</v>
      </c>
      <c r="E86" t="s">
        <v>146</v>
      </c>
    </row>
    <row r="87" spans="1:5" ht="15.75" x14ac:dyDescent="0.25">
      <c r="A87" s="8" t="s">
        <v>132</v>
      </c>
      <c r="C87">
        <v>2.5</v>
      </c>
      <c r="D87">
        <v>4</v>
      </c>
      <c r="E87" s="38">
        <f t="shared" ref="E87:E90" si="2">C87*D87</f>
        <v>10</v>
      </c>
    </row>
    <row r="88" spans="1:5" ht="15.75" x14ac:dyDescent="0.25">
      <c r="A88" s="8" t="s">
        <v>133</v>
      </c>
      <c r="C88">
        <v>2</v>
      </c>
      <c r="D88">
        <v>4</v>
      </c>
      <c r="E88" s="38">
        <f t="shared" si="2"/>
        <v>8</v>
      </c>
    </row>
    <row r="89" spans="1:5" ht="15.75" x14ac:dyDescent="0.25">
      <c r="A89" s="8" t="s">
        <v>134</v>
      </c>
      <c r="C89">
        <v>2</v>
      </c>
      <c r="D89">
        <v>3</v>
      </c>
      <c r="E89" s="38">
        <f t="shared" si="2"/>
        <v>6</v>
      </c>
    </row>
    <row r="90" spans="1:5" x14ac:dyDescent="0.25">
      <c r="A90" s="8" t="s">
        <v>135</v>
      </c>
      <c r="C90">
        <f>9/12+7</f>
        <v>7.75</v>
      </c>
      <c r="D90">
        <v>4</v>
      </c>
      <c r="E90" s="38">
        <f t="shared" si="2"/>
        <v>31</v>
      </c>
    </row>
    <row r="91" spans="1:5" x14ac:dyDescent="0.25">
      <c r="A91" s="8" t="s">
        <v>136</v>
      </c>
      <c r="C91" s="38">
        <f>8/12+6</f>
        <v>6.666666666666667</v>
      </c>
      <c r="D91" s="38">
        <f>11/12+5</f>
        <v>5.916666666666667</v>
      </c>
      <c r="E91" s="38">
        <f t="shared" ref="E91:E92" si="3">C91*D91</f>
        <v>39.44444444444445</v>
      </c>
    </row>
    <row r="92" spans="1:5" x14ac:dyDescent="0.25">
      <c r="A92" s="8" t="s">
        <v>137</v>
      </c>
      <c r="C92">
        <v>3</v>
      </c>
      <c r="D92">
        <v>7</v>
      </c>
      <c r="E92" s="38">
        <f t="shared" si="3"/>
        <v>21</v>
      </c>
    </row>
  </sheetData>
  <mergeCells count="2">
    <mergeCell ref="A38:A40"/>
    <mergeCell ref="A35:A37"/>
  </mergeCells>
  <pageMargins left="0.7" right="0.7" top="0.75" bottom="0.75" header="0.3" footer="0.3"/>
  <pageSetup paperSize="0" orientation="portrait" horizontalDpi="0" verticalDpi="0" copies="0"/>
  <ignoredErrors>
    <ignoredError sqref="E44 E46 E63 E65 E6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Takeoff Summary</vt:lpstr>
      <vt:lpstr>Project Detail from 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Brown</dc:creator>
  <cp:lastModifiedBy>Saul Brown</cp:lastModifiedBy>
  <dcterms:created xsi:type="dcterms:W3CDTF">2019-07-09T11:51:59Z</dcterms:created>
  <dcterms:modified xsi:type="dcterms:W3CDTF">2019-09-10T12:24:28Z</dcterms:modified>
</cp:coreProperties>
</file>