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y Stuff\WalleyeSearchers\2019 Tournament Files\"/>
    </mc:Choice>
  </mc:AlternateContent>
  <xr:revisionPtr revIDLastSave="0" documentId="13_ncr:1_{D6794370-46AD-4751-B28D-E47F3BC3D167}" xr6:coauthVersionLast="45" xr6:coauthVersionMax="45" xr10:uidLastSave="{00000000-0000-0000-0000-000000000000}"/>
  <bookViews>
    <workbookView xWindow="5760" yWindow="948" windowWidth="17280" windowHeight="11412" tabRatio="793" activeTab="1" xr2:uid="{00000000-000D-0000-FFFF-FFFF00000000}"/>
  </bookViews>
  <sheets>
    <sheet name="Individual Scores" sheetId="15" r:id="rId1"/>
    <sheet name="Monthly Scores" sheetId="16" r:id="rId2"/>
    <sheet name="Data" sheetId="17" state="hidden" r:id="rId3"/>
    <sheet name="Manual Scoring Sheet" sheetId="19" r:id="rId4"/>
  </sheets>
  <definedNames>
    <definedName name="RosterLIST">RosterTABLE[Name]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16" l="1"/>
  <c r="M8" i="16"/>
  <c r="Q8" i="16"/>
  <c r="R8" i="16"/>
  <c r="T8" i="16"/>
  <c r="U8" i="16"/>
  <c r="V8" i="16"/>
  <c r="W8" i="16"/>
  <c r="X8" i="16"/>
  <c r="Y8" i="16"/>
  <c r="J8" i="16" l="1"/>
  <c r="L8" i="16" s="1"/>
  <c r="N8" i="16" s="1"/>
  <c r="W12" i="16"/>
  <c r="W11" i="16"/>
  <c r="K61" i="16" l="1"/>
  <c r="K62" i="16"/>
  <c r="K63" i="16"/>
  <c r="K64" i="16"/>
  <c r="K65" i="16"/>
  <c r="K66" i="16"/>
  <c r="K67" i="16"/>
  <c r="K68" i="16"/>
  <c r="K69" i="16"/>
  <c r="K70" i="16"/>
  <c r="K71" i="16"/>
  <c r="K72" i="16"/>
  <c r="K73" i="16"/>
  <c r="K74" i="16"/>
  <c r="K75" i="16"/>
  <c r="K76" i="16"/>
  <c r="M61" i="16"/>
  <c r="M62" i="16"/>
  <c r="M63" i="16"/>
  <c r="M64" i="16"/>
  <c r="M65" i="16"/>
  <c r="M66" i="16"/>
  <c r="M67" i="16"/>
  <c r="M68" i="16"/>
  <c r="M69" i="16"/>
  <c r="M70" i="16"/>
  <c r="M71" i="16"/>
  <c r="M72" i="16"/>
  <c r="M73" i="16"/>
  <c r="M74" i="16"/>
  <c r="M75" i="16"/>
  <c r="M76" i="16"/>
  <c r="Q61" i="16"/>
  <c r="Q62" i="16"/>
  <c r="Q63" i="16"/>
  <c r="Q64" i="16"/>
  <c r="Q65" i="16"/>
  <c r="Q66" i="16"/>
  <c r="Q67" i="16"/>
  <c r="Q68" i="16"/>
  <c r="Q69" i="16"/>
  <c r="Q70" i="16"/>
  <c r="Q71" i="16"/>
  <c r="Q72" i="16"/>
  <c r="Q73" i="16"/>
  <c r="Q74" i="16"/>
  <c r="Q75" i="16"/>
  <c r="Q76" i="16"/>
  <c r="R61" i="16"/>
  <c r="S61" i="16" s="1"/>
  <c r="R62" i="16"/>
  <c r="S62" i="16" s="1"/>
  <c r="R63" i="16"/>
  <c r="S63" i="16" s="1"/>
  <c r="R64" i="16"/>
  <c r="S64" i="16" s="1"/>
  <c r="R65" i="16"/>
  <c r="S65" i="16" s="1"/>
  <c r="R66" i="16"/>
  <c r="S66" i="16" s="1"/>
  <c r="R67" i="16"/>
  <c r="S67" i="16" s="1"/>
  <c r="R68" i="16"/>
  <c r="S68" i="16" s="1"/>
  <c r="R69" i="16"/>
  <c r="S69" i="16" s="1"/>
  <c r="R70" i="16"/>
  <c r="S70" i="16" s="1"/>
  <c r="R71" i="16"/>
  <c r="S71" i="16" s="1"/>
  <c r="R72" i="16"/>
  <c r="S72" i="16" s="1"/>
  <c r="R73" i="16"/>
  <c r="S73" i="16" s="1"/>
  <c r="R74" i="16"/>
  <c r="S74" i="16" s="1"/>
  <c r="R75" i="16"/>
  <c r="S75" i="16" s="1"/>
  <c r="R76" i="16"/>
  <c r="S76" i="16" s="1"/>
  <c r="T61" i="16"/>
  <c r="T62" i="16"/>
  <c r="T63" i="16"/>
  <c r="T64" i="16"/>
  <c r="T65" i="16"/>
  <c r="T66" i="16"/>
  <c r="T67" i="16"/>
  <c r="T68" i="16"/>
  <c r="T69" i="16"/>
  <c r="T70" i="16"/>
  <c r="T71" i="16"/>
  <c r="T72" i="16"/>
  <c r="T73" i="16"/>
  <c r="T74" i="16"/>
  <c r="T75" i="16"/>
  <c r="T76" i="16"/>
  <c r="U61" i="16"/>
  <c r="U62" i="16"/>
  <c r="U63" i="16"/>
  <c r="U64" i="16"/>
  <c r="U65" i="16"/>
  <c r="U66" i="16"/>
  <c r="U67" i="16"/>
  <c r="U68" i="16"/>
  <c r="U69" i="16"/>
  <c r="U70" i="16"/>
  <c r="U71" i="16"/>
  <c r="U72" i="16"/>
  <c r="U73" i="16"/>
  <c r="U74" i="16"/>
  <c r="U75" i="16"/>
  <c r="U76" i="16"/>
  <c r="V61" i="16"/>
  <c r="V62" i="16"/>
  <c r="V63" i="16"/>
  <c r="V64" i="16"/>
  <c r="V65" i="16"/>
  <c r="V66" i="16"/>
  <c r="V67" i="16"/>
  <c r="V68" i="16"/>
  <c r="V69" i="16"/>
  <c r="V70" i="16"/>
  <c r="V71" i="16"/>
  <c r="V72" i="16"/>
  <c r="V73" i="16"/>
  <c r="V74" i="16"/>
  <c r="V75" i="16"/>
  <c r="V76" i="16"/>
  <c r="W61" i="16"/>
  <c r="W62" i="16"/>
  <c r="W63" i="16"/>
  <c r="W64" i="16"/>
  <c r="W65" i="16"/>
  <c r="W66" i="16"/>
  <c r="W67" i="16"/>
  <c r="W68" i="16"/>
  <c r="W69" i="16"/>
  <c r="W70" i="16"/>
  <c r="W71" i="16"/>
  <c r="W72" i="16"/>
  <c r="W73" i="16"/>
  <c r="W74" i="16"/>
  <c r="W75" i="16"/>
  <c r="W76" i="16"/>
  <c r="X61" i="16"/>
  <c r="X62" i="16"/>
  <c r="X63" i="16"/>
  <c r="X64" i="16"/>
  <c r="X65" i="16"/>
  <c r="X66" i="16"/>
  <c r="X67" i="16"/>
  <c r="X68" i="16"/>
  <c r="X69" i="16"/>
  <c r="X70" i="16"/>
  <c r="X71" i="16"/>
  <c r="X72" i="16"/>
  <c r="X73" i="16"/>
  <c r="X74" i="16"/>
  <c r="X75" i="16"/>
  <c r="X76" i="16"/>
  <c r="Y61" i="16"/>
  <c r="Y62" i="16"/>
  <c r="Y63" i="16"/>
  <c r="Y64" i="16"/>
  <c r="Y65" i="16"/>
  <c r="Y66" i="16"/>
  <c r="Y67" i="16"/>
  <c r="Y68" i="16"/>
  <c r="Y69" i="16"/>
  <c r="Y70" i="16"/>
  <c r="Y71" i="16"/>
  <c r="Y72" i="16"/>
  <c r="Y73" i="16"/>
  <c r="Y74" i="16"/>
  <c r="Y75" i="16"/>
  <c r="Y76" i="16"/>
  <c r="K48" i="16"/>
  <c r="K49" i="16"/>
  <c r="K53" i="16"/>
  <c r="K54" i="16"/>
  <c r="K55" i="16"/>
  <c r="K56" i="16"/>
  <c r="K57" i="16"/>
  <c r="K58" i="16"/>
  <c r="K59" i="16"/>
  <c r="K60" i="16"/>
  <c r="M48" i="16"/>
  <c r="M49" i="16"/>
  <c r="M53" i="16"/>
  <c r="M54" i="16"/>
  <c r="M55" i="16"/>
  <c r="M56" i="16"/>
  <c r="M57" i="16"/>
  <c r="M58" i="16"/>
  <c r="M59" i="16"/>
  <c r="M60" i="16"/>
  <c r="Q48" i="16"/>
  <c r="Q49" i="16"/>
  <c r="Q53" i="16"/>
  <c r="Q54" i="16"/>
  <c r="Q55" i="16"/>
  <c r="Q56" i="16"/>
  <c r="Q57" i="16"/>
  <c r="Q58" i="16"/>
  <c r="Q59" i="16"/>
  <c r="Q60" i="16"/>
  <c r="R48" i="16"/>
  <c r="R49" i="16"/>
  <c r="R53" i="16"/>
  <c r="R54" i="16"/>
  <c r="R55" i="16"/>
  <c r="R56" i="16"/>
  <c r="S56" i="16" s="1"/>
  <c r="R57" i="16"/>
  <c r="S57" i="16" s="1"/>
  <c r="R58" i="16"/>
  <c r="S58" i="16" s="1"/>
  <c r="R59" i="16"/>
  <c r="S59" i="16" s="1"/>
  <c r="R60" i="16"/>
  <c r="S60" i="16" s="1"/>
  <c r="T48" i="16"/>
  <c r="T49" i="16"/>
  <c r="T53" i="16"/>
  <c r="T54" i="16"/>
  <c r="T55" i="16"/>
  <c r="T56" i="16"/>
  <c r="T57" i="16"/>
  <c r="T58" i="16"/>
  <c r="T59" i="16"/>
  <c r="T60" i="16"/>
  <c r="U48" i="16"/>
  <c r="U49" i="16"/>
  <c r="U53" i="16"/>
  <c r="U54" i="16"/>
  <c r="U55" i="16"/>
  <c r="U56" i="16"/>
  <c r="U57" i="16"/>
  <c r="U58" i="16"/>
  <c r="U59" i="16"/>
  <c r="U60" i="16"/>
  <c r="V48" i="16"/>
  <c r="V49" i="16"/>
  <c r="V53" i="16"/>
  <c r="V54" i="16"/>
  <c r="V55" i="16"/>
  <c r="V56" i="16"/>
  <c r="V57" i="16"/>
  <c r="V58" i="16"/>
  <c r="V59" i="16"/>
  <c r="V60" i="16"/>
  <c r="W48" i="16"/>
  <c r="W49" i="16"/>
  <c r="W53" i="16"/>
  <c r="W54" i="16"/>
  <c r="W55" i="16"/>
  <c r="W56" i="16"/>
  <c r="W57" i="16"/>
  <c r="W58" i="16"/>
  <c r="W59" i="16"/>
  <c r="W60" i="16"/>
  <c r="X48" i="16"/>
  <c r="X49" i="16"/>
  <c r="X53" i="16"/>
  <c r="X54" i="16"/>
  <c r="X55" i="16"/>
  <c r="X56" i="16"/>
  <c r="X57" i="16"/>
  <c r="X58" i="16"/>
  <c r="X59" i="16"/>
  <c r="X60" i="16"/>
  <c r="Y48" i="16"/>
  <c r="Y49" i="16"/>
  <c r="Y53" i="16"/>
  <c r="Y54" i="16"/>
  <c r="Y55" i="16"/>
  <c r="Y56" i="16"/>
  <c r="Y57" i="16"/>
  <c r="Y58" i="16"/>
  <c r="Y59" i="16"/>
  <c r="Y60" i="16"/>
  <c r="J76" i="16" l="1"/>
  <c r="L76" i="16" s="1"/>
  <c r="N76" i="16" s="1"/>
  <c r="O76" i="16" s="1"/>
  <c r="J72" i="16"/>
  <c r="L72" i="16" s="1"/>
  <c r="N72" i="16" s="1"/>
  <c r="O72" i="16" s="1"/>
  <c r="J68" i="16"/>
  <c r="L68" i="16" s="1"/>
  <c r="N68" i="16" s="1"/>
  <c r="P68" i="16" s="1"/>
  <c r="J64" i="16"/>
  <c r="L64" i="16" s="1"/>
  <c r="N64" i="16" s="1"/>
  <c r="O64" i="16" s="1"/>
  <c r="J75" i="16"/>
  <c r="L75" i="16" s="1"/>
  <c r="N75" i="16" s="1"/>
  <c r="O75" i="16" s="1"/>
  <c r="J71" i="16"/>
  <c r="L71" i="16" s="1"/>
  <c r="N71" i="16" s="1"/>
  <c r="O71" i="16" s="1"/>
  <c r="J67" i="16"/>
  <c r="L67" i="16" s="1"/>
  <c r="N67" i="16" s="1"/>
  <c r="P67" i="16" s="1"/>
  <c r="J63" i="16"/>
  <c r="L63" i="16" s="1"/>
  <c r="N63" i="16" s="1"/>
  <c r="O63" i="16" s="1"/>
  <c r="J74" i="16"/>
  <c r="L74" i="16" s="1"/>
  <c r="N74" i="16" s="1"/>
  <c r="P74" i="16" s="1"/>
  <c r="J70" i="16"/>
  <c r="L70" i="16" s="1"/>
  <c r="N70" i="16" s="1"/>
  <c r="P70" i="16" s="1"/>
  <c r="J66" i="16"/>
  <c r="L66" i="16" s="1"/>
  <c r="N66" i="16" s="1"/>
  <c r="O66" i="16" s="1"/>
  <c r="J62" i="16"/>
  <c r="L62" i="16" s="1"/>
  <c r="N62" i="16" s="1"/>
  <c r="O62" i="16" s="1"/>
  <c r="J73" i="16"/>
  <c r="L73" i="16" s="1"/>
  <c r="N73" i="16" s="1"/>
  <c r="O73" i="16" s="1"/>
  <c r="J69" i="16"/>
  <c r="L69" i="16" s="1"/>
  <c r="N69" i="16" s="1"/>
  <c r="P69" i="16" s="1"/>
  <c r="J65" i="16"/>
  <c r="L65" i="16" s="1"/>
  <c r="N65" i="16" s="1"/>
  <c r="O65" i="16" s="1"/>
  <c r="J61" i="16"/>
  <c r="L61" i="16" s="1"/>
  <c r="N61" i="16" s="1"/>
  <c r="O61" i="16" s="1"/>
  <c r="J60" i="16"/>
  <c r="L60" i="16" s="1"/>
  <c r="N60" i="16" s="1"/>
  <c r="P60" i="16" s="1"/>
  <c r="J56" i="16"/>
  <c r="L56" i="16" s="1"/>
  <c r="N56" i="16" s="1"/>
  <c r="P56" i="16" s="1"/>
  <c r="J49" i="16"/>
  <c r="L49" i="16" s="1"/>
  <c r="N49" i="16" s="1"/>
  <c r="J59" i="16"/>
  <c r="L59" i="16" s="1"/>
  <c r="N59" i="16" s="1"/>
  <c r="O59" i="16" s="1"/>
  <c r="J55" i="16"/>
  <c r="L55" i="16" s="1"/>
  <c r="N55" i="16" s="1"/>
  <c r="J48" i="16"/>
  <c r="L48" i="16" s="1"/>
  <c r="N48" i="16" s="1"/>
  <c r="J57" i="16"/>
  <c r="L57" i="16" s="1"/>
  <c r="N57" i="16" s="1"/>
  <c r="O57" i="16" s="1"/>
  <c r="J53" i="16"/>
  <c r="L53" i="16" s="1"/>
  <c r="N53" i="16" s="1"/>
  <c r="J58" i="16"/>
  <c r="L58" i="16" s="1"/>
  <c r="N58" i="16" s="1"/>
  <c r="P58" i="16" s="1"/>
  <c r="J54" i="16"/>
  <c r="L54" i="16" s="1"/>
  <c r="N54" i="16" s="1"/>
  <c r="N15" i="19"/>
  <c r="O15" i="19" s="1"/>
  <c r="O14" i="19"/>
  <c r="K5" i="19"/>
  <c r="K6" i="19" s="1"/>
  <c r="L4" i="19"/>
  <c r="P76" i="16" l="1"/>
  <c r="O74" i="16"/>
  <c r="P73" i="16"/>
  <c r="P75" i="16"/>
  <c r="P72" i="16"/>
  <c r="L5" i="19"/>
  <c r="P71" i="16"/>
  <c r="O69" i="16"/>
  <c r="O53" i="16"/>
  <c r="P53" i="16" s="1"/>
  <c r="P66" i="16"/>
  <c r="O67" i="16"/>
  <c r="O68" i="16"/>
  <c r="P65" i="16"/>
  <c r="O70" i="16"/>
  <c r="P63" i="16"/>
  <c r="P62" i="16"/>
  <c r="P61" i="16"/>
  <c r="P64" i="16"/>
  <c r="O55" i="16"/>
  <c r="P55" i="16" s="1"/>
  <c r="O60" i="16"/>
  <c r="P57" i="16"/>
  <c r="O54" i="16"/>
  <c r="P54" i="16" s="1"/>
  <c r="O58" i="16"/>
  <c r="O56" i="16"/>
  <c r="P59" i="16"/>
  <c r="L6" i="19"/>
  <c r="K7" i="19"/>
  <c r="N16" i="19"/>
  <c r="L7" i="19" l="1"/>
  <c r="K9" i="19"/>
  <c r="O16" i="19"/>
  <c r="N17" i="19"/>
  <c r="L9" i="19" l="1"/>
  <c r="K10" i="19"/>
  <c r="O17" i="19"/>
  <c r="N19" i="19"/>
  <c r="O19" i="19" l="1"/>
  <c r="N20" i="19"/>
  <c r="L10" i="19"/>
  <c r="K11" i="19"/>
  <c r="L11" i="19" l="1"/>
  <c r="K12" i="19"/>
  <c r="O20" i="19"/>
  <c r="N21" i="19"/>
  <c r="O21" i="19" l="1"/>
  <c r="N22" i="19"/>
  <c r="L12" i="19"/>
  <c r="K14" i="19"/>
  <c r="L14" i="19" l="1"/>
  <c r="K15" i="19"/>
  <c r="O22" i="19"/>
  <c r="N24" i="19"/>
  <c r="O24" i="19" l="1"/>
  <c r="N25" i="19"/>
  <c r="L15" i="19"/>
  <c r="K16" i="19"/>
  <c r="L16" i="19" l="1"/>
  <c r="K17" i="19"/>
  <c r="O25" i="19"/>
  <c r="N26" i="19"/>
  <c r="O26" i="19" l="1"/>
  <c r="N27" i="19"/>
  <c r="L17" i="19"/>
  <c r="K19" i="19"/>
  <c r="L19" i="19" l="1"/>
  <c r="K20" i="19"/>
  <c r="O27" i="19"/>
  <c r="Q4" i="19"/>
  <c r="R4" i="19" l="1"/>
  <c r="Q5" i="19"/>
  <c r="L20" i="19"/>
  <c r="K21" i="19"/>
  <c r="L21" i="19" l="1"/>
  <c r="K22" i="19"/>
  <c r="R5" i="19"/>
  <c r="Q6" i="19"/>
  <c r="L22" i="19" l="1"/>
  <c r="K24" i="19"/>
  <c r="R6" i="19"/>
  <c r="Q7" i="19"/>
  <c r="R7" i="19" l="1"/>
  <c r="Q9" i="19"/>
  <c r="L24" i="19"/>
  <c r="K25" i="19"/>
  <c r="L25" i="19" l="1"/>
  <c r="K26" i="19"/>
  <c r="R9" i="19"/>
  <c r="Q10" i="19"/>
  <c r="R10" i="19" l="1"/>
  <c r="Q11" i="19"/>
  <c r="L26" i="19"/>
  <c r="K27" i="19"/>
  <c r="N4" i="19" l="1"/>
  <c r="L27" i="19"/>
  <c r="R11" i="19"/>
  <c r="Q12" i="19"/>
  <c r="R12" i="19" l="1"/>
  <c r="Q14" i="19"/>
  <c r="N5" i="19"/>
  <c r="O4" i="19"/>
  <c r="R14" i="19" l="1"/>
  <c r="Q15" i="19"/>
  <c r="N6" i="19"/>
  <c r="O5" i="19"/>
  <c r="R15" i="19" l="1"/>
  <c r="Q16" i="19"/>
  <c r="N7" i="19"/>
  <c r="O6" i="19"/>
  <c r="N9" i="19" l="1"/>
  <c r="O7" i="19"/>
  <c r="R16" i="19"/>
  <c r="Q17" i="19"/>
  <c r="R17" i="19" l="1"/>
  <c r="Q19" i="19"/>
  <c r="N10" i="19"/>
  <c r="O9" i="19"/>
  <c r="N11" i="19" l="1"/>
  <c r="O10" i="19"/>
  <c r="R19" i="19"/>
  <c r="Q20" i="19"/>
  <c r="R20" i="19" l="1"/>
  <c r="Q21" i="19"/>
  <c r="N12" i="19"/>
  <c r="O12" i="19" s="1"/>
  <c r="O11" i="19"/>
  <c r="R21" i="19" l="1"/>
  <c r="Q22" i="19"/>
  <c r="R22" i="19" l="1"/>
  <c r="Q24" i="19"/>
  <c r="R24" i="19" l="1"/>
  <c r="Q25" i="19"/>
  <c r="R25" i="19" l="1"/>
  <c r="Q26" i="19"/>
  <c r="R26" i="19" l="1"/>
  <c r="Q27" i="19"/>
  <c r="T4" i="19" l="1"/>
  <c r="R27" i="19"/>
  <c r="T5" i="19" l="1"/>
  <c r="U4" i="19"/>
  <c r="T6" i="19" l="1"/>
  <c r="U5" i="19"/>
  <c r="T7" i="19" l="1"/>
  <c r="U6" i="19"/>
  <c r="T9" i="19" l="1"/>
  <c r="U7" i="19"/>
  <c r="T10" i="19" l="1"/>
  <c r="U9" i="19"/>
  <c r="T11" i="19" l="1"/>
  <c r="U10" i="19"/>
  <c r="T12" i="19" l="1"/>
  <c r="U11" i="19"/>
  <c r="T14" i="19" l="1"/>
  <c r="U12" i="19"/>
  <c r="U14" i="19" l="1"/>
  <c r="T15" i="19"/>
  <c r="U15" i="19" l="1"/>
  <c r="T16" i="19"/>
  <c r="U16" i="19" l="1"/>
  <c r="T17" i="19"/>
  <c r="U17" i="19" l="1"/>
  <c r="T19" i="19"/>
  <c r="U19" i="19" l="1"/>
  <c r="T20" i="19"/>
  <c r="U20" i="19" l="1"/>
  <c r="T21" i="19"/>
  <c r="U21" i="19" l="1"/>
  <c r="T22" i="19"/>
  <c r="U22" i="19" l="1"/>
  <c r="T24" i="19"/>
  <c r="U24" i="19" l="1"/>
  <c r="T25" i="19"/>
  <c r="U25" i="19" l="1"/>
  <c r="T26" i="19"/>
  <c r="U26" i="19" l="1"/>
  <c r="T27" i="19"/>
  <c r="U27" i="19" s="1"/>
  <c r="Y38" i="16" l="1"/>
  <c r="Y37" i="16"/>
  <c r="Y36" i="16"/>
  <c r="Y23" i="16"/>
  <c r="Y28" i="16"/>
  <c r="Y31" i="16"/>
  <c r="Y30" i="16"/>
  <c r="Y26" i="16"/>
  <c r="Y19" i="16"/>
  <c r="Y27" i="16"/>
  <c r="Y21" i="16"/>
  <c r="Y9" i="16"/>
  <c r="Y10" i="16"/>
  <c r="Y45" i="16"/>
  <c r="Y44" i="16"/>
  <c r="Y43" i="16"/>
  <c r="Y46" i="16"/>
  <c r="X37" i="16"/>
  <c r="X36" i="16"/>
  <c r="X23" i="16"/>
  <c r="X28" i="16"/>
  <c r="X31" i="16"/>
  <c r="X30" i="16"/>
  <c r="X26" i="16"/>
  <c r="X20" i="16"/>
  <c r="X19" i="16"/>
  <c r="X27" i="16"/>
  <c r="X21" i="16"/>
  <c r="X9" i="16"/>
  <c r="X10" i="16"/>
  <c r="X45" i="16"/>
  <c r="X44" i="16"/>
  <c r="X43" i="16"/>
  <c r="X46" i="16"/>
  <c r="W37" i="16"/>
  <c r="W36" i="16"/>
  <c r="W28" i="16"/>
  <c r="W31" i="16"/>
  <c r="W30" i="16"/>
  <c r="W27" i="16"/>
  <c r="W21" i="16"/>
  <c r="W10" i="16"/>
  <c r="W45" i="16"/>
  <c r="W44" i="16"/>
  <c r="W43" i="16"/>
  <c r="W46" i="16"/>
  <c r="V36" i="16"/>
  <c r="V37" i="16"/>
  <c r="V28" i="16"/>
  <c r="V30" i="16"/>
  <c r="V21" i="16"/>
  <c r="V44" i="16"/>
  <c r="V43" i="16"/>
  <c r="V46" i="16"/>
  <c r="U36" i="16"/>
  <c r="U30" i="16"/>
  <c r="J36" i="16" l="1"/>
  <c r="J30" i="16"/>
  <c r="D5" i="17"/>
  <c r="Y4" i="16" s="1"/>
  <c r="D6" i="17"/>
  <c r="D7" i="17"/>
  <c r="D8" i="17"/>
  <c r="Y5" i="16" s="1"/>
  <c r="D9" i="17"/>
  <c r="X5" i="16" s="1"/>
  <c r="D10" i="17"/>
  <c r="D11" i="17"/>
  <c r="D12" i="17"/>
  <c r="D13" i="17"/>
  <c r="D14" i="17"/>
  <c r="D15" i="17"/>
  <c r="D16" i="17"/>
  <c r="D17" i="17"/>
  <c r="D18" i="17"/>
  <c r="D19" i="17"/>
  <c r="D20" i="17"/>
  <c r="Y2" i="16" s="1"/>
  <c r="D21" i="17"/>
  <c r="D22" i="17"/>
  <c r="D23" i="17"/>
  <c r="V52" i="16" s="1"/>
  <c r="D24" i="17"/>
  <c r="D25" i="17"/>
  <c r="D26" i="17"/>
  <c r="V50" i="16" s="1"/>
  <c r="D27" i="17"/>
  <c r="D28" i="17"/>
  <c r="Y3" i="16" s="1"/>
  <c r="D29" i="17"/>
  <c r="D30" i="17"/>
  <c r="D31" i="17"/>
  <c r="Y41" i="16" s="1"/>
  <c r="D32" i="17"/>
  <c r="D33" i="17"/>
  <c r="D34" i="17"/>
  <c r="D35" i="17"/>
  <c r="Y20" i="16" s="1"/>
  <c r="D36" i="17"/>
  <c r="D37" i="17"/>
  <c r="V11" i="16" s="1"/>
  <c r="D38" i="17"/>
  <c r="D39" i="17"/>
  <c r="D40" i="17"/>
  <c r="D41" i="17"/>
  <c r="D42" i="17"/>
  <c r="D43" i="17"/>
  <c r="D44" i="17"/>
  <c r="D45" i="17"/>
  <c r="D46" i="17"/>
  <c r="D47" i="17"/>
  <c r="U7" i="16" s="1"/>
  <c r="D48" i="17"/>
  <c r="D49" i="17"/>
  <c r="D50" i="17"/>
  <c r="U15" i="16" s="1"/>
  <c r="D51" i="17"/>
  <c r="X2" i="16" s="1"/>
  <c r="D52" i="17"/>
  <c r="D53" i="17"/>
  <c r="X39" i="16" s="1"/>
  <c r="D54" i="17"/>
  <c r="D55" i="17"/>
  <c r="D56" i="17"/>
  <c r="D57" i="17"/>
  <c r="D58" i="17"/>
  <c r="D59" i="17"/>
  <c r="U2" i="16" s="1"/>
  <c r="D60" i="17"/>
  <c r="D61" i="17"/>
  <c r="D62" i="17"/>
  <c r="U42" i="16" s="1"/>
  <c r="D63" i="17"/>
  <c r="D64" i="17"/>
  <c r="D65" i="17"/>
  <c r="D66" i="17"/>
  <c r="D67" i="17"/>
  <c r="D68" i="17"/>
  <c r="D69" i="17"/>
  <c r="D70" i="17"/>
  <c r="D71" i="17"/>
  <c r="D72" i="17"/>
  <c r="D73" i="17"/>
  <c r="D74" i="17"/>
  <c r="D75" i="17"/>
  <c r="D76" i="17"/>
  <c r="D77" i="17"/>
  <c r="D78" i="17"/>
  <c r="D79" i="17"/>
  <c r="D80" i="17"/>
  <c r="D81" i="17"/>
  <c r="D82" i="17"/>
  <c r="D83" i="17"/>
  <c r="D84" i="17"/>
  <c r="D85" i="17"/>
  <c r="D86" i="17"/>
  <c r="D87" i="17"/>
  <c r="D88" i="17"/>
  <c r="D89" i="17"/>
  <c r="D90" i="17"/>
  <c r="D91" i="17"/>
  <c r="D92" i="17"/>
  <c r="D93" i="17"/>
  <c r="D94" i="17"/>
  <c r="D95" i="17"/>
  <c r="D96" i="17"/>
  <c r="D97" i="17"/>
  <c r="D98" i="17"/>
  <c r="D99" i="17"/>
  <c r="D100" i="17"/>
  <c r="D101" i="17"/>
  <c r="D102" i="17"/>
  <c r="D2" i="17"/>
  <c r="D3" i="17"/>
  <c r="Y18" i="16" s="1"/>
  <c r="D4" i="17"/>
  <c r="R42" i="16"/>
  <c r="R50" i="16"/>
  <c r="R52" i="16"/>
  <c r="R47" i="16"/>
  <c r="R51" i="16"/>
  <c r="K42" i="16"/>
  <c r="K50" i="16"/>
  <c r="K52" i="16"/>
  <c r="K47" i="16"/>
  <c r="K51" i="16"/>
  <c r="M42" i="16"/>
  <c r="M50" i="16"/>
  <c r="M52" i="16"/>
  <c r="M47" i="16"/>
  <c r="M51" i="16"/>
  <c r="Q42" i="16"/>
  <c r="Q50" i="16"/>
  <c r="Q52" i="16"/>
  <c r="Q47" i="16"/>
  <c r="Q51" i="16"/>
  <c r="T42" i="16"/>
  <c r="T50" i="16"/>
  <c r="T52" i="16"/>
  <c r="T47" i="16"/>
  <c r="T51" i="16"/>
  <c r="R39" i="16"/>
  <c r="R40" i="16"/>
  <c r="R45" i="16"/>
  <c r="R41" i="16"/>
  <c r="R44" i="16"/>
  <c r="R43" i="16"/>
  <c r="R46" i="16"/>
  <c r="K39" i="16"/>
  <c r="K40" i="16"/>
  <c r="K45" i="16"/>
  <c r="K41" i="16"/>
  <c r="K44" i="16"/>
  <c r="K43" i="16"/>
  <c r="K46" i="16"/>
  <c r="M39" i="16"/>
  <c r="M40" i="16"/>
  <c r="M45" i="16"/>
  <c r="M41" i="16"/>
  <c r="M44" i="16"/>
  <c r="M43" i="16"/>
  <c r="M46" i="16"/>
  <c r="Q39" i="16"/>
  <c r="Q40" i="16"/>
  <c r="Q45" i="16"/>
  <c r="Q41" i="16"/>
  <c r="Q44" i="16"/>
  <c r="Q43" i="16"/>
  <c r="Q46" i="16"/>
  <c r="T39" i="16"/>
  <c r="T40" i="16"/>
  <c r="T45" i="16"/>
  <c r="T41" i="16"/>
  <c r="T44" i="16"/>
  <c r="T43" i="16"/>
  <c r="T46" i="16"/>
  <c r="R33" i="16"/>
  <c r="R29" i="16"/>
  <c r="R35" i="16"/>
  <c r="R34" i="16"/>
  <c r="R38" i="16"/>
  <c r="R37" i="16"/>
  <c r="R36" i="16"/>
  <c r="K33" i="16"/>
  <c r="K29" i="16"/>
  <c r="K35" i="16"/>
  <c r="K34" i="16"/>
  <c r="K38" i="16"/>
  <c r="K37" i="16"/>
  <c r="K36" i="16"/>
  <c r="M33" i="16"/>
  <c r="M29" i="16"/>
  <c r="M35" i="16"/>
  <c r="M34" i="16"/>
  <c r="M38" i="16"/>
  <c r="M37" i="16"/>
  <c r="M36" i="16"/>
  <c r="Q33" i="16"/>
  <c r="Q29" i="16"/>
  <c r="Q35" i="16"/>
  <c r="Q34" i="16"/>
  <c r="Q38" i="16"/>
  <c r="Q37" i="16"/>
  <c r="Q36" i="16"/>
  <c r="T33" i="16"/>
  <c r="T29" i="16"/>
  <c r="T35" i="16"/>
  <c r="T34" i="16"/>
  <c r="T38" i="16"/>
  <c r="T37" i="16"/>
  <c r="T36" i="16"/>
  <c r="R22" i="16"/>
  <c r="R18" i="16"/>
  <c r="R25" i="16"/>
  <c r="R24" i="16"/>
  <c r="R17" i="16"/>
  <c r="R23" i="16"/>
  <c r="R28" i="16"/>
  <c r="R31" i="16"/>
  <c r="R30" i="16"/>
  <c r="R32" i="16"/>
  <c r="K22" i="16"/>
  <c r="K18" i="16"/>
  <c r="K25" i="16"/>
  <c r="K24" i="16"/>
  <c r="K17" i="16"/>
  <c r="K23" i="16"/>
  <c r="K28" i="16"/>
  <c r="K31" i="16"/>
  <c r="K30" i="16"/>
  <c r="K32" i="16"/>
  <c r="M22" i="16"/>
  <c r="M18" i="16"/>
  <c r="M25" i="16"/>
  <c r="M24" i="16"/>
  <c r="M17" i="16"/>
  <c r="M23" i="16"/>
  <c r="M28" i="16"/>
  <c r="M31" i="16"/>
  <c r="M30" i="16"/>
  <c r="M32" i="16"/>
  <c r="Q22" i="16"/>
  <c r="Q18" i="16"/>
  <c r="Q25" i="16"/>
  <c r="Q24" i="16"/>
  <c r="Q17" i="16"/>
  <c r="Q23" i="16"/>
  <c r="Q28" i="16"/>
  <c r="Q31" i="16"/>
  <c r="Q30" i="16"/>
  <c r="Q32" i="16"/>
  <c r="T22" i="16"/>
  <c r="T18" i="16"/>
  <c r="T25" i="16"/>
  <c r="T24" i="16"/>
  <c r="T17" i="16"/>
  <c r="T23" i="16"/>
  <c r="T28" i="16"/>
  <c r="T31" i="16"/>
  <c r="T30" i="16"/>
  <c r="T32" i="16"/>
  <c r="R11" i="16"/>
  <c r="R12" i="16"/>
  <c r="R13" i="16"/>
  <c r="R16" i="16"/>
  <c r="R14" i="16"/>
  <c r="R26" i="16"/>
  <c r="R20" i="16"/>
  <c r="R19" i="16"/>
  <c r="R27" i="16"/>
  <c r="R21" i="16"/>
  <c r="K11" i="16"/>
  <c r="K12" i="16"/>
  <c r="K13" i="16"/>
  <c r="K16" i="16"/>
  <c r="K14" i="16"/>
  <c r="K26" i="16"/>
  <c r="K20" i="16"/>
  <c r="K19" i="16"/>
  <c r="K27" i="16"/>
  <c r="K21" i="16"/>
  <c r="M11" i="16"/>
  <c r="M12" i="16"/>
  <c r="M13" i="16"/>
  <c r="M16" i="16"/>
  <c r="M14" i="16"/>
  <c r="M26" i="16"/>
  <c r="M20" i="16"/>
  <c r="M19" i="16"/>
  <c r="M27" i="16"/>
  <c r="M21" i="16"/>
  <c r="Q11" i="16"/>
  <c r="Q12" i="16"/>
  <c r="Q13" i="16"/>
  <c r="Q16" i="16"/>
  <c r="Q14" i="16"/>
  <c r="Q26" i="16"/>
  <c r="Q20" i="16"/>
  <c r="Q19" i="16"/>
  <c r="Q27" i="16"/>
  <c r="Q21" i="16"/>
  <c r="T11" i="16"/>
  <c r="T12" i="16"/>
  <c r="T13" i="16"/>
  <c r="T16" i="16"/>
  <c r="T14" i="16"/>
  <c r="T26" i="16"/>
  <c r="T20" i="16"/>
  <c r="T19" i="16"/>
  <c r="T27" i="16"/>
  <c r="T21" i="16"/>
  <c r="R2" i="16"/>
  <c r="R7" i="16"/>
  <c r="R6" i="16"/>
  <c r="R5" i="16"/>
  <c r="R9" i="16"/>
  <c r="R3" i="16"/>
  <c r="R10" i="16"/>
  <c r="R4" i="16"/>
  <c r="R15" i="16"/>
  <c r="G24" i="15"/>
  <c r="J24" i="15"/>
  <c r="K24" i="15"/>
  <c r="L24" i="15"/>
  <c r="M24" i="15"/>
  <c r="N24" i="15"/>
  <c r="O24" i="15"/>
  <c r="G12" i="15"/>
  <c r="M12" i="15"/>
  <c r="O12" i="15"/>
  <c r="S55" i="16" l="1"/>
  <c r="S49" i="16"/>
  <c r="S54" i="16"/>
  <c r="S53" i="16"/>
  <c r="S48" i="16"/>
  <c r="S8" i="16"/>
  <c r="W4" i="16"/>
  <c r="X4" i="16"/>
  <c r="W2" i="16"/>
  <c r="Y32" i="16"/>
  <c r="V4" i="16"/>
  <c r="U31" i="16"/>
  <c r="Y34" i="16"/>
  <c r="U38" i="16"/>
  <c r="X41" i="16"/>
  <c r="W9" i="16"/>
  <c r="U41" i="16"/>
  <c r="U46" i="16"/>
  <c r="J46" i="16" s="1"/>
  <c r="L46" i="16" s="1"/>
  <c r="N46" i="16" s="1"/>
  <c r="V41" i="16"/>
  <c r="W18" i="16"/>
  <c r="Y24" i="16"/>
  <c r="Y39" i="16"/>
  <c r="V45" i="16"/>
  <c r="X32" i="16"/>
  <c r="U50" i="16"/>
  <c r="Y40" i="16"/>
  <c r="U44" i="16"/>
  <c r="J44" i="16" s="1"/>
  <c r="L44" i="16" s="1"/>
  <c r="N44" i="16" s="1"/>
  <c r="V51" i="16"/>
  <c r="V9" i="16"/>
  <c r="X14" i="16"/>
  <c r="U17" i="16"/>
  <c r="X52" i="16"/>
  <c r="W52" i="16"/>
  <c r="X15" i="16"/>
  <c r="W15" i="16"/>
  <c r="W7" i="16"/>
  <c r="W19" i="16"/>
  <c r="W25" i="16"/>
  <c r="Y35" i="16"/>
  <c r="W34" i="16"/>
  <c r="U34" i="16"/>
  <c r="V34" i="16"/>
  <c r="U24" i="16"/>
  <c r="X40" i="16"/>
  <c r="U45" i="16"/>
  <c r="U28" i="16"/>
  <c r="J28" i="16" s="1"/>
  <c r="L28" i="16" s="1"/>
  <c r="N28" i="16" s="1"/>
  <c r="U10" i="16"/>
  <c r="X6" i="16"/>
  <c r="X12" i="16"/>
  <c r="X17" i="16"/>
  <c r="X18" i="16"/>
  <c r="X3" i="16"/>
  <c r="V14" i="16"/>
  <c r="V7" i="16"/>
  <c r="X22" i="16"/>
  <c r="U29" i="16"/>
  <c r="U27" i="16"/>
  <c r="X51" i="16"/>
  <c r="W33" i="16"/>
  <c r="X33" i="16"/>
  <c r="V5" i="16"/>
  <c r="W13" i="16"/>
  <c r="V13" i="16"/>
  <c r="U22" i="16"/>
  <c r="U35" i="16"/>
  <c r="U43" i="16"/>
  <c r="J43" i="16" s="1"/>
  <c r="L43" i="16" s="1"/>
  <c r="N43" i="16" s="1"/>
  <c r="W42" i="16"/>
  <c r="U52" i="16"/>
  <c r="V18" i="16"/>
  <c r="V47" i="16"/>
  <c r="Y29" i="16"/>
  <c r="Y52" i="16"/>
  <c r="V39" i="16"/>
  <c r="W6" i="16"/>
  <c r="U47" i="16"/>
  <c r="Y12" i="16"/>
  <c r="W16" i="16"/>
  <c r="Y42" i="16"/>
  <c r="U26" i="16"/>
  <c r="V20" i="16"/>
  <c r="W47" i="16"/>
  <c r="U3" i="16"/>
  <c r="X11" i="16"/>
  <c r="Y22" i="16"/>
  <c r="W22" i="16"/>
  <c r="U9" i="16"/>
  <c r="X16" i="16"/>
  <c r="X25" i="16"/>
  <c r="W26" i="16"/>
  <c r="Y17" i="16"/>
  <c r="W20" i="16"/>
  <c r="V19" i="16"/>
  <c r="X34" i="16"/>
  <c r="U21" i="16"/>
  <c r="J21" i="16" s="1"/>
  <c r="L21" i="16" s="1"/>
  <c r="N21" i="16" s="1"/>
  <c r="W38" i="16"/>
  <c r="X35" i="16"/>
  <c r="W23" i="16"/>
  <c r="Y14" i="16"/>
  <c r="V10" i="16"/>
  <c r="U25" i="16"/>
  <c r="X24" i="16"/>
  <c r="U20" i="16"/>
  <c r="V33" i="16"/>
  <c r="W40" i="16"/>
  <c r="V6" i="16"/>
  <c r="X47" i="16"/>
  <c r="Y6" i="16"/>
  <c r="U11" i="16"/>
  <c r="Y33" i="16"/>
  <c r="Y51" i="16"/>
  <c r="U40" i="16"/>
  <c r="V40" i="16"/>
  <c r="Y16" i="16"/>
  <c r="U18" i="16"/>
  <c r="V2" i="16"/>
  <c r="U16" i="16"/>
  <c r="V22" i="16"/>
  <c r="U23" i="16"/>
  <c r="W29" i="16"/>
  <c r="X38" i="16"/>
  <c r="X7" i="16"/>
  <c r="Y11" i="16"/>
  <c r="X29" i="16"/>
  <c r="V27" i="16"/>
  <c r="W51" i="16"/>
  <c r="V35" i="16"/>
  <c r="Y7" i="16"/>
  <c r="U6" i="16"/>
  <c r="V16" i="16"/>
  <c r="V15" i="16"/>
  <c r="V12" i="16"/>
  <c r="U12" i="16"/>
  <c r="U33" i="16"/>
  <c r="X42" i="16"/>
  <c r="W50" i="16"/>
  <c r="X13" i="16"/>
  <c r="W41" i="16"/>
  <c r="W14" i="16"/>
  <c r="W32" i="16"/>
  <c r="V17" i="16"/>
  <c r="U51" i="16"/>
  <c r="Y15" i="16"/>
  <c r="U39" i="16"/>
  <c r="V38" i="16"/>
  <c r="U5" i="16"/>
  <c r="V23" i="16"/>
  <c r="V3" i="16"/>
  <c r="U4" i="16"/>
  <c r="W24" i="16"/>
  <c r="W17" i="16"/>
  <c r="U37" i="16"/>
  <c r="J37" i="16" s="1"/>
  <c r="L37" i="16" s="1"/>
  <c r="N37" i="16" s="1"/>
  <c r="W35" i="16"/>
  <c r="U19" i="16"/>
  <c r="V25" i="16"/>
  <c r="V42" i="16"/>
  <c r="W5" i="16"/>
  <c r="V29" i="16"/>
  <c r="Y13" i="16"/>
  <c r="V26" i="16"/>
  <c r="W39" i="16"/>
  <c r="X50" i="16"/>
  <c r="Y50" i="16"/>
  <c r="Y47" i="16"/>
  <c r="U14" i="16"/>
  <c r="V24" i="16"/>
  <c r="U32" i="16"/>
  <c r="V32" i="16"/>
  <c r="V31" i="16"/>
  <c r="U13" i="16"/>
  <c r="W3" i="16"/>
  <c r="Y25" i="16"/>
  <c r="S47" i="16"/>
  <c r="S50" i="16"/>
  <c r="S42" i="16"/>
  <c r="S52" i="16"/>
  <c r="S51" i="16"/>
  <c r="S41" i="16"/>
  <c r="S40" i="16"/>
  <c r="S43" i="16"/>
  <c r="S39" i="16"/>
  <c r="S46" i="16"/>
  <c r="S44" i="16"/>
  <c r="S45" i="16"/>
  <c r="S37" i="16"/>
  <c r="S33" i="16"/>
  <c r="S29" i="16"/>
  <c r="L36" i="16"/>
  <c r="N36" i="16" s="1"/>
  <c r="S38" i="16"/>
  <c r="S34" i="16"/>
  <c r="S36" i="16"/>
  <c r="S35" i="16"/>
  <c r="S31" i="16"/>
  <c r="S17" i="16"/>
  <c r="L30" i="16"/>
  <c r="N30" i="16" s="1"/>
  <c r="S28" i="16"/>
  <c r="S18" i="16"/>
  <c r="S32" i="16"/>
  <c r="S23" i="16"/>
  <c r="S22" i="16"/>
  <c r="S24" i="16"/>
  <c r="S25" i="16"/>
  <c r="S30" i="16"/>
  <c r="S13" i="16"/>
  <c r="S19" i="16"/>
  <c r="S27" i="16"/>
  <c r="S16" i="16"/>
  <c r="S15" i="16"/>
  <c r="S20" i="16"/>
  <c r="S21" i="16"/>
  <c r="S26" i="16"/>
  <c r="S12" i="16"/>
  <c r="S14" i="16"/>
  <c r="S11" i="16"/>
  <c r="S4" i="16"/>
  <c r="S5" i="16"/>
  <c r="S10" i="16"/>
  <c r="S6" i="16"/>
  <c r="S3" i="16"/>
  <c r="S7" i="16"/>
  <c r="S9" i="16"/>
  <c r="S2" i="16"/>
  <c r="J4" i="16" l="1"/>
  <c r="J2" i="16"/>
  <c r="J19" i="16"/>
  <c r="L19" i="16" s="1"/>
  <c r="N19" i="16" s="1"/>
  <c r="J32" i="16"/>
  <c r="L32" i="16" s="1"/>
  <c r="N32" i="16" s="1"/>
  <c r="J20" i="16"/>
  <c r="L20" i="16" s="1"/>
  <c r="N20" i="16" s="1"/>
  <c r="J33" i="16"/>
  <c r="L33" i="16" s="1"/>
  <c r="N33" i="16" s="1"/>
  <c r="J18" i="16"/>
  <c r="L18" i="16" s="1"/>
  <c r="N18" i="16" s="1"/>
  <c r="J15" i="16"/>
  <c r="J26" i="16"/>
  <c r="L26" i="16" s="1"/>
  <c r="N26" i="16" s="1"/>
  <c r="J24" i="16"/>
  <c r="L24" i="16" s="1"/>
  <c r="N24" i="16" s="1"/>
  <c r="J7" i="16"/>
  <c r="J40" i="16"/>
  <c r="L40" i="16" s="1"/>
  <c r="N40" i="16" s="1"/>
  <c r="J42" i="16"/>
  <c r="L42" i="16" s="1"/>
  <c r="N42" i="16" s="1"/>
  <c r="J25" i="16"/>
  <c r="L25" i="16" s="1"/>
  <c r="N25" i="16" s="1"/>
  <c r="J35" i="16"/>
  <c r="L35" i="16" s="1"/>
  <c r="N35" i="16" s="1"/>
  <c r="J34" i="16"/>
  <c r="L34" i="16" s="1"/>
  <c r="N34" i="16" s="1"/>
  <c r="J41" i="16"/>
  <c r="L41" i="16" s="1"/>
  <c r="N41" i="16" s="1"/>
  <c r="J9" i="16"/>
  <c r="J47" i="16"/>
  <c r="L47" i="16" s="1"/>
  <c r="N47" i="16" s="1"/>
  <c r="J13" i="16"/>
  <c r="L13" i="16" s="1"/>
  <c r="N13" i="16" s="1"/>
  <c r="J5" i="16"/>
  <c r="J38" i="16"/>
  <c r="L38" i="16" s="1"/>
  <c r="N38" i="16" s="1"/>
  <c r="J12" i="16"/>
  <c r="L12" i="16" s="1"/>
  <c r="N12" i="16" s="1"/>
  <c r="J11" i="16"/>
  <c r="L11" i="16" s="1"/>
  <c r="N11" i="16" s="1"/>
  <c r="J50" i="16"/>
  <c r="L50" i="16" s="1"/>
  <c r="N50" i="16" s="1"/>
  <c r="J17" i="16"/>
  <c r="L17" i="16" s="1"/>
  <c r="N17" i="16" s="1"/>
  <c r="J39" i="16"/>
  <c r="L39" i="16" s="1"/>
  <c r="N39" i="16" s="1"/>
  <c r="J31" i="16"/>
  <c r="L31" i="16" s="1"/>
  <c r="N31" i="16" s="1"/>
  <c r="J23" i="16"/>
  <c r="L23" i="16" s="1"/>
  <c r="N23" i="16" s="1"/>
  <c r="J10" i="16"/>
  <c r="J51" i="16"/>
  <c r="L51" i="16" s="1"/>
  <c r="N51" i="16" s="1"/>
  <c r="J3" i="16"/>
  <c r="J14" i="16"/>
  <c r="L14" i="16" s="1"/>
  <c r="N14" i="16" s="1"/>
  <c r="J6" i="16"/>
  <c r="J16" i="16"/>
  <c r="L16" i="16" s="1"/>
  <c r="N16" i="16" s="1"/>
  <c r="J27" i="16"/>
  <c r="L27" i="16" s="1"/>
  <c r="N27" i="16" s="1"/>
  <c r="J45" i="16"/>
  <c r="L45" i="16" s="1"/>
  <c r="N45" i="16" s="1"/>
  <c r="O44" i="16" s="1"/>
  <c r="P44" i="16" s="1"/>
  <c r="J22" i="16"/>
  <c r="L22" i="16" s="1"/>
  <c r="N22" i="16" s="1"/>
  <c r="J52" i="16"/>
  <c r="L52" i="16" s="1"/>
  <c r="N52" i="16" s="1"/>
  <c r="J29" i="16"/>
  <c r="L29" i="16" s="1"/>
  <c r="N29" i="16" s="1"/>
  <c r="E6" i="15"/>
  <c r="O49" i="16" l="1"/>
  <c r="P49" i="16" s="1"/>
  <c r="O50" i="16"/>
  <c r="P50" i="16" s="1"/>
  <c r="O48" i="16"/>
  <c r="P48" i="16" s="1"/>
  <c r="O41" i="16"/>
  <c r="O29" i="16"/>
  <c r="P29" i="16" s="1"/>
  <c r="O36" i="16"/>
  <c r="P36" i="16" s="1"/>
  <c r="O30" i="16"/>
  <c r="P30" i="16" s="1"/>
  <c r="O24" i="16"/>
  <c r="P24" i="16" s="1"/>
  <c r="O17" i="16"/>
  <c r="P17" i="16" s="1"/>
  <c r="J4" i="15" s="1"/>
  <c r="O22" i="16"/>
  <c r="P22" i="16" s="1"/>
  <c r="J25" i="15" s="1"/>
  <c r="O25" i="16"/>
  <c r="P25" i="16" s="1"/>
  <c r="J29" i="15" s="1"/>
  <c r="O18" i="16"/>
  <c r="P18" i="16" s="1"/>
  <c r="J11" i="15" s="1"/>
  <c r="O28" i="16"/>
  <c r="P28" i="16" s="1"/>
  <c r="K11" i="15" s="1"/>
  <c r="O23" i="16"/>
  <c r="P23" i="16" s="1"/>
  <c r="J18" i="15" s="1"/>
  <c r="O31" i="16"/>
  <c r="P31" i="16" s="1"/>
  <c r="K5" i="15" s="1"/>
  <c r="O38" i="16"/>
  <c r="P38" i="16" s="1"/>
  <c r="O37" i="16"/>
  <c r="P37" i="16" s="1"/>
  <c r="K25" i="15" s="1"/>
  <c r="O34" i="16"/>
  <c r="P34" i="16" s="1"/>
  <c r="L7" i="15" s="1"/>
  <c r="O43" i="16"/>
  <c r="P43" i="16" s="1"/>
  <c r="O47" i="16"/>
  <c r="P47" i="16" s="1"/>
  <c r="M27" i="15" s="1"/>
  <c r="O42" i="16"/>
  <c r="P42" i="16" s="1"/>
  <c r="O52" i="16"/>
  <c r="P52" i="16" s="1"/>
  <c r="N12" i="15" s="1"/>
  <c r="O39" i="16"/>
  <c r="P39" i="16" s="1"/>
  <c r="P41" i="16"/>
  <c r="M6" i="15" s="1"/>
  <c r="O45" i="16"/>
  <c r="P45" i="16" s="1"/>
  <c r="L14" i="15" s="1"/>
  <c r="O32" i="16"/>
  <c r="P32" i="16" s="1"/>
  <c r="K6" i="15" s="1"/>
  <c r="O33" i="16"/>
  <c r="P33" i="16" s="1"/>
  <c r="K15" i="15" s="1"/>
  <c r="O40" i="16"/>
  <c r="P40" i="16" s="1"/>
  <c r="L9" i="15" s="1"/>
  <c r="O51" i="16"/>
  <c r="P51" i="16" s="1"/>
  <c r="M16" i="15" s="1"/>
  <c r="O35" i="16"/>
  <c r="P35" i="16" s="1"/>
  <c r="L3" i="15" s="1"/>
  <c r="O46" i="16"/>
  <c r="P46" i="16" s="1"/>
  <c r="L40" i="15" s="1"/>
  <c r="F44" i="15"/>
  <c r="F39" i="15"/>
  <c r="F35" i="15"/>
  <c r="F11" i="15"/>
  <c r="F29" i="15"/>
  <c r="F4" i="15"/>
  <c r="F36" i="15"/>
  <c r="F26" i="15"/>
  <c r="F23" i="15"/>
  <c r="F31" i="15"/>
  <c r="F32" i="15"/>
  <c r="F33" i="15"/>
  <c r="F41" i="15"/>
  <c r="F20" i="15"/>
  <c r="F42" i="15"/>
  <c r="F27" i="15"/>
  <c r="F19" i="15"/>
  <c r="F21" i="15"/>
  <c r="F43" i="15"/>
  <c r="E44" i="15"/>
  <c r="E39" i="15"/>
  <c r="E30" i="15"/>
  <c r="E3" i="15"/>
  <c r="E18" i="15"/>
  <c r="E35" i="15"/>
  <c r="E25" i="15"/>
  <c r="E8" i="15"/>
  <c r="E11" i="15"/>
  <c r="E29" i="15"/>
  <c r="E4" i="15"/>
  <c r="E36" i="15"/>
  <c r="E26" i="15"/>
  <c r="E23" i="15"/>
  <c r="E31" i="15"/>
  <c r="E32" i="15"/>
  <c r="E33" i="15"/>
  <c r="E41" i="15"/>
  <c r="E14" i="15"/>
  <c r="E20" i="15"/>
  <c r="E42" i="15"/>
  <c r="E27" i="15"/>
  <c r="E19" i="15"/>
  <c r="E21" i="15"/>
  <c r="E22" i="15"/>
  <c r="E43" i="15"/>
  <c r="E17" i="15"/>
  <c r="G6" i="15"/>
  <c r="G39" i="15"/>
  <c r="G30" i="15"/>
  <c r="G3" i="15"/>
  <c r="G10" i="15"/>
  <c r="G34" i="15"/>
  <c r="G18" i="15"/>
  <c r="G35" i="15"/>
  <c r="G25" i="15"/>
  <c r="G16" i="15"/>
  <c r="G8" i="15"/>
  <c r="G37" i="15"/>
  <c r="G2" i="15"/>
  <c r="G11" i="15"/>
  <c r="G29" i="15"/>
  <c r="G4" i="15"/>
  <c r="G36" i="15"/>
  <c r="G26" i="15"/>
  <c r="G23" i="15"/>
  <c r="G31" i="15"/>
  <c r="G32" i="15"/>
  <c r="G38" i="15"/>
  <c r="G9" i="15"/>
  <c r="G33" i="15"/>
  <c r="G44" i="15"/>
  <c r="G40" i="15"/>
  <c r="G41" i="15"/>
  <c r="G15" i="15"/>
  <c r="G14" i="15"/>
  <c r="G20" i="15"/>
  <c r="G42" i="15"/>
  <c r="G27" i="15"/>
  <c r="G19" i="15"/>
  <c r="G13" i="15"/>
  <c r="G21" i="15"/>
  <c r="G22" i="15"/>
  <c r="G28" i="15"/>
  <c r="G43" i="15"/>
  <c r="G5" i="15"/>
  <c r="G7" i="15"/>
  <c r="G17" i="15"/>
  <c r="J39" i="15"/>
  <c r="J34" i="15"/>
  <c r="J35" i="15"/>
  <c r="J16" i="15"/>
  <c r="J37" i="15"/>
  <c r="J36" i="15"/>
  <c r="J23" i="15"/>
  <c r="J31" i="15"/>
  <c r="J32" i="15"/>
  <c r="J38" i="15"/>
  <c r="J33" i="15"/>
  <c r="J44" i="15"/>
  <c r="J40" i="15"/>
  <c r="J41" i="15"/>
  <c r="J20" i="15"/>
  <c r="J42" i="15"/>
  <c r="J27" i="15"/>
  <c r="J19" i="15"/>
  <c r="J13" i="15"/>
  <c r="J21" i="15"/>
  <c r="J28" i="15"/>
  <c r="J43" i="15"/>
  <c r="J5" i="15"/>
  <c r="J7" i="15"/>
  <c r="K39" i="15"/>
  <c r="K30" i="15"/>
  <c r="K3" i="15"/>
  <c r="K34" i="15"/>
  <c r="K35" i="15"/>
  <c r="K16" i="15"/>
  <c r="K8" i="15"/>
  <c r="K37" i="15"/>
  <c r="K2" i="15"/>
  <c r="K29" i="15"/>
  <c r="K36" i="15"/>
  <c r="K26" i="15"/>
  <c r="K23" i="15"/>
  <c r="K31" i="15"/>
  <c r="K32" i="15"/>
  <c r="K38" i="15"/>
  <c r="K33" i="15"/>
  <c r="K44" i="15"/>
  <c r="K40" i="15"/>
  <c r="K41" i="15"/>
  <c r="K14" i="15"/>
  <c r="K20" i="15"/>
  <c r="K42" i="15"/>
  <c r="K27" i="15"/>
  <c r="K13" i="15"/>
  <c r="K21" i="15"/>
  <c r="K22" i="15"/>
  <c r="K28" i="15"/>
  <c r="K43" i="15"/>
  <c r="K7" i="15"/>
  <c r="L39" i="15"/>
  <c r="L30" i="15"/>
  <c r="L10" i="15"/>
  <c r="L34" i="15"/>
  <c r="L18" i="15"/>
  <c r="L35" i="15"/>
  <c r="L25" i="15"/>
  <c r="L16" i="15"/>
  <c r="L8" i="15"/>
  <c r="L2" i="15"/>
  <c r="L29" i="15"/>
  <c r="L36" i="15"/>
  <c r="L26" i="15"/>
  <c r="L23" i="15"/>
  <c r="L31" i="15"/>
  <c r="L38" i="15"/>
  <c r="L33" i="15"/>
  <c r="L44" i="15"/>
  <c r="L41" i="15"/>
  <c r="L20" i="15"/>
  <c r="L42" i="15"/>
  <c r="L27" i="15"/>
  <c r="L19" i="15"/>
  <c r="L13" i="15"/>
  <c r="L21" i="15"/>
  <c r="L22" i="15"/>
  <c r="L28" i="15"/>
  <c r="L43" i="15"/>
  <c r="M39" i="15"/>
  <c r="M30" i="15"/>
  <c r="M3" i="15"/>
  <c r="M10" i="15"/>
  <c r="M34" i="15"/>
  <c r="M18" i="15"/>
  <c r="M35" i="15"/>
  <c r="M25" i="15"/>
  <c r="M8" i="15"/>
  <c r="M2" i="15"/>
  <c r="M11" i="15"/>
  <c r="M29" i="15"/>
  <c r="M36" i="15"/>
  <c r="M26" i="15"/>
  <c r="M23" i="15"/>
  <c r="M31" i="15"/>
  <c r="M32" i="15"/>
  <c r="M38" i="15"/>
  <c r="M9" i="15"/>
  <c r="M33" i="15"/>
  <c r="M44" i="15"/>
  <c r="M40" i="15"/>
  <c r="M41" i="15"/>
  <c r="M14" i="15"/>
  <c r="M20" i="15"/>
  <c r="M42" i="15"/>
  <c r="M19" i="15"/>
  <c r="M21" i="15"/>
  <c r="M22" i="15"/>
  <c r="M28" i="15"/>
  <c r="M43" i="15"/>
  <c r="M5" i="15"/>
  <c r="M17" i="15"/>
  <c r="N6" i="15"/>
  <c r="N39" i="15"/>
  <c r="N30" i="15"/>
  <c r="N3" i="15"/>
  <c r="N10" i="15"/>
  <c r="N34" i="15"/>
  <c r="N18" i="15"/>
  <c r="N35" i="15"/>
  <c r="N25" i="15"/>
  <c r="N16" i="15"/>
  <c r="N8" i="15"/>
  <c r="N37" i="15"/>
  <c r="N2" i="15"/>
  <c r="N11" i="15"/>
  <c r="N29" i="15"/>
  <c r="N4" i="15"/>
  <c r="N36" i="15"/>
  <c r="N26" i="15"/>
  <c r="N23" i="15"/>
  <c r="N31" i="15"/>
  <c r="N32" i="15"/>
  <c r="N38" i="15"/>
  <c r="N9" i="15"/>
  <c r="N33" i="15"/>
  <c r="N44" i="15"/>
  <c r="N40" i="15"/>
  <c r="N41" i="15"/>
  <c r="N15" i="15"/>
  <c r="N14" i="15"/>
  <c r="N20" i="15"/>
  <c r="N42" i="15"/>
  <c r="N27" i="15"/>
  <c r="N19" i="15"/>
  <c r="N13" i="15"/>
  <c r="N21" i="15"/>
  <c r="N22" i="15"/>
  <c r="N28" i="15"/>
  <c r="N43" i="15"/>
  <c r="N5" i="15"/>
  <c r="N7" i="15"/>
  <c r="N17" i="15"/>
  <c r="O6" i="15"/>
  <c r="O39" i="15"/>
  <c r="O30" i="15"/>
  <c r="O3" i="15"/>
  <c r="O10" i="15"/>
  <c r="O34" i="15"/>
  <c r="O18" i="15"/>
  <c r="O35" i="15"/>
  <c r="O25" i="15"/>
  <c r="O16" i="15"/>
  <c r="O8" i="15"/>
  <c r="O37" i="15"/>
  <c r="O2" i="15"/>
  <c r="O11" i="15"/>
  <c r="O29" i="15"/>
  <c r="O4" i="15"/>
  <c r="O36" i="15"/>
  <c r="O26" i="15"/>
  <c r="O23" i="15"/>
  <c r="O31" i="15"/>
  <c r="O32" i="15"/>
  <c r="O38" i="15"/>
  <c r="O9" i="15"/>
  <c r="O33" i="15"/>
  <c r="O44" i="15"/>
  <c r="O40" i="15"/>
  <c r="O41" i="15"/>
  <c r="O15" i="15"/>
  <c r="O14" i="15"/>
  <c r="O20" i="15"/>
  <c r="O42" i="15"/>
  <c r="O27" i="15"/>
  <c r="O19" i="15"/>
  <c r="O13" i="15"/>
  <c r="O21" i="15"/>
  <c r="O22" i="15"/>
  <c r="O28" i="15"/>
  <c r="O43" i="15"/>
  <c r="O5" i="15"/>
  <c r="O7" i="15"/>
  <c r="O17" i="15"/>
  <c r="I39" i="15"/>
  <c r="I30" i="15"/>
  <c r="I34" i="15"/>
  <c r="I35" i="15"/>
  <c r="I37" i="15"/>
  <c r="I11" i="15"/>
  <c r="I29" i="15"/>
  <c r="I36" i="15"/>
  <c r="I26" i="15"/>
  <c r="I23" i="15"/>
  <c r="I32" i="15"/>
  <c r="I38" i="15"/>
  <c r="I33" i="15"/>
  <c r="I44" i="15"/>
  <c r="I27" i="15"/>
  <c r="I13" i="15"/>
  <c r="H39" i="15"/>
  <c r="H18" i="15"/>
  <c r="H35" i="15"/>
  <c r="H8" i="15"/>
  <c r="H11" i="15"/>
  <c r="H29" i="15"/>
  <c r="H4" i="15"/>
  <c r="H36" i="15"/>
  <c r="H26" i="15"/>
  <c r="H31" i="15"/>
  <c r="H32" i="15"/>
  <c r="H33" i="15"/>
  <c r="H41" i="15"/>
  <c r="H20" i="15"/>
  <c r="H42" i="15"/>
  <c r="H27" i="15"/>
  <c r="H19" i="15"/>
  <c r="H21" i="15"/>
  <c r="H22" i="15"/>
  <c r="H43" i="15"/>
  <c r="J14" i="15" l="1"/>
  <c r="M15" i="15"/>
  <c r="M13" i="15"/>
  <c r="L5" i="15"/>
  <c r="J26" i="15"/>
  <c r="D26" i="15" s="1"/>
  <c r="K9" i="15"/>
  <c r="K4" i="15"/>
  <c r="L32" i="15"/>
  <c r="D32" i="15" s="1"/>
  <c r="K10" i="15"/>
  <c r="J9" i="15"/>
  <c r="L17" i="15"/>
  <c r="K18" i="15"/>
  <c r="L11" i="15"/>
  <c r="C11" i="15" s="1"/>
  <c r="L6" i="15"/>
  <c r="K12" i="15"/>
  <c r="L15" i="15"/>
  <c r="L4" i="15"/>
  <c r="M4" i="15"/>
  <c r="K19" i="15"/>
  <c r="M37" i="15"/>
  <c r="K17" i="15"/>
  <c r="M7" i="15"/>
  <c r="L12" i="15"/>
  <c r="L37" i="15"/>
  <c r="D27" i="15"/>
  <c r="D29" i="15"/>
  <c r="D39" i="15"/>
  <c r="D36" i="15"/>
  <c r="D33" i="15"/>
  <c r="D35" i="15"/>
  <c r="C27" i="15"/>
  <c r="C29" i="15"/>
  <c r="C39" i="15"/>
  <c r="C33" i="15"/>
  <c r="C35" i="15"/>
  <c r="C36" i="15"/>
  <c r="C26" i="15" l="1"/>
  <c r="C32" i="15"/>
  <c r="D11" i="15"/>
  <c r="T7" i="16"/>
  <c r="T5" i="16"/>
  <c r="T9" i="16"/>
  <c r="T2" i="16"/>
  <c r="T6" i="16"/>
  <c r="T3" i="16"/>
  <c r="T10" i="16"/>
  <c r="T4" i="16"/>
  <c r="T15" i="16"/>
  <c r="E10" i="15" l="1"/>
  <c r="M7" i="16"/>
  <c r="M5" i="16"/>
  <c r="M9" i="16"/>
  <c r="M2" i="16"/>
  <c r="M6" i="16"/>
  <c r="M3" i="16"/>
  <c r="M10" i="16"/>
  <c r="M4" i="16"/>
  <c r="M15" i="16"/>
  <c r="K7" i="16"/>
  <c r="K5" i="16"/>
  <c r="K9" i="16"/>
  <c r="K2" i="16"/>
  <c r="K6" i="16"/>
  <c r="K3" i="16"/>
  <c r="K10" i="16"/>
  <c r="K4" i="16"/>
  <c r="K15" i="16"/>
  <c r="Q2" i="16"/>
  <c r="F6" i="15" s="1"/>
  <c r="Q6" i="16"/>
  <c r="Q3" i="16"/>
  <c r="Q10" i="16"/>
  <c r="F30" i="15" s="1"/>
  <c r="Q4" i="16"/>
  <c r="F3" i="15" s="1"/>
  <c r="Q15" i="16"/>
  <c r="F18" i="15" s="1"/>
  <c r="Q9" i="16"/>
  <c r="Q7" i="16"/>
  <c r="Q5" i="16"/>
  <c r="F14" i="15" s="1"/>
  <c r="F22" i="15" l="1"/>
  <c r="F8" i="15"/>
  <c r="F25" i="15"/>
  <c r="F17" i="15"/>
  <c r="F10" i="15"/>
  <c r="E2" i="15"/>
  <c r="E40" i="15"/>
  <c r="E24" i="15"/>
  <c r="E37" i="15"/>
  <c r="F37" i="15"/>
  <c r="F24" i="15"/>
  <c r="E34" i="15"/>
  <c r="E16" i="15"/>
  <c r="E9" i="15"/>
  <c r="E38" i="15"/>
  <c r="E12" i="15"/>
  <c r="E13" i="15"/>
  <c r="E5" i="15"/>
  <c r="E28" i="15"/>
  <c r="E15" i="15"/>
  <c r="E7" i="15"/>
  <c r="F12" i="15"/>
  <c r="F13" i="15"/>
  <c r="F40" i="15"/>
  <c r="F2" i="15"/>
  <c r="F34" i="15"/>
  <c r="F16" i="15"/>
  <c r="F7" i="15"/>
  <c r="F15" i="15"/>
  <c r="F38" i="15"/>
  <c r="F9" i="15"/>
  <c r="F28" i="15"/>
  <c r="F5" i="15"/>
  <c r="L9" i="16"/>
  <c r="N9" i="16" s="1"/>
  <c r="L7" i="16"/>
  <c r="N7" i="16" s="1"/>
  <c r="L10" i="16"/>
  <c r="N10" i="16" s="1"/>
  <c r="L4" i="16"/>
  <c r="N4" i="16" s="1"/>
  <c r="L3" i="16"/>
  <c r="N3" i="16" s="1"/>
  <c r="L2" i="16"/>
  <c r="N2" i="16" s="1"/>
  <c r="L15" i="16"/>
  <c r="N15" i="16" s="1"/>
  <c r="L6" i="16"/>
  <c r="N6" i="16" s="1"/>
  <c r="L5" i="16"/>
  <c r="N5" i="16" s="1"/>
  <c r="O8" i="16" l="1"/>
  <c r="P8" i="16" s="1"/>
  <c r="O19" i="16"/>
  <c r="O11" i="16"/>
  <c r="P11" i="16" s="1"/>
  <c r="O27" i="16"/>
  <c r="P27" i="16" s="1"/>
  <c r="O26" i="16"/>
  <c r="P26" i="16" s="1"/>
  <c r="O13" i="16"/>
  <c r="P13" i="16" s="1"/>
  <c r="O21" i="16"/>
  <c r="P21" i="16" s="1"/>
  <c r="O14" i="16"/>
  <c r="P14" i="16" s="1"/>
  <c r="I3" i="15" s="1"/>
  <c r="O20" i="16"/>
  <c r="P20" i="16" s="1"/>
  <c r="O12" i="16"/>
  <c r="P12" i="16" s="1"/>
  <c r="I21" i="15" s="1"/>
  <c r="O16" i="16"/>
  <c r="P16" i="16" s="1"/>
  <c r="O6" i="16"/>
  <c r="P6" i="16" s="1"/>
  <c r="O4" i="16"/>
  <c r="P4" i="16" s="1"/>
  <c r="H3" i="15" s="1"/>
  <c r="O15" i="16"/>
  <c r="P15" i="16" s="1"/>
  <c r="I18" i="15" s="1"/>
  <c r="O10" i="16"/>
  <c r="P10" i="16" s="1"/>
  <c r="H30" i="15" s="1"/>
  <c r="O3" i="16"/>
  <c r="P3" i="16" s="1"/>
  <c r="O9" i="16"/>
  <c r="P9" i="16" s="1"/>
  <c r="O2" i="16"/>
  <c r="P2" i="16" s="1"/>
  <c r="H6" i="15" s="1"/>
  <c r="O5" i="16"/>
  <c r="P5" i="16" s="1"/>
  <c r="H14" i="15" s="1"/>
  <c r="O7" i="16"/>
  <c r="P7" i="16" s="1"/>
  <c r="J6" i="15" l="1"/>
  <c r="J17" i="15"/>
  <c r="J3" i="15"/>
  <c r="D3" i="15" s="1"/>
  <c r="J30" i="15"/>
  <c r="D30" i="15" s="1"/>
  <c r="J15" i="15"/>
  <c r="J8" i="15"/>
  <c r="J12" i="15"/>
  <c r="J22" i="15"/>
  <c r="D21" i="15"/>
  <c r="C21" i="15"/>
  <c r="I4" i="15"/>
  <c r="I16" i="15"/>
  <c r="C18" i="15"/>
  <c r="D18" i="15"/>
  <c r="H25" i="15"/>
  <c r="H17" i="15"/>
  <c r="P19" i="16"/>
  <c r="J10" i="15" s="1"/>
  <c r="I22" i="15"/>
  <c r="I24" i="15"/>
  <c r="I7" i="15"/>
  <c r="I31" i="15"/>
  <c r="I9" i="15"/>
  <c r="I20" i="15"/>
  <c r="I14" i="15"/>
  <c r="I43" i="15"/>
  <c r="I12" i="15"/>
  <c r="I15" i="15"/>
  <c r="I2" i="15"/>
  <c r="I41" i="15"/>
  <c r="I6" i="15"/>
  <c r="I8" i="15"/>
  <c r="I42" i="15"/>
  <c r="I17" i="15"/>
  <c r="I19" i="15"/>
  <c r="I28" i="15"/>
  <c r="I25" i="15"/>
  <c r="I40" i="15"/>
  <c r="H9" i="15"/>
  <c r="H38" i="15"/>
  <c r="H23" i="15"/>
  <c r="H2" i="15"/>
  <c r="H40" i="15"/>
  <c r="H12" i="15"/>
  <c r="H13" i="15"/>
  <c r="H10" i="15"/>
  <c r="H7" i="15"/>
  <c r="H34" i="15"/>
  <c r="H16" i="15"/>
  <c r="H5" i="15"/>
  <c r="H28" i="15"/>
  <c r="I10" i="15"/>
  <c r="H24" i="15"/>
  <c r="H37" i="15"/>
  <c r="H44" i="15"/>
  <c r="H15" i="15"/>
  <c r="D4" i="15" l="1"/>
  <c r="C4" i="15"/>
  <c r="C10" i="15"/>
  <c r="C3" i="15"/>
  <c r="C30" i="15"/>
  <c r="I5" i="15"/>
  <c r="C5" i="15" s="1"/>
  <c r="D5" i="15" s="1"/>
  <c r="J2" i="15"/>
  <c r="C2" i="15" s="1"/>
  <c r="D2" i="15" s="1"/>
  <c r="C17" i="15"/>
  <c r="D17" i="15" s="1"/>
  <c r="C41" i="15"/>
  <c r="D41" i="15" s="1"/>
  <c r="C43" i="15"/>
  <c r="D43" i="15" s="1"/>
  <c r="C31" i="15"/>
  <c r="D31" i="15" s="1"/>
  <c r="C37" i="15"/>
  <c r="D37" i="15"/>
  <c r="C15" i="15"/>
  <c r="D15" i="15" s="1"/>
  <c r="C24" i="15"/>
  <c r="D24" i="15" s="1"/>
  <c r="C16" i="15"/>
  <c r="D16" i="15" s="1"/>
  <c r="C13" i="15"/>
  <c r="D13" i="15" s="1"/>
  <c r="C23" i="15"/>
  <c r="D23" i="15"/>
  <c r="C25" i="15"/>
  <c r="D25" i="15" s="1"/>
  <c r="C42" i="15"/>
  <c r="D42" i="15" s="1"/>
  <c r="C14" i="15"/>
  <c r="D14" i="15" s="1"/>
  <c r="C44" i="15"/>
  <c r="D44" i="15"/>
  <c r="C34" i="15"/>
  <c r="D34" i="15"/>
  <c r="C38" i="15"/>
  <c r="D38" i="15"/>
  <c r="C8" i="15"/>
  <c r="D8" i="15" s="1"/>
  <c r="C20" i="15"/>
  <c r="D20" i="15" s="1"/>
  <c r="C7" i="15"/>
  <c r="D7" i="15" s="1"/>
  <c r="C19" i="15"/>
  <c r="D19" i="15" s="1"/>
  <c r="C6" i="15"/>
  <c r="D6" i="15" s="1"/>
  <c r="C22" i="15"/>
  <c r="D22" i="15"/>
  <c r="C9" i="15"/>
  <c r="D9" i="15" s="1"/>
  <c r="C12" i="15"/>
  <c r="D12" i="15" s="1"/>
  <c r="C28" i="15"/>
  <c r="D28" i="15" s="1"/>
  <c r="D10" i="15"/>
  <c r="C40" i="15"/>
  <c r="D40" i="15" s="1"/>
  <c r="B28" i="15" l="1"/>
  <c r="B7" i="15"/>
  <c r="B34" i="15"/>
  <c r="B25" i="15"/>
  <c r="B24" i="15"/>
  <c r="B37" i="15"/>
  <c r="B43" i="15"/>
  <c r="B17" i="15"/>
  <c r="B6" i="15"/>
  <c r="B3" i="15"/>
  <c r="B36" i="15"/>
  <c r="B30" i="15"/>
  <c r="B39" i="15"/>
  <c r="B29" i="15"/>
  <c r="B26" i="15"/>
  <c r="B35" i="15"/>
  <c r="B32" i="15"/>
  <c r="B33" i="15"/>
  <c r="B21" i="15"/>
  <c r="B18" i="15"/>
  <c r="B11" i="15"/>
  <c r="B27" i="15"/>
  <c r="B4" i="15"/>
  <c r="B8" i="15"/>
  <c r="B14" i="15"/>
  <c r="B13" i="15"/>
  <c r="B12" i="15"/>
  <c r="B19" i="15"/>
  <c r="B38" i="15"/>
  <c r="B42" i="15"/>
  <c r="B23" i="15"/>
  <c r="B15" i="15"/>
  <c r="B31" i="15"/>
  <c r="B41" i="15"/>
  <c r="B10" i="15"/>
  <c r="B40" i="15"/>
  <c r="B22" i="15"/>
  <c r="B20" i="15"/>
  <c r="B44" i="15"/>
  <c r="B16" i="15"/>
  <c r="B5" i="15"/>
  <c r="B9" i="15"/>
  <c r="B2" i="15"/>
</calcChain>
</file>

<file path=xl/sharedStrings.xml><?xml version="1.0" encoding="utf-8"?>
<sst xmlns="http://schemas.openxmlformats.org/spreadsheetml/2006/main" count="275" uniqueCount="86">
  <si>
    <t>Name</t>
  </si>
  <si>
    <t>April</t>
  </si>
  <si>
    <t>May</t>
  </si>
  <si>
    <t>June</t>
  </si>
  <si>
    <t>July</t>
  </si>
  <si>
    <t>Total</t>
  </si>
  <si>
    <t>Place</t>
  </si>
  <si>
    <t>Angler 1</t>
  </si>
  <si>
    <t>Angler 2</t>
  </si>
  <si>
    <t>Fish 1</t>
  </si>
  <si>
    <t>Fish 2</t>
  </si>
  <si>
    <t>Fish 3</t>
  </si>
  <si>
    <t>Fish 4</t>
  </si>
  <si>
    <t>Fish 5</t>
  </si>
  <si>
    <t>Big Fish</t>
  </si>
  <si>
    <t>Points</t>
  </si>
  <si>
    <t># Fish</t>
  </si>
  <si>
    <t>Length</t>
  </si>
  <si>
    <t>Weight</t>
  </si>
  <si>
    <t>Inches</t>
  </si>
  <si>
    <t>Pounds</t>
  </si>
  <si>
    <t xml:space="preserve">Manual Scoring Sheet - Enter Team and Weight </t>
  </si>
  <si>
    <t>Team</t>
  </si>
  <si>
    <t>Steve Gnotke</t>
  </si>
  <si>
    <t>Dale Rueber</t>
  </si>
  <si>
    <t>Nick Dennison</t>
  </si>
  <si>
    <t>Quinton Wilhelmson</t>
  </si>
  <si>
    <t>Clayton Brandt</t>
  </si>
  <si>
    <t>Josh Rodewald</t>
  </si>
  <si>
    <t>Drew Evans</t>
  </si>
  <si>
    <t>Chad Niemann</t>
  </si>
  <si>
    <t>Ted Mart</t>
  </si>
  <si>
    <t>Benn Grenz</t>
  </si>
  <si>
    <t>Brian Pollak</t>
  </si>
  <si>
    <t>Chris Kujawa</t>
  </si>
  <si>
    <t>Joe Kujawa</t>
  </si>
  <si>
    <t>Gabe Kuettner</t>
  </si>
  <si>
    <t>Jeff Harrison</t>
  </si>
  <si>
    <t>John McDougall</t>
  </si>
  <si>
    <t>Jon Jones</t>
  </si>
  <si>
    <t>Mark Kruger</t>
  </si>
  <si>
    <t>Mike Utley</t>
  </si>
  <si>
    <t>Ron Persik</t>
  </si>
  <si>
    <t>Rylee Holst</t>
  </si>
  <si>
    <t>Steve Hauge</t>
  </si>
  <si>
    <t>Tom Crowe</t>
  </si>
  <si>
    <t>Trevor Gnotke</t>
  </si>
  <si>
    <t>Paul Kramer</t>
  </si>
  <si>
    <t>Chris Stokich</t>
  </si>
  <si>
    <t>Bill Ewald</t>
  </si>
  <si>
    <t>David Iguo</t>
  </si>
  <si>
    <t>Chad Miller</t>
  </si>
  <si>
    <t>Month</t>
  </si>
  <si>
    <t>August</t>
  </si>
  <si>
    <t>September</t>
  </si>
  <si>
    <t>October</t>
  </si>
  <si>
    <t>November</t>
  </si>
  <si>
    <t>December</t>
  </si>
  <si>
    <t>Minutes Late</t>
  </si>
  <si>
    <t>Weight Subtotal</t>
  </si>
  <si>
    <t>Weight Total</t>
  </si>
  <si>
    <t>Rank</t>
  </si>
  <si>
    <t>Fish Caught</t>
  </si>
  <si>
    <t>Duplicate Teams are Highlighted</t>
  </si>
  <si>
    <t>Largest Fish</t>
  </si>
  <si>
    <t>Fish 1 lbs.</t>
  </si>
  <si>
    <t>Fish 2 lbs.</t>
  </si>
  <si>
    <t>Fish 3 lbs.</t>
  </si>
  <si>
    <t>Fish 4 lbs.</t>
  </si>
  <si>
    <t>Fish 5 lbs.</t>
  </si>
  <si>
    <t>Top 5 Points</t>
  </si>
  <si>
    <t>Alone</t>
  </si>
  <si>
    <t>Late</t>
  </si>
  <si>
    <t>Jasper Noid</t>
  </si>
  <si>
    <t xml:space="preserve">Peter Mart </t>
  </si>
  <si>
    <t>Ben Bailey</t>
  </si>
  <si>
    <t>Dave Vollmer</t>
  </si>
  <si>
    <t>Jacob Boynton</t>
  </si>
  <si>
    <t>Josh Kepp</t>
  </si>
  <si>
    <t>Dave Lester</t>
  </si>
  <si>
    <t>Kevin Valento</t>
  </si>
  <si>
    <t>Caleb Buenger</t>
  </si>
  <si>
    <t>Mike Kepp</t>
  </si>
  <si>
    <t>Caiden Haake</t>
  </si>
  <si>
    <t>Steve Kuettner</t>
  </si>
  <si>
    <t>Aaron Carlson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</si>
</sst>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\+0%;0%"/>
    <numFmt numFmtId="165" formatCode="_(* #,##0_);_(* \(#,##0\);_(* &quot;-&quot;??_);_(@_)"/>
    <numFmt numFmtId="166" formatCode="\-0%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FFC00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</cellStyleXfs>
  <cellXfs count="34">
    <xf numFmtId="0" fontId="0" fillId="0" borderId="0" xfId="0"/>
    <xf numFmtId="0" fontId="0" fillId="2" borderId="1" xfId="0" applyFill="1" applyBorder="1"/>
    <xf numFmtId="0" fontId="0" fillId="0" borderId="1" xfId="0" applyBorder="1"/>
    <xf numFmtId="2" fontId="0" fillId="0" borderId="0" xfId="0" applyNumberFormat="1"/>
    <xf numFmtId="0" fontId="1" fillId="0" borderId="1" xfId="0" applyFont="1" applyFill="1" applyBorder="1" applyAlignment="1">
      <alignment horizontal="left" vertical="center" wrapText="1" indent="1"/>
    </xf>
    <xf numFmtId="0" fontId="0" fillId="3" borderId="1" xfId="0" applyFill="1" applyBorder="1"/>
    <xf numFmtId="2" fontId="0" fillId="2" borderId="1" xfId="0" applyNumberFormat="1" applyFill="1" applyBorder="1"/>
    <xf numFmtId="0" fontId="1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2" fontId="1" fillId="0" borderId="1" xfId="0" applyNumberFormat="1" applyFont="1" applyBorder="1" applyAlignment="1">
      <alignment horizontal="left" vertical="center" wrapText="1" indent="1"/>
    </xf>
    <xf numFmtId="2" fontId="1" fillId="0" borderId="1" xfId="0" applyNumberFormat="1" applyFont="1" applyBorder="1" applyAlignment="1">
      <alignment horizontal="left" vertical="center" wrapText="1" indent="1"/>
    </xf>
    <xf numFmtId="2" fontId="2" fillId="4" borderId="1" xfId="0" applyNumberFormat="1" applyFont="1" applyFill="1" applyBorder="1" applyAlignment="1">
      <alignment horizontal="left" vertical="center" wrapText="1" indent="1"/>
    </xf>
    <xf numFmtId="2" fontId="1" fillId="4" borderId="1" xfId="0" applyNumberFormat="1" applyFont="1" applyFill="1" applyBorder="1" applyAlignment="1">
      <alignment horizontal="left" vertical="center" wrapText="1" indent="1"/>
    </xf>
    <xf numFmtId="12" fontId="1" fillId="4" borderId="1" xfId="0" applyNumberFormat="1" applyFont="1" applyFill="1" applyBorder="1" applyAlignment="1">
      <alignment horizontal="left" vertical="center" wrapText="1" indent="1"/>
    </xf>
    <xf numFmtId="0" fontId="3" fillId="7" borderId="0" xfId="5"/>
    <xf numFmtId="0" fontId="4" fillId="5" borderId="0" xfId="3"/>
    <xf numFmtId="0" fontId="3" fillId="6" borderId="0" xfId="4"/>
    <xf numFmtId="43" fontId="0" fillId="0" borderId="0" xfId="1" applyFont="1"/>
    <xf numFmtId="164" fontId="0" fillId="0" borderId="0" xfId="2" applyNumberFormat="1" applyFont="1"/>
    <xf numFmtId="165" fontId="0" fillId="0" borderId="0" xfId="1" applyNumberFormat="1" applyFont="1"/>
    <xf numFmtId="166" fontId="0" fillId="0" borderId="0" xfId="2" applyNumberFormat="1" applyFont="1"/>
    <xf numFmtId="0" fontId="0" fillId="0" borderId="0" xfId="0" applyNumberFormat="1"/>
    <xf numFmtId="2" fontId="0" fillId="0" borderId="0" xfId="1" applyNumberFormat="1" applyFont="1"/>
    <xf numFmtId="0" fontId="3" fillId="8" borderId="0" xfId="6"/>
    <xf numFmtId="0" fontId="4" fillId="9" borderId="0" xfId="7"/>
    <xf numFmtId="0" fontId="0" fillId="7" borderId="0" xfId="5" applyFont="1"/>
    <xf numFmtId="43" fontId="0" fillId="0" borderId="0" xfId="1" applyNumberFormat="1" applyFont="1"/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4" fillId="10" borderId="0" xfId="8" applyProtection="1">
      <protection locked="0"/>
    </xf>
    <xf numFmtId="0" fontId="0" fillId="6" borderId="0" xfId="4" applyFont="1"/>
  </cellXfs>
  <cellStyles count="9">
    <cellStyle name="20% - Accent1" xfId="4" builtinId="30"/>
    <cellStyle name="60% - Accent1" xfId="6" builtinId="32"/>
    <cellStyle name="60% - Accent3" xfId="5" builtinId="40"/>
    <cellStyle name="Accent1" xfId="3" builtinId="29"/>
    <cellStyle name="Accent3" xfId="7" builtinId="37"/>
    <cellStyle name="Accent6" xfId="8" builtinId="49"/>
    <cellStyle name="Comma" xfId="1" builtinId="3"/>
    <cellStyle name="Normal" xfId="0" builtinId="0"/>
    <cellStyle name="Percent" xfId="2" builtinId="5"/>
  </cellStyles>
  <dxfs count="53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0" formatCode="General"/>
    </dxf>
    <dxf>
      <numFmt numFmtId="2" formatCode="0.00"/>
    </dxf>
    <dxf>
      <numFmt numFmtId="165" formatCode="_(* #,##0_);_(* \(#,##0\);_(* &quot;-&quot;??_);_(@_)"/>
    </dxf>
    <dxf>
      <numFmt numFmtId="35" formatCode="_(* #,##0.00_);_(* \(#,##0.00\);_(* &quot;-&quot;??_);_(@_)"/>
    </dxf>
    <dxf>
      <numFmt numFmtId="0" formatCode="General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</dxf>
    <dxf>
      <numFmt numFmtId="164" formatCode="\+0%;0%"/>
    </dxf>
    <dxf>
      <numFmt numFmtId="2" formatCode="0.00"/>
    </dxf>
    <dxf>
      <numFmt numFmtId="2" formatCode="0.00"/>
      <alignment horizontal="center" vertical="bottom" textRotation="0" wrapText="0" indent="0" justifyLastLine="0" shrinkToFit="0" readingOrder="0"/>
      <protection locked="0" hidden="0"/>
    </dxf>
    <dxf>
      <numFmt numFmtId="2" formatCode="0.00"/>
      <protection locked="0" hidden="0"/>
    </dxf>
    <dxf>
      <numFmt numFmtId="2" formatCode="0.00"/>
      <protection locked="0" hidden="0"/>
    </dxf>
    <dxf>
      <numFmt numFmtId="2" formatCode="0.00"/>
      <protection locked="0" hidden="0"/>
    </dxf>
    <dxf>
      <numFmt numFmtId="2" formatCode="0.00"/>
      <protection locked="0" hidden="0"/>
    </dxf>
    <dxf>
      <numFmt numFmtId="2" formatCode="0.00"/>
      <protection locked="0" hidden="0"/>
    </dxf>
    <dxf>
      <protection locked="0" hidden="0"/>
    </dxf>
    <dxf>
      <protection locked="0" hidden="0"/>
    </dxf>
    <dxf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8BC54C-77F3-4590-A845-4D44FDFB6FDF}" name="RosterTABLE" displayName="RosterTABLE" ref="A1:O44" totalsRowShown="0">
  <autoFilter ref="A1:O44" xr:uid="{5BA8B39D-DA80-4582-BE32-A391F6A12313}"/>
  <sortState xmlns:xlrd2="http://schemas.microsoft.com/office/spreadsheetml/2017/richdata2" ref="A2:O44">
    <sortCondition ref="B1:B44"/>
  </sortState>
  <tableColumns count="15">
    <tableColumn id="1" xr3:uid="{8D426F39-A429-4A5F-B50A-41A4E240E169}" name="Name"/>
    <tableColumn id="16" xr3:uid="{AF8FDD50-D980-4B6D-9CFB-E742086141AC}" name="Rank" dataDxfId="49" dataCellStyle="Comma">
      <calculatedColumnFormula>_xlfn.RANK.EQ(RosterTABLE[[#This Row],[Top 5 Points]],RosterTABLE[Top 5 Points])</calculatedColumnFormula>
    </tableColumn>
    <tableColumn id="15" xr3:uid="{300D6986-0554-43FE-B4DE-51A2C89EF96C}" name="Points" dataDxfId="48" dataCellStyle="Comma">
      <calculatedColumnFormula>SUM(RosterTABLE[[#This Row],[April]:[December]])</calculatedColumnFormula>
    </tableColumn>
    <tableColumn id="2" xr3:uid="{A1785F0C-EF49-4E4E-AB75-B1B9365F0AA1}" name="Top 5 Points" dataDxfId="47" dataCellStyle="Comma">
      <calculatedColumnFormula>IFERROR(SUM(LARGE(G2:O2,{1,2,3,4,5})),C2)</calculatedColumnFormula>
    </tableColumn>
    <tableColumn id="17" xr3:uid="{9BDDDF4F-26AD-43B6-97A7-88B86CEEA0C9}" name="Big Fish" dataDxfId="46" dataCellStyle="Comma">
      <calculatedColumnFormula>COUNTIFS(MonthlyScoresTABLE[Angler 1],RosterTABLE[[#This Row],[Name]],MonthlyScoresTABLE[Big Fish],TRUE)+COUNTIFS(MonthlyScoresTABLE[Angler 2],RosterTABLE[[#This Row],[Name]],MonthlyScoresTABLE[Big Fish],TRUE)</calculatedColumnFormula>
    </tableColumn>
    <tableColumn id="18" xr3:uid="{620D4632-4B64-4286-8D28-BCBD6E2E02D9}" name="Fish Caught" dataDxfId="45">
      <calculatedColumnFormula>SUMIFS(MonthlyScoresTABLE['# Fish],MonthlyScoresTABLE[Angler 1],RosterTABLE[[#This Row],[Name]])+SUMIFS(MonthlyScoresTABLE['# Fish],MonthlyScoresTABLE[Angler 2],RosterTABLE[[#This Row],[Name]])</calculatedColumnFormula>
    </tableColumn>
    <tableColumn id="6" xr3:uid="{1D0629AC-2C4A-4B8E-87F0-E880FE9606B3}" name="April" dataCellStyle="Comma">
      <calculatedColumnFormula>SUMIFS(MonthlyScoresTABLE[Points],MonthlyScoresTABLE[Month],G$1,MonthlyScoresTABLE[Angler 1],RosterTABLE[[#This Row],[Name]])+SUMIFS(MonthlyScoresTABLE[Points],MonthlyScoresTABLE[Month],G$1,MonthlyScoresTABLE[Angler 2],RosterTABLE[[#This Row],[Name]])</calculatedColumnFormula>
    </tableColumn>
    <tableColumn id="7" xr3:uid="{5C6FC8EB-99A2-416F-A4F9-940ACC1F5194}" name="May" dataCellStyle="Comma">
      <calculatedColumnFormula>SUMIFS(MonthlyScoresTABLE[Points],MonthlyScoresTABLE[Month],H$1,MonthlyScoresTABLE[Angler 1],RosterTABLE[[#This Row],[Name]])+SUMIFS(MonthlyScoresTABLE[Points],MonthlyScoresTABLE[Month],H$1,MonthlyScoresTABLE[Angler 2],RosterTABLE[[#This Row],[Name]])</calculatedColumnFormula>
    </tableColumn>
    <tableColumn id="8" xr3:uid="{AF911007-2810-4CBA-9FC7-7AABA80934DA}" name="June" dataCellStyle="Comma">
      <calculatedColumnFormula>SUMIFS(MonthlyScoresTABLE[Points],MonthlyScoresTABLE[Month],I$1,MonthlyScoresTABLE[Angler 1],RosterTABLE[[#This Row],[Name]])+SUMIFS(MonthlyScoresTABLE[Points],MonthlyScoresTABLE[Month],I$1,MonthlyScoresTABLE[Angler 2],RosterTABLE[[#This Row],[Name]])</calculatedColumnFormula>
    </tableColumn>
    <tableColumn id="9" xr3:uid="{3B496F63-9631-482D-8405-CD5AACBDF384}" name="July" dataCellStyle="Comma">
      <calculatedColumnFormula>SUMIFS(MonthlyScoresTABLE[Points],MonthlyScoresTABLE[Month],J$1,MonthlyScoresTABLE[Angler 1],RosterTABLE[[#This Row],[Name]])+SUMIFS(MonthlyScoresTABLE[Points],MonthlyScoresTABLE[Month],J$1,MonthlyScoresTABLE[Angler 2],RosterTABLE[[#This Row],[Name]])</calculatedColumnFormula>
    </tableColumn>
    <tableColumn id="10" xr3:uid="{420EF8E8-60C0-4DC5-9CF1-BB3B9023285F}" name="August" dataCellStyle="Comma">
      <calculatedColumnFormula>SUMIFS(MonthlyScoresTABLE[Points],MonthlyScoresTABLE[Month],K$1,MonthlyScoresTABLE[Angler 1],RosterTABLE[[#This Row],[Name]])+SUMIFS(MonthlyScoresTABLE[Points],MonthlyScoresTABLE[Month],K$1,MonthlyScoresTABLE[Angler 2],RosterTABLE[[#This Row],[Name]])</calculatedColumnFormula>
    </tableColumn>
    <tableColumn id="11" xr3:uid="{AAF1B022-A9E0-4528-ABDD-F2942F7569BF}" name="September" dataCellStyle="Comma">
      <calculatedColumnFormula>SUMIFS(MonthlyScoresTABLE[Points],MonthlyScoresTABLE[Month],L$1,MonthlyScoresTABLE[Angler 1],RosterTABLE[[#This Row],[Name]])+SUMIFS(MonthlyScoresTABLE[Points],MonthlyScoresTABLE[Month],L$1,MonthlyScoresTABLE[Angler 2],RosterTABLE[[#This Row],[Name]])</calculatedColumnFormula>
    </tableColumn>
    <tableColumn id="12" xr3:uid="{8C58F501-8419-4C28-91CF-59E966A752F3}" name="October" dataCellStyle="Comma">
      <calculatedColumnFormula>SUMIFS(MonthlyScoresTABLE[Points],MonthlyScoresTABLE[Month],M$1,MonthlyScoresTABLE[Angler 1],RosterTABLE[[#This Row],[Name]])+SUMIFS(MonthlyScoresTABLE[Points],MonthlyScoresTABLE[Month],M$1,MonthlyScoresTABLE[Angler 2],RosterTABLE[[#This Row],[Name]])</calculatedColumnFormula>
    </tableColumn>
    <tableColumn id="13" xr3:uid="{E07869CB-6506-45FD-B315-FDF844C0D649}" name="November" dataCellStyle="Comma">
      <calculatedColumnFormula>SUMIFS(MonthlyScoresTABLE[Points],MonthlyScoresTABLE[Month],N$1,MonthlyScoresTABLE[Angler 1],RosterTABLE[[#This Row],[Name]])+SUMIFS(MonthlyScoresTABLE[Points],MonthlyScoresTABLE[Month],N$1,MonthlyScoresTABLE[Angler 2],RosterTABLE[[#This Row],[Name]])</calculatedColumnFormula>
    </tableColumn>
    <tableColumn id="14" xr3:uid="{661B2A0D-D58C-4E57-995A-BE4D1075C072}" name="December" dataCellStyle="Comma">
      <calculatedColumnFormula>SUMIFS(MonthlyScoresTABLE[Points],MonthlyScoresTABLE[Month],O$1,MonthlyScoresTABLE[Angler 1],RosterTABLE[[#This Row],[Name]])+SUMIFS(MonthlyScoresTABLE[Points],MonthlyScoresTABLE[Month],O$1,MonthlyScoresTABLE[Angler 2],RosterTABLE[[#This Row],[Name]])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05837A4-D444-40A5-A110-186DF24A65BF}" name="MonthlyScoresTABLE" displayName="MonthlyScoresTABLE" ref="A1:Y76" totalsRowShown="0">
  <autoFilter ref="A1:Y76" xr:uid="{AC3E4E9A-98ED-4F50-8105-9CA92C858997}">
    <filterColumn colId="0">
      <filters>
        <filter val="November"/>
      </filters>
    </filterColumn>
  </autoFilter>
  <sortState xmlns:xlrd2="http://schemas.microsoft.com/office/spreadsheetml/2017/richdata2" ref="A47:Y55">
    <sortCondition ref="O1:O76"/>
  </sortState>
  <tableColumns count="25">
    <tableColumn id="15" xr3:uid="{DF498193-FBE6-4AEA-B7B7-7AA2ED421BE6}" name="Month" dataDxfId="27"/>
    <tableColumn id="1" xr3:uid="{42182EEE-1DC0-422F-9D7D-1C95FAA0E81D}" name="Angler 1" dataDxfId="26"/>
    <tableColumn id="2" xr3:uid="{A284952C-A9BC-4573-BC37-AC948F84AAE1}" name="Angler 2" dataDxfId="25"/>
    <tableColumn id="3" xr3:uid="{A7A7D211-8968-4A5F-AB2D-F9D4A29F19F2}" name="Fish 1" dataDxfId="24"/>
    <tableColumn id="4" xr3:uid="{7DCFAF8B-0CC1-4BFA-AC10-CFF283EC2C8C}" name="Fish 2" dataDxfId="23"/>
    <tableColumn id="5" xr3:uid="{4C0FD3B6-8702-49D5-9E02-DD98E4F545C1}" name="Fish 3" dataDxfId="22"/>
    <tableColumn id="6" xr3:uid="{372D99DD-1943-4E10-9955-0CE293458745}" name="Fish 4" dataDxfId="21"/>
    <tableColumn id="7" xr3:uid="{E9CB6CEF-52CB-4C09-85C2-618845929A34}" name="Fish 5" dataDxfId="20"/>
    <tableColumn id="22" xr3:uid="{3F852376-3647-4ED9-B767-DDC97ADCCBA1}" name="Minutes Late" dataDxfId="19"/>
    <tableColumn id="20" xr3:uid="{5F08648D-E6FD-410E-83B7-EB67C451CE9A}" name="Weight" dataDxfId="18" dataCellStyle="Comma">
      <calculatedColumnFormula>SUM(MonthlyScoresTABLE[[#This Row],[Fish 1 lbs.]:[Fish 5 lbs.]])</calculatedColumnFormula>
    </tableColumn>
    <tableColumn id="14" xr3:uid="{DAE0EBEF-9FE9-4F35-9EED-0AE97BF55CA8}" name="Alone" dataDxfId="17" dataCellStyle="Percent">
      <calculatedColumnFormula>IF(COUNTA(MonthlyScoresTABLE[[#This Row],[Angler 1]:[Angler 2]])=1,0.15,0)</calculatedColumnFormula>
    </tableColumn>
    <tableColumn id="21" xr3:uid="{CE0E9ABD-0C80-4DB3-A0FE-E4A12A7F02F0}" name="Weight Subtotal" dataDxfId="16" dataCellStyle="Comma">
      <calculatedColumnFormula>MonthlyScoresTABLE[[#This Row],[Weight]]+(MonthlyScoresTABLE[[#This Row],[Weight]]*MonthlyScoresTABLE[[#This Row],[Alone]])</calculatedColumnFormula>
    </tableColumn>
    <tableColumn id="23" xr3:uid="{6B37707D-9EAB-469C-B8EB-8CC429682558}" name="Late" dataDxfId="15" dataCellStyle="Percent">
      <calculatedColumnFormula>IF(MonthlyScoresTABLE[[#This Row],[Minutes Late]]=0,0,IF(MonthlyScoresTABLE[[#This Row],[Minutes Late]]&lt;=5,0.5,IF(MonthlyScoresTABLE[[#This Row],[Minutes Late]]&gt;5,1)))</calculatedColumnFormula>
    </tableColumn>
    <tableColumn id="17" xr3:uid="{AFA23161-96E1-40B4-9E92-67639A114A36}" name="Weight Total" dataDxfId="14" dataCellStyle="Comma">
      <calculatedColumnFormula>MonthlyScoresTABLE[[#This Row],[Weight Subtotal]]-(MonthlyScoresTABLE[[#This Row],[Weight Subtotal]]*MonthlyScoresTABLE[[#This Row],[Late]])</calculatedColumnFormula>
    </tableColumn>
    <tableColumn id="9" xr3:uid="{AA783A58-329C-4CA3-8CA5-5C8E1D88DDC0}" name="Place" dataDxfId="13">
      <calculatedColumnFormula>IF(MonthlyScoresTABLE[[#This Row],[Weight Total]]&gt;0,COUNTIFS(MonthlyScoresTABLE[Month],MonthlyScoresTABLE[[#This Row],[Month]],MonthlyScoresTABLE[Weight Total],"&gt;"&amp;MonthlyScoresTABLE[[#This Row],[Weight Total]])+1,"")</calculatedColumnFormula>
    </tableColumn>
    <tableColumn id="11" xr3:uid="{FDCA6FE3-188A-4EFA-8B9E-FD21E14B9EEB}" name="Points" dataDxfId="12" dataCellStyle="Comma">
      <calculatedColumnFormula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calculatedColumnFormula>
    </tableColumn>
    <tableColumn id="12" xr3:uid="{1246DD10-D00B-4B9A-B6FF-98ACE544052D}" name="# Fish" dataDxfId="11" dataCellStyle="Comma">
      <calculatedColumnFormula>COUNT(MonthlyScoresTABLE[[#This Row],[Fish 1]:[Fish 5]])</calculatedColumnFormula>
    </tableColumn>
    <tableColumn id="13" xr3:uid="{A1A86BE0-B64F-4ECE-9CA8-B4D26283A05F}" name="Largest Fish" dataDxfId="10" dataCellStyle="Comma">
      <calculatedColumnFormula>MAX(MonthlyScoresTABLE[[#This Row],[Fish 1]:[Fish 5]])</calculatedColumnFormula>
    </tableColumn>
    <tableColumn id="10" xr3:uid="{9D5BE66E-DCD4-43D8-9557-3DA8B22F2E03}" name="Big Fish" dataDxfId="9">
      <calculatedColumnFormula>IF(AND(MonthlyScoresTABLE[[#This Row],[Largest Fish]]&gt;0,_xlfn.MAXIFS(MonthlyScoresTABLE[Largest Fish],MonthlyScoresTABLE[Month],MonthlyScoresTABLE[[#This Row],[Month]])=MonthlyScoresTABLE[[#This Row],[Largest Fish]]),TRUE,"")</calculatedColumnFormula>
    </tableColumn>
    <tableColumn id="16" xr3:uid="{A5353EB3-588D-4DDC-8F98-99B0206757AF}" name="Duplicate Teams are Highlighted" dataDxfId="8">
      <calculatedColumnFormula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calculatedColumnFormula>
    </tableColumn>
    <tableColumn id="24" xr3:uid="{5214C152-C933-4C96-8D0C-76D3F170B0D6}" name="Fish 1 lbs." dataDxfId="7">
      <calculatedColumnFormula>IFERROR(VLOOKUP(MROUND(D2,0.25),Table4[],2,FALSE),0)</calculatedColumnFormula>
    </tableColumn>
    <tableColumn id="25" xr3:uid="{CE8D2C33-8B99-4B8F-9665-D1E1F413B4B5}" name="Fish 2 lbs." dataDxfId="6">
      <calculatedColumnFormula>IFERROR(VLOOKUP(MROUND(E2,0.25),Table4[],2,FALSE),0)</calculatedColumnFormula>
    </tableColumn>
    <tableColumn id="26" xr3:uid="{EECCD83B-FC4B-4C58-A078-EACE1CBA1DC2}" name="Fish 3 lbs." dataDxfId="5">
      <calculatedColumnFormula>IFERROR(VLOOKUP(MROUND(F2,0.25),Table4[],2,FALSE),0)</calculatedColumnFormula>
    </tableColumn>
    <tableColumn id="27" xr3:uid="{1E982CD1-D37E-4545-AE31-F08B75B7F244}" name="Fish 4 lbs." dataDxfId="4">
      <calculatedColumnFormula>IFERROR(VLOOKUP(MROUND(G2,0.25),Table4[],2,FALSE),0)</calculatedColumnFormula>
    </tableColumn>
    <tableColumn id="28" xr3:uid="{BDE0C84F-31B7-4B21-B830-34E360F4D6C1}" name="Fish 5 lbs." dataDxfId="3">
      <calculatedColumnFormula>IFERROR(VLOOKUP(MROUND(H2,0.25),Table4[],2,FALSE),0)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76C0E35-7F52-4792-9D9F-C502F92159D0}" name="DataTABLE" displayName="DataTABLE" ref="A1:A10" totalsRowShown="0">
  <autoFilter ref="A1:A10" xr:uid="{944442C6-5EEA-4B23-8BD3-1FDF6D6E39EB}"/>
  <tableColumns count="1">
    <tableColumn id="1" xr3:uid="{6C20ADBE-32F8-4E26-A106-6EA170CA80EC}" name="Month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DCC856D-4AEA-4A87-BEA2-A0C5F7788004}" name="Table4" displayName="Table4" ref="C1:D102" totalsRowShown="0" dataDxfId="2">
  <autoFilter ref="C1:D102" xr:uid="{38CB7EC7-D776-4784-82C0-86D4727DE146}"/>
  <tableColumns count="2">
    <tableColumn id="1" xr3:uid="{2988C604-B8A7-4E34-B2B0-F93C010DBA1E}" name="Length" dataDxfId="1"/>
    <tableColumn id="2" xr3:uid="{3B5676F3-FB93-415F-90A6-62893510A35B}" name="Weight" dataDxfId="0">
      <calculatedColumnFormula>Table4[[#This Row],[Length]]^3/2700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34E00-881B-4A43-8BA2-6853B7B55D21}">
  <sheetPr>
    <tabColor rgb="FF0070C0"/>
  </sheetPr>
  <dimension ref="A1:O44"/>
  <sheetViews>
    <sheetView showGridLines="0" workbookViewId="0">
      <pane ySplit="1" topLeftCell="A2" activePane="bottomLeft" state="frozen"/>
      <selection pane="bottomLeft" activeCell="A49" sqref="A49"/>
    </sheetView>
  </sheetViews>
  <sheetFormatPr defaultRowHeight="14.4" x14ac:dyDescent="0.3"/>
  <cols>
    <col min="1" max="1" width="19.6640625" customWidth="1"/>
    <col min="2" max="2" width="8.109375" customWidth="1"/>
    <col min="3" max="3" width="8.88671875" bestFit="1" customWidth="1"/>
    <col min="4" max="4" width="14" bestFit="1" customWidth="1"/>
    <col min="5" max="5" width="10" bestFit="1" customWidth="1"/>
    <col min="6" max="6" width="13.44140625" bestFit="1" customWidth="1"/>
    <col min="7" max="7" width="7.5546875" bestFit="1" customWidth="1"/>
    <col min="8" max="10" width="8" bestFit="1" customWidth="1"/>
    <col min="11" max="11" width="9.44140625" bestFit="1" customWidth="1"/>
    <col min="12" max="12" width="13.109375" bestFit="1" customWidth="1"/>
    <col min="13" max="13" width="10.44140625" bestFit="1" customWidth="1"/>
    <col min="14" max="14" width="12.6640625" bestFit="1" customWidth="1"/>
    <col min="15" max="15" width="12.44140625" bestFit="1" customWidth="1"/>
  </cols>
  <sheetData>
    <row r="1" spans="1:15" x14ac:dyDescent="0.3">
      <c r="A1" t="s">
        <v>0</v>
      </c>
      <c r="B1" s="16" t="s">
        <v>61</v>
      </c>
      <c r="C1" s="24" t="s">
        <v>15</v>
      </c>
      <c r="D1" s="24" t="s">
        <v>70</v>
      </c>
      <c r="E1" s="17" t="s">
        <v>14</v>
      </c>
      <c r="F1" s="33" t="s">
        <v>62</v>
      </c>
      <c r="G1" s="25" t="s">
        <v>1</v>
      </c>
      <c r="H1" s="25" t="s">
        <v>2</v>
      </c>
      <c r="I1" s="25" t="s">
        <v>3</v>
      </c>
      <c r="J1" s="25" t="s">
        <v>4</v>
      </c>
      <c r="K1" s="25" t="s">
        <v>53</v>
      </c>
      <c r="L1" s="25" t="s">
        <v>54</v>
      </c>
      <c r="M1" s="25" t="s">
        <v>55</v>
      </c>
      <c r="N1" s="25" t="s">
        <v>56</v>
      </c>
      <c r="O1" s="25" t="s">
        <v>57</v>
      </c>
    </row>
    <row r="2" spans="1:15" x14ac:dyDescent="0.3">
      <c r="A2" t="s">
        <v>27</v>
      </c>
      <c r="B2" s="20">
        <f>_xlfn.RANK.EQ(RosterTABLE[[#This Row],[Top 5 Points]],RosterTABLE[Top 5 Points])</f>
        <v>1</v>
      </c>
      <c r="C2" s="20">
        <f>SUM(RosterTABLE[[#This Row],[April]:[December]])</f>
        <v>541.98742353652688</v>
      </c>
      <c r="D2" s="20">
        <f>IFERROR(SUM(LARGE(G2:O2,{1,2,3,4,5})),C2)</f>
        <v>464.88600229973201</v>
      </c>
      <c r="E2" s="20">
        <f>COUNTIFS(MonthlyScoresTABLE[Angler 1],RosterTABLE[[#This Row],[Name]],MonthlyScoresTABLE[Big Fish],TRUE)+COUNTIFS(MonthlyScoresTABLE[Angler 2],RosterTABLE[[#This Row],[Name]],MonthlyScoresTABLE[Big Fish],TRUE)</f>
        <v>3</v>
      </c>
      <c r="F2">
        <f>SUMIFS(MonthlyScoresTABLE['# Fish],MonthlyScoresTABLE[Angler 1],RosterTABLE[[#This Row],[Name]])+SUMIFS(MonthlyScoresTABLE['# Fish],MonthlyScoresTABLE[Angler 2],RosterTABLE[[#This Row],[Name]])</f>
        <v>26</v>
      </c>
      <c r="G2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2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100</v>
      </c>
      <c r="I2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90.566758919374152</v>
      </c>
      <c r="J2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77.101421236794806</v>
      </c>
      <c r="K2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2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77.766073664703512</v>
      </c>
      <c r="M2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99.548893990835779</v>
      </c>
      <c r="N2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97.004275724818569</v>
      </c>
      <c r="O2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" spans="1:15" x14ac:dyDescent="0.3">
      <c r="A3" t="s">
        <v>77</v>
      </c>
      <c r="B3" s="20">
        <f>_xlfn.RANK.EQ(RosterTABLE[[#This Row],[Top 5 Points]],RosterTABLE[Top 5 Points])</f>
        <v>2</v>
      </c>
      <c r="C3" s="20">
        <f>SUM(RosterTABLE[[#This Row],[April]:[December]])</f>
        <v>448.771582198278</v>
      </c>
      <c r="D3" s="20">
        <f>IFERROR(SUM(LARGE(G3:O3,{1,2,3,4,5})),C3)</f>
        <v>425.36476252647219</v>
      </c>
      <c r="E3" s="20">
        <f>COUNTIFS(MonthlyScoresTABLE[Angler 1],RosterTABLE[[#This Row],[Name]],MonthlyScoresTABLE[Big Fish],TRUE)+COUNTIFS(MonthlyScoresTABLE[Angler 2],RosterTABLE[[#This Row],[Name]],MonthlyScoresTABLE[Big Fish],TRUE)</f>
        <v>1</v>
      </c>
      <c r="F3">
        <f>SUMIFS(MonthlyScoresTABLE['# Fish],MonthlyScoresTABLE[Angler 1],RosterTABLE[[#This Row],[Name]])+SUMIFS(MonthlyScoresTABLE['# Fish],MonthlyScoresTABLE[Angler 2],RosterTABLE[[#This Row],[Name]])</f>
        <v>25</v>
      </c>
      <c r="G3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3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63.030759414477302</v>
      </c>
      <c r="I3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90.566758919374152</v>
      </c>
      <c r="J3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1</v>
      </c>
      <c r="K3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96.06986992919029</v>
      </c>
      <c r="L3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80.930613038864422</v>
      </c>
      <c r="M3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22.406819671805778</v>
      </c>
      <c r="N3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94.766761224566025</v>
      </c>
      <c r="O3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4" spans="1:15" x14ac:dyDescent="0.3">
      <c r="A4" t="s">
        <v>24</v>
      </c>
      <c r="B4" s="20">
        <f>_xlfn.RANK.EQ(RosterTABLE[[#This Row],[Top 5 Points]],RosterTABLE[Top 5 Points])</f>
        <v>3</v>
      </c>
      <c r="C4" s="20">
        <f>SUM(RosterTABLE[[#This Row],[April]:[December]])</f>
        <v>404.17594612507617</v>
      </c>
      <c r="D4" s="20">
        <f>IFERROR(SUM(LARGE(G4:O4,{1,2,3,4,5})),C4)</f>
        <v>403.17594612507617</v>
      </c>
      <c r="E4" s="20">
        <f>COUNTIFS(MonthlyScoresTABLE[Angler 1],RosterTABLE[[#This Row],[Name]],MonthlyScoresTABLE[Big Fish],TRUE)+COUNTIFS(MonthlyScoresTABLE[Angler 2],RosterTABLE[[#This Row],[Name]],MonthlyScoresTABLE[Big Fish],TRUE)</f>
        <v>1</v>
      </c>
      <c r="F4">
        <f>SUMIFS(MonthlyScoresTABLE['# Fish],MonthlyScoresTABLE[Angler 1],RosterTABLE[[#This Row],[Name]])+SUMIFS(MonthlyScoresTABLE['# Fish],MonthlyScoresTABLE[Angler 2],RosterTABLE[[#This Row],[Name]])</f>
        <v>21</v>
      </c>
      <c r="G4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4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4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100</v>
      </c>
      <c r="J4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100</v>
      </c>
      <c r="K4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50.513147109867738</v>
      </c>
      <c r="L4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100</v>
      </c>
      <c r="M4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52.662799015208392</v>
      </c>
      <c r="N4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1</v>
      </c>
      <c r="O4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5" spans="1:15" x14ac:dyDescent="0.3">
      <c r="A5" t="s">
        <v>44</v>
      </c>
      <c r="B5" s="20">
        <f>_xlfn.RANK.EQ(RosterTABLE[[#This Row],[Top 5 Points]],RosterTABLE[Top 5 Points])</f>
        <v>4</v>
      </c>
      <c r="C5" s="20">
        <f>SUM(RosterTABLE[[#This Row],[April]:[December]])</f>
        <v>442.20272382829205</v>
      </c>
      <c r="D5" s="20">
        <f>IFERROR(SUM(LARGE(G5:O5,{1,2,3,4,5})),C5)</f>
        <v>391.5504834726031</v>
      </c>
      <c r="E5" s="20">
        <f>COUNTIFS(MonthlyScoresTABLE[Angler 1],RosterTABLE[[#This Row],[Name]],MonthlyScoresTABLE[Big Fish],TRUE)+COUNTIFS(MonthlyScoresTABLE[Angler 2],RosterTABLE[[#This Row],[Name]],MonthlyScoresTABLE[Big Fish],TRUE)</f>
        <v>1</v>
      </c>
      <c r="F5">
        <f>SUMIFS(MonthlyScoresTABLE['# Fish],MonthlyScoresTABLE[Angler 1],RosterTABLE[[#This Row],[Name]])+SUMIFS(MonthlyScoresTABLE['# Fish],MonthlyScoresTABLE[Angler 2],RosterTABLE[[#This Row],[Name]])</f>
        <v>24</v>
      </c>
      <c r="G5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5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28.245420683883211</v>
      </c>
      <c r="I5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57.505920341279271</v>
      </c>
      <c r="J5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100</v>
      </c>
      <c r="K5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56.278489466620321</v>
      </c>
      <c r="L5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77.766073664703512</v>
      </c>
      <c r="M5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22.406819671805778</v>
      </c>
      <c r="N5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100</v>
      </c>
      <c r="O5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6" spans="1:15" x14ac:dyDescent="0.3">
      <c r="A6" t="s">
        <v>74</v>
      </c>
      <c r="B6" s="20">
        <f>_xlfn.RANK.EQ(RosterTABLE[[#This Row],[Top 5 Points]],RosterTABLE[Top 5 Points])</f>
        <v>5</v>
      </c>
      <c r="C6" s="20">
        <f>SUM(RosterTABLE[[#This Row],[April]:[December]])</f>
        <v>389.31921509096981</v>
      </c>
      <c r="D6" s="20">
        <f>IFERROR(SUM(LARGE(G6:O6,{1,2,3,4,5})),C6)</f>
        <v>389.31921509096992</v>
      </c>
      <c r="E6" s="20">
        <f>COUNTIFS(MonthlyScoresTABLE[Angler 1],RosterTABLE[[#This Row],[Name]],MonthlyScoresTABLE[Big Fish],TRUE)+COUNTIFS(MonthlyScoresTABLE[Angler 2],RosterTABLE[[#This Row],[Name]],MonthlyScoresTABLE[Big Fish],TRUE)</f>
        <v>1</v>
      </c>
      <c r="F6">
        <f>SUMIFS(MonthlyScoresTABLE['# Fish],MonthlyScoresTABLE[Angler 1],RosterTABLE[[#This Row],[Name]])+SUMIFS(MonthlyScoresTABLE['# Fish],MonthlyScoresTABLE[Angler 2],RosterTABLE[[#This Row],[Name]])</f>
        <v>21</v>
      </c>
      <c r="G6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6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100</v>
      </c>
      <c r="I6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6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58.236386027247221</v>
      </c>
      <c r="K6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6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51.470463083413378</v>
      </c>
      <c r="M6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100</v>
      </c>
      <c r="N6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79.612365980309249</v>
      </c>
      <c r="O6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7" spans="1:15" x14ac:dyDescent="0.3">
      <c r="A7" t="s">
        <v>31</v>
      </c>
      <c r="B7" s="20">
        <f>_xlfn.RANK.EQ(RosterTABLE[[#This Row],[Top 5 Points]],RosterTABLE[Top 5 Points])</f>
        <v>6</v>
      </c>
      <c r="C7" s="20">
        <f>SUM(RosterTABLE[[#This Row],[April]:[December]])</f>
        <v>395.16600053339306</v>
      </c>
      <c r="D7" s="20">
        <f>IFERROR(SUM(LARGE(G7:O7,{1,2,3,4,5})),C7)</f>
        <v>385.06102749010034</v>
      </c>
      <c r="E7" s="20">
        <f>COUNTIFS(MonthlyScoresTABLE[Angler 1],RosterTABLE[[#This Row],[Name]],MonthlyScoresTABLE[Big Fish],TRUE)+COUNTIFS(MonthlyScoresTABLE[Angler 2],RosterTABLE[[#This Row],[Name]],MonthlyScoresTABLE[Big Fish],TRUE)</f>
        <v>1</v>
      </c>
      <c r="F7">
        <f>SUMIFS(MonthlyScoresTABLE['# Fish],MonthlyScoresTABLE[Angler 1],RosterTABLE[[#This Row],[Name]])+SUMIFS(MonthlyScoresTABLE['# Fish],MonthlyScoresTABLE[Angler 2],RosterTABLE[[#This Row],[Name]])</f>
        <v>21</v>
      </c>
      <c r="G7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7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37.489424379653371</v>
      </c>
      <c r="I7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7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10.104973043292704</v>
      </c>
      <c r="K7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77.587423994239785</v>
      </c>
      <c r="L7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100</v>
      </c>
      <c r="M7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69.984179116207201</v>
      </c>
      <c r="N7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100</v>
      </c>
      <c r="O7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8" spans="1:15" x14ac:dyDescent="0.3">
      <c r="A8" t="s">
        <v>34</v>
      </c>
      <c r="B8" s="20">
        <f>_xlfn.RANK.EQ(RosterTABLE[[#This Row],[Top 5 Points]],RosterTABLE[Top 5 Points])</f>
        <v>7</v>
      </c>
      <c r="C8" s="20">
        <f>SUM(RosterTABLE[[#This Row],[April]:[December]])</f>
        <v>292.51440155974763</v>
      </c>
      <c r="D8" s="20">
        <f>IFERROR(SUM(LARGE(G8:O8,{1,2,3,4,5})),C8)</f>
        <v>292.51440155974763</v>
      </c>
      <c r="E8" s="20">
        <f>COUNTIFS(MonthlyScoresTABLE[Angler 1],RosterTABLE[[#This Row],[Name]],MonthlyScoresTABLE[Big Fish],TRUE)+COUNTIFS(MonthlyScoresTABLE[Angler 2],RosterTABLE[[#This Row],[Name]],MonthlyScoresTABLE[Big Fish],TRUE)</f>
        <v>0</v>
      </c>
      <c r="F8">
        <f>SUMIFS(MonthlyScoresTABLE['# Fish],MonthlyScoresTABLE[Angler 1],RosterTABLE[[#This Row],[Name]])+SUMIFS(MonthlyScoresTABLE['# Fish],MonthlyScoresTABLE[Angler 2],RosterTABLE[[#This Row],[Name]])</f>
        <v>18</v>
      </c>
      <c r="G8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8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8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59.66636527939977</v>
      </c>
      <c r="J8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69.983892821057339</v>
      </c>
      <c r="K8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8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8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68.097382234724492</v>
      </c>
      <c r="N8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94.766761224566025</v>
      </c>
      <c r="O8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9" spans="1:15" x14ac:dyDescent="0.3">
      <c r="A9" t="s">
        <v>36</v>
      </c>
      <c r="B9" s="20">
        <f>_xlfn.RANK.EQ(RosterTABLE[[#This Row],[Top 5 Points]],RosterTABLE[Top 5 Points])</f>
        <v>8</v>
      </c>
      <c r="C9" s="20">
        <f>SUM(RosterTABLE[[#This Row],[April]:[December]])</f>
        <v>262.55542406638597</v>
      </c>
      <c r="D9" s="20">
        <f>IFERROR(SUM(LARGE(G9:O9,{1,2,3,4,5})),C9)</f>
        <v>260.55542406638602</v>
      </c>
      <c r="E9" s="20">
        <f>COUNTIFS(MonthlyScoresTABLE[Angler 1],RosterTABLE[[#This Row],[Name]],MonthlyScoresTABLE[Big Fish],TRUE)+COUNTIFS(MonthlyScoresTABLE[Angler 2],RosterTABLE[[#This Row],[Name]],MonthlyScoresTABLE[Big Fish],TRUE)</f>
        <v>1</v>
      </c>
      <c r="F9">
        <f>SUMIFS(MonthlyScoresTABLE['# Fish],MonthlyScoresTABLE[Angler 1],RosterTABLE[[#This Row],[Name]])+SUMIFS(MonthlyScoresTABLE['# Fish],MonthlyScoresTABLE[Angler 2],RosterTABLE[[#This Row],[Name]])</f>
        <v>20</v>
      </c>
      <c r="G9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9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1</v>
      </c>
      <c r="I9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57.505920341279271</v>
      </c>
      <c r="J9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51.987462624403214</v>
      </c>
      <c r="K9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50.513147109867738</v>
      </c>
      <c r="L9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1</v>
      </c>
      <c r="M9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99.548893990835779</v>
      </c>
      <c r="N9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1</v>
      </c>
      <c r="O9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10" spans="1:15" x14ac:dyDescent="0.3">
      <c r="A10" t="s">
        <v>32</v>
      </c>
      <c r="B10" s="20">
        <f>_xlfn.RANK.EQ(RosterTABLE[[#This Row],[Top 5 Points]],RosterTABLE[Top 5 Points])</f>
        <v>9</v>
      </c>
      <c r="C10" s="20">
        <f>SUM(RosterTABLE[[#This Row],[April]:[December]])</f>
        <v>251.45401175496181</v>
      </c>
      <c r="D10" s="20">
        <f>IFERROR(SUM(LARGE(G10:O10,{1,2,3,4,5})),C10)</f>
        <v>251.45401175496178</v>
      </c>
      <c r="E10" s="20">
        <f>COUNTIFS(MonthlyScoresTABLE[Angler 1],RosterTABLE[[#This Row],[Name]],MonthlyScoresTABLE[Big Fish],TRUE)+COUNTIFS(MonthlyScoresTABLE[Angler 2],RosterTABLE[[#This Row],[Name]],MonthlyScoresTABLE[Big Fish],TRUE)</f>
        <v>1</v>
      </c>
      <c r="F10">
        <f>SUMIFS(MonthlyScoresTABLE['# Fish],MonthlyScoresTABLE[Angler 1],RosterTABLE[[#This Row],[Name]])+SUMIFS(MonthlyScoresTABLE['# Fish],MonthlyScoresTABLE[Angler 2],RosterTABLE[[#This Row],[Name]])</f>
        <v>13</v>
      </c>
      <c r="G10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10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26.096446342969127</v>
      </c>
      <c r="I10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91.977654708577532</v>
      </c>
      <c r="J10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77.101421236794806</v>
      </c>
      <c r="K10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56.278489466620321</v>
      </c>
      <c r="L10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10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10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10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11" spans="1:15" x14ac:dyDescent="0.3">
      <c r="A11" t="s">
        <v>79</v>
      </c>
      <c r="B11" s="20">
        <f>_xlfn.RANK.EQ(RosterTABLE[[#This Row],[Top 5 Points]],RosterTABLE[Top 5 Points])</f>
        <v>10</v>
      </c>
      <c r="C11" s="20">
        <f>SUM(RosterTABLE[[#This Row],[April]:[December]])</f>
        <v>243.55364965673641</v>
      </c>
      <c r="D11" s="20">
        <f>IFERROR(SUM(LARGE(G11:O11,{1,2,3,4,5})),C11)</f>
        <v>243.55364965673641</v>
      </c>
      <c r="E11" s="20">
        <f>COUNTIFS(MonthlyScoresTABLE[Angler 1],RosterTABLE[[#This Row],[Name]],MonthlyScoresTABLE[Big Fish],TRUE)+COUNTIFS(MonthlyScoresTABLE[Angler 2],RosterTABLE[[#This Row],[Name]],MonthlyScoresTABLE[Big Fish],TRUE)</f>
        <v>1</v>
      </c>
      <c r="F11">
        <f>SUMIFS(MonthlyScoresTABLE['# Fish],MonthlyScoresTABLE[Angler 1],RosterTABLE[[#This Row],[Name]])+SUMIFS(MonthlyScoresTABLE['# Fish],MonthlyScoresTABLE[Angler 2],RosterTABLE[[#This Row],[Name]])</f>
        <v>9</v>
      </c>
      <c r="G11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11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11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11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92.083186573323019</v>
      </c>
      <c r="K11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100</v>
      </c>
      <c r="L11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51.470463083413378</v>
      </c>
      <c r="M11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11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11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12" spans="1:15" x14ac:dyDescent="0.3">
      <c r="A12" t="s">
        <v>45</v>
      </c>
      <c r="B12" s="20">
        <f>_xlfn.RANK.EQ(RosterTABLE[[#This Row],[Top 5 Points]],RosterTABLE[Top 5 Points])</f>
        <v>11</v>
      </c>
      <c r="C12" s="20">
        <f>SUM(RosterTABLE[[#This Row],[April]:[December]])</f>
        <v>223.22307539246074</v>
      </c>
      <c r="D12" s="20">
        <f>IFERROR(SUM(LARGE(G12:O12,{1,2,3,4,5})),C12)</f>
        <v>222.22307539246071</v>
      </c>
      <c r="E12" s="20">
        <f>COUNTIFS(MonthlyScoresTABLE[Angler 1],RosterTABLE[[#This Row],[Name]],MonthlyScoresTABLE[Big Fish],TRUE)+COUNTIFS(MonthlyScoresTABLE[Angler 2],RosterTABLE[[#This Row],[Name]],MonthlyScoresTABLE[Big Fish],TRUE)</f>
        <v>1</v>
      </c>
      <c r="F12" s="22">
        <f>SUMIFS(MonthlyScoresTABLE['# Fish],MonthlyScoresTABLE[Angler 1],RosterTABLE[[#This Row],[Name]])+SUMIFS(MonthlyScoresTABLE['# Fish],MonthlyScoresTABLE[Angler 2],RosterTABLE[[#This Row],[Name]])</f>
        <v>15</v>
      </c>
      <c r="G12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12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28.245420683883211</v>
      </c>
      <c r="I12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91.977654708577532</v>
      </c>
      <c r="J12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1</v>
      </c>
      <c r="K12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100</v>
      </c>
      <c r="L12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1</v>
      </c>
      <c r="M12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12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1</v>
      </c>
      <c r="O12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13" spans="1:15" x14ac:dyDescent="0.3">
      <c r="A13" t="s">
        <v>47</v>
      </c>
      <c r="B13" s="20">
        <f>_xlfn.RANK.EQ(RosterTABLE[[#This Row],[Top 5 Points]],RosterTABLE[Top 5 Points])</f>
        <v>12</v>
      </c>
      <c r="C13" s="20">
        <f>SUM(RosterTABLE[[#This Row],[April]:[December]])</f>
        <v>208.12558574154943</v>
      </c>
      <c r="D13" s="20">
        <f>IFERROR(SUM(LARGE(G13:O13,{1,2,3,4,5})),C13)</f>
        <v>208.12558574154946</v>
      </c>
      <c r="E13" s="20">
        <f>COUNTIFS(MonthlyScoresTABLE[Angler 1],RosterTABLE[[#This Row],[Name]],MonthlyScoresTABLE[Big Fish],TRUE)+COUNTIFS(MonthlyScoresTABLE[Angler 2],RosterTABLE[[#This Row],[Name]],MonthlyScoresTABLE[Big Fish],TRUE)</f>
        <v>0</v>
      </c>
      <c r="F13">
        <f>SUMIFS(MonthlyScoresTABLE['# Fish],MonthlyScoresTABLE[Angler 1],RosterTABLE[[#This Row],[Name]])+SUMIFS(MonthlyScoresTABLE['# Fish],MonthlyScoresTABLE[Angler 2],RosterTABLE[[#This Row],[Name]])</f>
        <v>13</v>
      </c>
      <c r="G13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13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75.850420746031801</v>
      </c>
      <c r="I13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13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13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13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13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52.662799015208392</v>
      </c>
      <c r="N13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79.612365980309249</v>
      </c>
      <c r="O13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14" spans="1:15" x14ac:dyDescent="0.3">
      <c r="A14" t="s">
        <v>39</v>
      </c>
      <c r="B14" s="20">
        <f>_xlfn.RANK.EQ(RosterTABLE[[#This Row],[Top 5 Points]],RosterTABLE[Top 5 Points])</f>
        <v>13</v>
      </c>
      <c r="C14" s="20">
        <f>SUM(RosterTABLE[[#This Row],[April]:[December]])</f>
        <v>197.66999318770087</v>
      </c>
      <c r="D14" s="20">
        <f>IFERROR(SUM(LARGE(G14:O14,{1,2,3,4,5})),C14)</f>
        <v>197.66999318770087</v>
      </c>
      <c r="E14" s="20">
        <f>COUNTIFS(MonthlyScoresTABLE[Angler 1],RosterTABLE[[#This Row],[Name]],MonthlyScoresTABLE[Big Fish],TRUE)+COUNTIFS(MonthlyScoresTABLE[Angler 2],RosterTABLE[[#This Row],[Name]],MonthlyScoresTABLE[Big Fish],TRUE)</f>
        <v>0</v>
      </c>
      <c r="F14">
        <f>SUMIFS(MonthlyScoresTABLE['# Fish],MonthlyScoresTABLE[Angler 1],RosterTABLE[[#This Row],[Name]])+SUMIFS(MonthlyScoresTABLE['# Fish],MonthlyScoresTABLE[Angler 2],RosterTABLE[[#This Row],[Name]])</f>
        <v>15</v>
      </c>
      <c r="G14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14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37.489424379653371</v>
      </c>
      <c r="I14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14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92.083186573323019</v>
      </c>
      <c r="K14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14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14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68.097382234724492</v>
      </c>
      <c r="N14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14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15" spans="1:15" x14ac:dyDescent="0.3">
      <c r="A15" t="s">
        <v>38</v>
      </c>
      <c r="B15" s="20">
        <f>_xlfn.RANK.EQ(RosterTABLE[[#This Row],[Top 5 Points]],RosterTABLE[Top 5 Points])</f>
        <v>14</v>
      </c>
      <c r="C15" s="20">
        <f>SUM(RosterTABLE[[#This Row],[April]:[December]])</f>
        <v>197.47321708232741</v>
      </c>
      <c r="D15" s="20">
        <f>IFERROR(SUM(LARGE(G15:O15,{1,2,3,4,5})),C15)</f>
        <v>196.47321708232741</v>
      </c>
      <c r="E15" s="20">
        <f>COUNTIFS(MonthlyScoresTABLE[Angler 1],RosterTABLE[[#This Row],[Name]],MonthlyScoresTABLE[Big Fish],TRUE)+COUNTIFS(MonthlyScoresTABLE[Angler 2],RosterTABLE[[#This Row],[Name]],MonthlyScoresTABLE[Big Fish],TRUE)</f>
        <v>0</v>
      </c>
      <c r="F15">
        <f>SUMIFS(MonthlyScoresTABLE['# Fish],MonthlyScoresTABLE[Angler 1],RosterTABLE[[#This Row],[Name]])+SUMIFS(MonthlyScoresTABLE['# Fish],MonthlyScoresTABLE[Angler 2],RosterTABLE[[#This Row],[Name]])</f>
        <v>14</v>
      </c>
      <c r="G15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15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8.1715052805595025</v>
      </c>
      <c r="I15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15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69.983892821057339</v>
      </c>
      <c r="K15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30.004964077778251</v>
      </c>
      <c r="L15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1</v>
      </c>
      <c r="M15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69.984179116207201</v>
      </c>
      <c r="N15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18.328675786725121</v>
      </c>
      <c r="O15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16" spans="1:15" x14ac:dyDescent="0.3">
      <c r="A16" t="s">
        <v>30</v>
      </c>
      <c r="B16" s="20">
        <f>_xlfn.RANK.EQ(RosterTABLE[[#This Row],[Top 5 Points]],RosterTABLE[Top 5 Points])</f>
        <v>15</v>
      </c>
      <c r="C16" s="20">
        <f>SUM(RosterTABLE[[#This Row],[April]:[December]])</f>
        <v>175.8504207460318</v>
      </c>
      <c r="D16" s="20">
        <f>IFERROR(SUM(LARGE(G16:O16,{1,2,3,4,5})),C16)</f>
        <v>175.8504207460318</v>
      </c>
      <c r="E16" s="20">
        <f>COUNTIFS(MonthlyScoresTABLE[Angler 1],RosterTABLE[[#This Row],[Name]],MonthlyScoresTABLE[Big Fish],TRUE)+COUNTIFS(MonthlyScoresTABLE[Angler 2],RosterTABLE[[#This Row],[Name]],MonthlyScoresTABLE[Big Fish],TRUE)</f>
        <v>1</v>
      </c>
      <c r="F16">
        <f>SUMIFS(MonthlyScoresTABLE['# Fish],MonthlyScoresTABLE[Angler 1],RosterTABLE[[#This Row],[Name]])+SUMIFS(MonthlyScoresTABLE['# Fish],MonthlyScoresTABLE[Angler 2],RosterTABLE[[#This Row],[Name]])</f>
        <v>10</v>
      </c>
      <c r="G16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16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75.850420746031801</v>
      </c>
      <c r="I16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100</v>
      </c>
      <c r="J16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16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16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16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16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16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17" spans="1:15" x14ac:dyDescent="0.3">
      <c r="A17" t="s">
        <v>75</v>
      </c>
      <c r="B17" s="20">
        <f>_xlfn.RANK.EQ(RosterTABLE[[#This Row],[Top 5 Points]],RosterTABLE[Top 5 Points])</f>
        <v>16</v>
      </c>
      <c r="C17" s="20">
        <f>SUM(RosterTABLE[[#This Row],[April]:[December]])</f>
        <v>140.16699906611166</v>
      </c>
      <c r="D17" s="20">
        <f>IFERROR(SUM(LARGE(G17:O17,{1,2,3,4,5})),C17)</f>
        <v>140.16699906611166</v>
      </c>
      <c r="E17" s="20">
        <f>COUNTIFS(MonthlyScoresTABLE[Angler 1],RosterTABLE[[#This Row],[Name]],MonthlyScoresTABLE[Big Fish],TRUE)+COUNTIFS(MonthlyScoresTABLE[Angler 2],RosterTABLE[[#This Row],[Name]],MonthlyScoresTABLE[Big Fish],TRUE)</f>
        <v>1</v>
      </c>
      <c r="F17">
        <f>SUMIFS(MonthlyScoresTABLE['# Fish],MonthlyScoresTABLE[Angler 1],RosterTABLE[[#This Row],[Name]])+SUMIFS(MonthlyScoresTABLE['# Fish],MonthlyScoresTABLE[Angler 2],RosterTABLE[[#This Row],[Name]])</f>
        <v>7</v>
      </c>
      <c r="G17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17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1</v>
      </c>
      <c r="I17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17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58.236386027247221</v>
      </c>
      <c r="K17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17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80.930613038864422</v>
      </c>
      <c r="M17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17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17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18" spans="1:15" x14ac:dyDescent="0.3">
      <c r="A18" t="s">
        <v>78</v>
      </c>
      <c r="B18" s="20">
        <f>_xlfn.RANK.EQ(RosterTABLE[[#This Row],[Top 5 Points]],RosterTABLE[Top 5 Points])</f>
        <v>17</v>
      </c>
      <c r="C18" s="20">
        <f>SUM(RosterTABLE[[#This Row],[April]:[December]])</f>
        <v>139.52891515715078</v>
      </c>
      <c r="D18" s="20">
        <f>IFERROR(SUM(LARGE(G18:O18,{1,2,3,4,5})),C18)</f>
        <v>139.52891515715078</v>
      </c>
      <c r="E18" s="20">
        <f>COUNTIFS(MonthlyScoresTABLE[Angler 1],RosterTABLE[[#This Row],[Name]],MonthlyScoresTABLE[Big Fish],TRUE)+COUNTIFS(MonthlyScoresTABLE[Angler 2],RosterTABLE[[#This Row],[Name]],MonthlyScoresTABLE[Big Fish],TRUE)</f>
        <v>0</v>
      </c>
      <c r="F18">
        <f>SUMIFS(MonthlyScoresTABLE['# Fish],MonthlyScoresTABLE[Angler 1],RosterTABLE[[#This Row],[Name]])+SUMIFS(MonthlyScoresTABLE['# Fish],MonthlyScoresTABLE[Angler 2],RosterTABLE[[#This Row],[Name]])</f>
        <v>11</v>
      </c>
      <c r="G18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18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18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59.66636527939977</v>
      </c>
      <c r="J18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48.857585799972753</v>
      </c>
      <c r="K18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30.004964077778251</v>
      </c>
      <c r="L18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1</v>
      </c>
      <c r="M18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18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18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19" spans="1:15" x14ac:dyDescent="0.3">
      <c r="A19" t="s">
        <v>25</v>
      </c>
      <c r="B19" s="20">
        <f>_xlfn.RANK.EQ(RosterTABLE[[#This Row],[Top 5 Points]],RosterTABLE[Top 5 Points])</f>
        <v>18</v>
      </c>
      <c r="C19" s="20">
        <f>SUM(RosterTABLE[[#This Row],[April]:[December]])</f>
        <v>109.02528216365182</v>
      </c>
      <c r="D19" s="20">
        <f>IFERROR(SUM(LARGE(G19:O19,{1,2,3,4,5})),C19)</f>
        <v>109.02528216365182</v>
      </c>
      <c r="E19" s="20">
        <f>COUNTIFS(MonthlyScoresTABLE[Angler 1],RosterTABLE[[#This Row],[Name]],MonthlyScoresTABLE[Big Fish],TRUE)+COUNTIFS(MonthlyScoresTABLE[Angler 2],RosterTABLE[[#This Row],[Name]],MonthlyScoresTABLE[Big Fish],TRUE)</f>
        <v>0</v>
      </c>
      <c r="F19">
        <f>SUMIFS(MonthlyScoresTABLE['# Fish],MonthlyScoresTABLE[Angler 1],RosterTABLE[[#This Row],[Name]])+SUMIFS(MonthlyScoresTABLE['# Fish],MonthlyScoresTABLE[Angler 2],RosterTABLE[[#This Row],[Name]])</f>
        <v>8</v>
      </c>
      <c r="G19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19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19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19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31.437858169412042</v>
      </c>
      <c r="K19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77.587423994239785</v>
      </c>
      <c r="L19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19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19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19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20" spans="1:15" x14ac:dyDescent="0.3">
      <c r="A20" t="s">
        <v>28</v>
      </c>
      <c r="B20" s="20">
        <f>_xlfn.RANK.EQ(RosterTABLE[[#This Row],[Top 5 Points]],RosterTABLE[Top 5 Points])</f>
        <v>19</v>
      </c>
      <c r="C20" s="20">
        <f>SUM(RosterTABLE[[#This Row],[April]:[December]])</f>
        <v>98.316773431220255</v>
      </c>
      <c r="D20" s="20">
        <f>IFERROR(SUM(LARGE(G20:O20,{1,2,3,4,5})),C20)</f>
        <v>98.316773431220255</v>
      </c>
      <c r="E20" s="20">
        <f>COUNTIFS(MonthlyScoresTABLE[Angler 1],RosterTABLE[[#This Row],[Name]],MonthlyScoresTABLE[Big Fish],TRUE)+COUNTIFS(MonthlyScoresTABLE[Angler 2],RosterTABLE[[#This Row],[Name]],MonthlyScoresTABLE[Big Fish],TRUE)</f>
        <v>0</v>
      </c>
      <c r="F20">
        <f>SUMIFS(MonthlyScoresTABLE['# Fish],MonthlyScoresTABLE[Angler 1],RosterTABLE[[#This Row],[Name]])+SUMIFS(MonthlyScoresTABLE['# Fish],MonthlyScoresTABLE[Angler 2],RosterTABLE[[#This Row],[Name]])</f>
        <v>5</v>
      </c>
      <c r="G20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20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20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98.316773431220255</v>
      </c>
      <c r="J20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20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20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20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20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20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21" spans="1:15" x14ac:dyDescent="0.3">
      <c r="A21" t="s">
        <v>26</v>
      </c>
      <c r="B21" s="20">
        <f>_xlfn.RANK.EQ(RosterTABLE[[#This Row],[Top 5 Points]],RosterTABLE[Top 5 Points])</f>
        <v>19</v>
      </c>
      <c r="C21" s="20">
        <f>SUM(RosterTABLE[[#This Row],[April]:[December]])</f>
        <v>98.316773431220255</v>
      </c>
      <c r="D21" s="20">
        <f>IFERROR(SUM(LARGE(G21:O21,{1,2,3,4,5})),C21)</f>
        <v>98.316773431220255</v>
      </c>
      <c r="E21" s="20">
        <f>COUNTIFS(MonthlyScoresTABLE[Angler 1],RosterTABLE[[#This Row],[Name]],MonthlyScoresTABLE[Big Fish],TRUE)+COUNTIFS(MonthlyScoresTABLE[Angler 2],RosterTABLE[[#This Row],[Name]],MonthlyScoresTABLE[Big Fish],TRUE)</f>
        <v>0</v>
      </c>
      <c r="F21">
        <f>SUMIFS(MonthlyScoresTABLE['# Fish],MonthlyScoresTABLE[Angler 1],RosterTABLE[[#This Row],[Name]])+SUMIFS(MonthlyScoresTABLE['# Fish],MonthlyScoresTABLE[Angler 2],RosterTABLE[[#This Row],[Name]])</f>
        <v>5</v>
      </c>
      <c r="G21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21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21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98.316773431220255</v>
      </c>
      <c r="J21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21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21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21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21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21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22" spans="1:15" x14ac:dyDescent="0.3">
      <c r="A22" t="s">
        <v>42</v>
      </c>
      <c r="B22" s="20">
        <f>_xlfn.RANK.EQ(RosterTABLE[[#This Row],[Top 5 Points]],RosterTABLE[Top 5 Points])</f>
        <v>21</v>
      </c>
      <c r="C22" s="20">
        <f>SUM(RosterTABLE[[#This Row],[April]:[December]])</f>
        <v>98.004275724818569</v>
      </c>
      <c r="D22" s="20">
        <f>IFERROR(SUM(LARGE(G22:O22,{1,2,3,4,5})),C22)</f>
        <v>98.004275724818569</v>
      </c>
      <c r="E22" s="20">
        <f>COUNTIFS(MonthlyScoresTABLE[Angler 1],RosterTABLE[[#This Row],[Name]],MonthlyScoresTABLE[Big Fish],TRUE)+COUNTIFS(MonthlyScoresTABLE[Angler 2],RosterTABLE[[#This Row],[Name]],MonthlyScoresTABLE[Big Fish],TRUE)</f>
        <v>0</v>
      </c>
      <c r="F22">
        <f>SUMIFS(MonthlyScoresTABLE['# Fish],MonthlyScoresTABLE[Angler 1],RosterTABLE[[#This Row],[Name]])+SUMIFS(MonthlyScoresTABLE['# Fish],MonthlyScoresTABLE[Angler 2],RosterTABLE[[#This Row],[Name]])</f>
        <v>6</v>
      </c>
      <c r="G22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22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22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22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1</v>
      </c>
      <c r="K22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22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22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22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97.004275724818569</v>
      </c>
      <c r="O22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23" spans="1:15" x14ac:dyDescent="0.3">
      <c r="A23" t="s">
        <v>83</v>
      </c>
      <c r="B23" s="20">
        <f>_xlfn.RANK.EQ(RosterTABLE[[#This Row],[Top 5 Points]],RosterTABLE[Top 5 Points])</f>
        <v>22</v>
      </c>
      <c r="C23" s="20">
        <f>SUM(RosterTABLE[[#This Row],[April]:[December]])</f>
        <v>96.06986992919029</v>
      </c>
      <c r="D23" s="20">
        <f>IFERROR(SUM(LARGE(G23:O23,{1,2,3,4,5})),C23)</f>
        <v>96.06986992919029</v>
      </c>
      <c r="E23" s="20">
        <f>COUNTIFS(MonthlyScoresTABLE[Angler 1],RosterTABLE[[#This Row],[Name]],MonthlyScoresTABLE[Big Fish],TRUE)+COUNTIFS(MonthlyScoresTABLE[Angler 2],RosterTABLE[[#This Row],[Name]],MonthlyScoresTABLE[Big Fish],TRUE)</f>
        <v>0</v>
      </c>
      <c r="F23">
        <f>SUMIFS(MonthlyScoresTABLE['# Fish],MonthlyScoresTABLE[Angler 1],RosterTABLE[[#This Row],[Name]])+SUMIFS(MonthlyScoresTABLE['# Fish],MonthlyScoresTABLE[Angler 2],RosterTABLE[[#This Row],[Name]])</f>
        <v>5</v>
      </c>
      <c r="G23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23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23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23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23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96.06986992919029</v>
      </c>
      <c r="L23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23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23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23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24" spans="1:15" x14ac:dyDescent="0.3">
      <c r="A24" t="s">
        <v>46</v>
      </c>
      <c r="B24" s="20">
        <f>_xlfn.RANK.EQ(RosterTABLE[[#This Row],[Top 5 Points]],RosterTABLE[Top 5 Points])</f>
        <v>23</v>
      </c>
      <c r="C24" s="20">
        <f>SUM(RosterTABLE[[#This Row],[April]:[December]])</f>
        <v>63.030759414477302</v>
      </c>
      <c r="D24" s="20">
        <f>IFERROR(SUM(LARGE(G24:O24,{1,2,3,4,5})),C24)</f>
        <v>63.030759414477302</v>
      </c>
      <c r="E24" s="20">
        <f>COUNTIFS(MonthlyScoresTABLE[Angler 1],RosterTABLE[[#This Row],[Name]],MonthlyScoresTABLE[Big Fish],TRUE)+COUNTIFS(MonthlyScoresTABLE[Angler 2],RosterTABLE[[#This Row],[Name]],MonthlyScoresTABLE[Big Fish],TRUE)</f>
        <v>0</v>
      </c>
      <c r="F24" s="22">
        <f>SUMIFS(MonthlyScoresTABLE['# Fish],MonthlyScoresTABLE[Angler 1],RosterTABLE[[#This Row],[Name]])+SUMIFS(MonthlyScoresTABLE['# Fish],MonthlyScoresTABLE[Angler 2],RosterTABLE[[#This Row],[Name]])</f>
        <v>5</v>
      </c>
      <c r="G24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24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63.030759414477302</v>
      </c>
      <c r="I24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24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24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24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24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24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24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25" spans="1:15" x14ac:dyDescent="0.3">
      <c r="A25" t="s">
        <v>51</v>
      </c>
      <c r="B25" s="20">
        <f>_xlfn.RANK.EQ(RosterTABLE[[#This Row],[Top 5 Points]],RosterTABLE[Top 5 Points])</f>
        <v>24</v>
      </c>
      <c r="C25" s="20">
        <f>SUM(RosterTABLE[[#This Row],[April]:[December]])</f>
        <v>52.987462624403214</v>
      </c>
      <c r="D25" s="20">
        <f>IFERROR(SUM(LARGE(G25:O25,{1,2,3,4,5})),C25)</f>
        <v>52.987462624403214</v>
      </c>
      <c r="E25" s="20">
        <f>COUNTIFS(MonthlyScoresTABLE[Angler 1],RosterTABLE[[#This Row],[Name]],MonthlyScoresTABLE[Big Fish],TRUE)+COUNTIFS(MonthlyScoresTABLE[Angler 2],RosterTABLE[[#This Row],[Name]],MonthlyScoresTABLE[Big Fish],TRUE)</f>
        <v>0</v>
      </c>
      <c r="F25">
        <f>SUMIFS(MonthlyScoresTABLE['# Fish],MonthlyScoresTABLE[Angler 1],RosterTABLE[[#This Row],[Name]])+SUMIFS(MonthlyScoresTABLE['# Fish],MonthlyScoresTABLE[Angler 2],RosterTABLE[[#This Row],[Name]])</f>
        <v>5</v>
      </c>
      <c r="G25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25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1</v>
      </c>
      <c r="I25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25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51.987462624403214</v>
      </c>
      <c r="K25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25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25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25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25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26" spans="1:15" x14ac:dyDescent="0.3">
      <c r="A26" t="s">
        <v>82</v>
      </c>
      <c r="B26" s="20">
        <f>_xlfn.RANK.EQ(RosterTABLE[[#This Row],[Top 5 Points]],RosterTABLE[Top 5 Points])</f>
        <v>25</v>
      </c>
      <c r="C26" s="20">
        <f>SUM(RosterTABLE[[#This Row],[April]:[December]])</f>
        <v>48.857585799972753</v>
      </c>
      <c r="D26" s="20">
        <f>IFERROR(SUM(LARGE(G26:O26,{1,2,3,4,5})),C26)</f>
        <v>48.857585799972753</v>
      </c>
      <c r="E26" s="20">
        <f>COUNTIFS(MonthlyScoresTABLE[Angler 1],RosterTABLE[[#This Row],[Name]],MonthlyScoresTABLE[Big Fish],TRUE)+COUNTIFS(MonthlyScoresTABLE[Angler 2],RosterTABLE[[#This Row],[Name]],MonthlyScoresTABLE[Big Fish],TRUE)</f>
        <v>0</v>
      </c>
      <c r="F26">
        <f>SUMIFS(MonthlyScoresTABLE['# Fish],MonthlyScoresTABLE[Angler 1],RosterTABLE[[#This Row],[Name]])+SUMIFS(MonthlyScoresTABLE['# Fish],MonthlyScoresTABLE[Angler 2],RosterTABLE[[#This Row],[Name]])</f>
        <v>5</v>
      </c>
      <c r="G26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26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26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26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48.857585799972753</v>
      </c>
      <c r="K26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26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26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26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26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27" spans="1:15" x14ac:dyDescent="0.3">
      <c r="A27" t="s">
        <v>41</v>
      </c>
      <c r="B27" s="20">
        <f>_xlfn.RANK.EQ(RosterTABLE[[#This Row],[Top 5 Points]],RosterTABLE[Top 5 Points])</f>
        <v>26</v>
      </c>
      <c r="C27" s="20">
        <f>SUM(RosterTABLE[[#This Row],[April]:[December]])</f>
        <v>31.437858169412042</v>
      </c>
      <c r="D27" s="20">
        <f>IFERROR(SUM(LARGE(G27:O27,{1,2,3,4,5})),C27)</f>
        <v>31.437858169412042</v>
      </c>
      <c r="E27" s="20">
        <f>COUNTIFS(MonthlyScoresTABLE[Angler 1],RosterTABLE[[#This Row],[Name]],MonthlyScoresTABLE[Big Fish],TRUE)+COUNTIFS(MonthlyScoresTABLE[Angler 2],RosterTABLE[[#This Row],[Name]],MonthlyScoresTABLE[Big Fish],TRUE)</f>
        <v>0</v>
      </c>
      <c r="F27">
        <f>SUMIFS(MonthlyScoresTABLE['# Fish],MonthlyScoresTABLE[Angler 1],RosterTABLE[[#This Row],[Name]])+SUMIFS(MonthlyScoresTABLE['# Fish],MonthlyScoresTABLE[Angler 2],RosterTABLE[[#This Row],[Name]])</f>
        <v>4</v>
      </c>
      <c r="G27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27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27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27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31.437858169412042</v>
      </c>
      <c r="K27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27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27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27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27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28" spans="1:15" x14ac:dyDescent="0.3">
      <c r="A28" t="s">
        <v>43</v>
      </c>
      <c r="B28" s="20">
        <f>_xlfn.RANK.EQ(RosterTABLE[[#This Row],[Top 5 Points]],RosterTABLE[Top 5 Points])</f>
        <v>27</v>
      </c>
      <c r="C28" s="20">
        <f>SUM(RosterTABLE[[#This Row],[April]:[December]])</f>
        <v>26.096446342969127</v>
      </c>
      <c r="D28" s="20">
        <f>IFERROR(SUM(LARGE(G28:O28,{1,2,3,4,5})),C28)</f>
        <v>26.096446342969127</v>
      </c>
      <c r="E28" s="20">
        <f>COUNTIFS(MonthlyScoresTABLE[Angler 1],RosterTABLE[[#This Row],[Name]],MonthlyScoresTABLE[Big Fish],TRUE)+COUNTIFS(MonthlyScoresTABLE[Angler 2],RosterTABLE[[#This Row],[Name]],MonthlyScoresTABLE[Big Fish],TRUE)</f>
        <v>0</v>
      </c>
      <c r="F28">
        <f>SUMIFS(MonthlyScoresTABLE['# Fish],MonthlyScoresTABLE[Angler 1],RosterTABLE[[#This Row],[Name]])+SUMIFS(MonthlyScoresTABLE['# Fish],MonthlyScoresTABLE[Angler 2],RosterTABLE[[#This Row],[Name]])</f>
        <v>1</v>
      </c>
      <c r="G28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28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26.096446342969127</v>
      </c>
      <c r="I28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28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28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28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28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28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28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29" spans="1:15" x14ac:dyDescent="0.3">
      <c r="A29" t="s">
        <v>80</v>
      </c>
      <c r="B29" s="20">
        <f>_xlfn.RANK.EQ(RosterTABLE[[#This Row],[Top 5 Points]],RosterTABLE[Top 5 Points])</f>
        <v>28</v>
      </c>
      <c r="C29" s="20">
        <f>SUM(RosterTABLE[[#This Row],[April]:[December]])</f>
        <v>10.104973043292704</v>
      </c>
      <c r="D29" s="20">
        <f>IFERROR(SUM(LARGE(G29:O29,{1,2,3,4,5})),C29)</f>
        <v>10.104973043292704</v>
      </c>
      <c r="E29" s="20">
        <f>COUNTIFS(MonthlyScoresTABLE[Angler 1],RosterTABLE[[#This Row],[Name]],MonthlyScoresTABLE[Big Fish],TRUE)+COUNTIFS(MonthlyScoresTABLE[Angler 2],RosterTABLE[[#This Row],[Name]],MonthlyScoresTABLE[Big Fish],TRUE)</f>
        <v>0</v>
      </c>
      <c r="F29">
        <f>SUMIFS(MonthlyScoresTABLE['# Fish],MonthlyScoresTABLE[Angler 1],RosterTABLE[[#This Row],[Name]])+SUMIFS(MonthlyScoresTABLE['# Fish],MonthlyScoresTABLE[Angler 2],RosterTABLE[[#This Row],[Name]])</f>
        <v>1</v>
      </c>
      <c r="G29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29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29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29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10.104973043292704</v>
      </c>
      <c r="K29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29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29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29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29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0" spans="1:15" x14ac:dyDescent="0.3">
      <c r="A30" t="s">
        <v>76</v>
      </c>
      <c r="B30" s="20">
        <f>_xlfn.RANK.EQ(RosterTABLE[[#This Row],[Top 5 Points]],RosterTABLE[Top 5 Points])</f>
        <v>29</v>
      </c>
      <c r="C30" s="20">
        <f>SUM(RosterTABLE[[#This Row],[April]:[December]])</f>
        <v>2</v>
      </c>
      <c r="D30" s="20">
        <f>IFERROR(SUM(LARGE(G30:O30,{1,2,3,4,5})),C30)</f>
        <v>2</v>
      </c>
      <c r="E30" s="20">
        <f>COUNTIFS(MonthlyScoresTABLE[Angler 1],RosterTABLE[[#This Row],[Name]],MonthlyScoresTABLE[Big Fish],TRUE)+COUNTIFS(MonthlyScoresTABLE[Angler 2],RosterTABLE[[#This Row],[Name]],MonthlyScoresTABLE[Big Fish],TRUE)</f>
        <v>0</v>
      </c>
      <c r="F30">
        <f>SUMIFS(MonthlyScoresTABLE['# Fish],MonthlyScoresTABLE[Angler 1],RosterTABLE[[#This Row],[Name]])+SUMIFS(MonthlyScoresTABLE['# Fish],MonthlyScoresTABLE[Angler 2],RosterTABLE[[#This Row],[Name]])</f>
        <v>1</v>
      </c>
      <c r="G30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30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1</v>
      </c>
      <c r="I30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30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1</v>
      </c>
      <c r="K30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30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30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30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30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1" spans="1:15" x14ac:dyDescent="0.3">
      <c r="A31" t="s">
        <v>50</v>
      </c>
      <c r="B31" s="20">
        <f>_xlfn.RANK.EQ(RosterTABLE[[#This Row],[Top 5 Points]],RosterTABLE[Top 5 Points])</f>
        <v>30</v>
      </c>
      <c r="C31" s="20">
        <f>SUM(RosterTABLE[[#This Row],[April]:[December]])</f>
        <v>1</v>
      </c>
      <c r="D31" s="20">
        <f>IFERROR(SUM(LARGE(G31:O31,{1,2,3,4,5})),C31)</f>
        <v>1</v>
      </c>
      <c r="E31" s="20">
        <f>COUNTIFS(MonthlyScoresTABLE[Angler 1],RosterTABLE[[#This Row],[Name]],MonthlyScoresTABLE[Big Fish],TRUE)+COUNTIFS(MonthlyScoresTABLE[Angler 2],RosterTABLE[[#This Row],[Name]],MonthlyScoresTABLE[Big Fish],TRUE)</f>
        <v>0</v>
      </c>
      <c r="F31">
        <f>SUMIFS(MonthlyScoresTABLE['# Fish],MonthlyScoresTABLE[Angler 1],RosterTABLE[[#This Row],[Name]])+SUMIFS(MonthlyScoresTABLE['# Fish],MonthlyScoresTABLE[Angler 2],RosterTABLE[[#This Row],[Name]])</f>
        <v>1</v>
      </c>
      <c r="G31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31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31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31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31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31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1</v>
      </c>
      <c r="M31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31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31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2" spans="1:15" x14ac:dyDescent="0.3">
      <c r="A32" t="s">
        <v>84</v>
      </c>
      <c r="B32" s="20">
        <f>_xlfn.RANK.EQ(RosterTABLE[[#This Row],[Top 5 Points]],RosterTABLE[Top 5 Points])</f>
        <v>30</v>
      </c>
      <c r="C32" s="20">
        <f>SUM(RosterTABLE[[#This Row],[April]:[December]])</f>
        <v>1</v>
      </c>
      <c r="D32" s="20">
        <f>IFERROR(SUM(LARGE(G32:O32,{1,2,3,4,5})),C32)</f>
        <v>1</v>
      </c>
      <c r="E32" s="20">
        <f>COUNTIFS(MonthlyScoresTABLE[Angler 1],RosterTABLE[[#This Row],[Name]],MonthlyScoresTABLE[Big Fish],TRUE)+COUNTIFS(MonthlyScoresTABLE[Angler 2],RosterTABLE[[#This Row],[Name]],MonthlyScoresTABLE[Big Fish],TRUE)</f>
        <v>0</v>
      </c>
      <c r="F32">
        <f>SUMIFS(MonthlyScoresTABLE['# Fish],MonthlyScoresTABLE[Angler 1],RosterTABLE[[#This Row],[Name]])+SUMIFS(MonthlyScoresTABLE['# Fish],MonthlyScoresTABLE[Angler 2],RosterTABLE[[#This Row],[Name]])</f>
        <v>1</v>
      </c>
      <c r="G32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32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32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32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32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32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1</v>
      </c>
      <c r="M32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32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32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3" spans="1:15" x14ac:dyDescent="0.3">
      <c r="A33" t="s">
        <v>85</v>
      </c>
      <c r="B33" s="20">
        <f>_xlfn.RANK.EQ(RosterTABLE[[#This Row],[Top 5 Points]],RosterTABLE[Top 5 Points])</f>
        <v>32</v>
      </c>
      <c r="C33" s="20">
        <f>SUM(RosterTABLE[[#This Row],[April]:[December]])</f>
        <v>0</v>
      </c>
      <c r="D33" s="20">
        <f>IFERROR(SUM(LARGE(G33:O33,{1,2,3,4,5})),C33)</f>
        <v>0</v>
      </c>
      <c r="E33" s="20">
        <f>COUNTIFS(MonthlyScoresTABLE[Angler 1],RosterTABLE[[#This Row],[Name]],MonthlyScoresTABLE[Big Fish],TRUE)+COUNTIFS(MonthlyScoresTABLE[Angler 2],RosterTABLE[[#This Row],[Name]],MonthlyScoresTABLE[Big Fish],TRUE)</f>
        <v>0</v>
      </c>
      <c r="F33">
        <f>SUMIFS(MonthlyScoresTABLE['# Fish],MonthlyScoresTABLE[Angler 1],RosterTABLE[[#This Row],[Name]])+SUMIFS(MonthlyScoresTABLE['# Fish],MonthlyScoresTABLE[Angler 2],RosterTABLE[[#This Row],[Name]])</f>
        <v>0</v>
      </c>
      <c r="G33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33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33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33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33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33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33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33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33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4" spans="1:15" x14ac:dyDescent="0.3">
      <c r="A34" t="s">
        <v>49</v>
      </c>
      <c r="B34" s="20">
        <f>_xlfn.RANK.EQ(RosterTABLE[[#This Row],[Top 5 Points]],RosterTABLE[Top 5 Points])</f>
        <v>32</v>
      </c>
      <c r="C34" s="20">
        <f>SUM(RosterTABLE[[#This Row],[April]:[December]])</f>
        <v>0</v>
      </c>
      <c r="D34" s="20">
        <f>IFERROR(SUM(LARGE(G34:O34,{1,2,3,4,5})),C34)</f>
        <v>0</v>
      </c>
      <c r="E34" s="20">
        <f>COUNTIFS(MonthlyScoresTABLE[Angler 1],RosterTABLE[[#This Row],[Name]],MonthlyScoresTABLE[Big Fish],TRUE)+COUNTIFS(MonthlyScoresTABLE[Angler 2],RosterTABLE[[#This Row],[Name]],MonthlyScoresTABLE[Big Fish],TRUE)</f>
        <v>0</v>
      </c>
      <c r="F34">
        <f>SUMIFS(MonthlyScoresTABLE['# Fish],MonthlyScoresTABLE[Angler 1],RosterTABLE[[#This Row],[Name]])+SUMIFS(MonthlyScoresTABLE['# Fish],MonthlyScoresTABLE[Angler 2],RosterTABLE[[#This Row],[Name]])</f>
        <v>0</v>
      </c>
      <c r="G34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34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34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34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34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34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34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34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34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5" spans="1:15" x14ac:dyDescent="0.3">
      <c r="A35" t="s">
        <v>33</v>
      </c>
      <c r="B35" s="20">
        <f>_xlfn.RANK.EQ(RosterTABLE[[#This Row],[Top 5 Points]],RosterTABLE[Top 5 Points])</f>
        <v>32</v>
      </c>
      <c r="C35" s="20">
        <f>SUM(RosterTABLE[[#This Row],[April]:[December]])</f>
        <v>0</v>
      </c>
      <c r="D35" s="20">
        <f>IFERROR(SUM(LARGE(G35:O35,{1,2,3,4,5})),C35)</f>
        <v>0</v>
      </c>
      <c r="E35" s="20">
        <f>COUNTIFS(MonthlyScoresTABLE[Angler 1],RosterTABLE[[#This Row],[Name]],MonthlyScoresTABLE[Big Fish],TRUE)+COUNTIFS(MonthlyScoresTABLE[Angler 2],RosterTABLE[[#This Row],[Name]],MonthlyScoresTABLE[Big Fish],TRUE)</f>
        <v>0</v>
      </c>
      <c r="F35">
        <f>SUMIFS(MonthlyScoresTABLE['# Fish],MonthlyScoresTABLE[Angler 1],RosterTABLE[[#This Row],[Name]])+SUMIFS(MonthlyScoresTABLE['# Fish],MonthlyScoresTABLE[Angler 2],RosterTABLE[[#This Row],[Name]])</f>
        <v>0</v>
      </c>
      <c r="G35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35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35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35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35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35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35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35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35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6" spans="1:15" x14ac:dyDescent="0.3">
      <c r="A36" t="s">
        <v>81</v>
      </c>
      <c r="B36" s="20">
        <f>_xlfn.RANK.EQ(RosterTABLE[[#This Row],[Top 5 Points]],RosterTABLE[Top 5 Points])</f>
        <v>32</v>
      </c>
      <c r="C36" s="20">
        <f>SUM(RosterTABLE[[#This Row],[April]:[December]])</f>
        <v>0</v>
      </c>
      <c r="D36" s="20">
        <f>IFERROR(SUM(LARGE(G36:O36,{1,2,3,4,5})),C36)</f>
        <v>0</v>
      </c>
      <c r="E36" s="20">
        <f>COUNTIFS(MonthlyScoresTABLE[Angler 1],RosterTABLE[[#This Row],[Name]],MonthlyScoresTABLE[Big Fish],TRUE)+COUNTIFS(MonthlyScoresTABLE[Angler 2],RosterTABLE[[#This Row],[Name]],MonthlyScoresTABLE[Big Fish],TRUE)</f>
        <v>0</v>
      </c>
      <c r="F36">
        <f>SUMIFS(MonthlyScoresTABLE['# Fish],MonthlyScoresTABLE[Angler 1],RosterTABLE[[#This Row],[Name]])+SUMIFS(MonthlyScoresTABLE['# Fish],MonthlyScoresTABLE[Angler 2],RosterTABLE[[#This Row],[Name]])</f>
        <v>0</v>
      </c>
      <c r="G36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36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36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36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36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36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36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36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36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7" spans="1:15" x14ac:dyDescent="0.3">
      <c r="A37" t="s">
        <v>48</v>
      </c>
      <c r="B37" s="20">
        <f>_xlfn.RANK.EQ(RosterTABLE[[#This Row],[Top 5 Points]],RosterTABLE[Top 5 Points])</f>
        <v>32</v>
      </c>
      <c r="C37" s="20">
        <f>SUM(RosterTABLE[[#This Row],[April]:[December]])</f>
        <v>0</v>
      </c>
      <c r="D37" s="20">
        <f>IFERROR(SUM(LARGE(G37:O37,{1,2,3,4,5})),C37)</f>
        <v>0</v>
      </c>
      <c r="E37" s="20">
        <f>COUNTIFS(MonthlyScoresTABLE[Angler 1],RosterTABLE[[#This Row],[Name]],MonthlyScoresTABLE[Big Fish],TRUE)+COUNTIFS(MonthlyScoresTABLE[Angler 2],RosterTABLE[[#This Row],[Name]],MonthlyScoresTABLE[Big Fish],TRUE)</f>
        <v>0</v>
      </c>
      <c r="F37">
        <f>SUMIFS(MonthlyScoresTABLE['# Fish],MonthlyScoresTABLE[Angler 1],RosterTABLE[[#This Row],[Name]])+SUMIFS(MonthlyScoresTABLE['# Fish],MonthlyScoresTABLE[Angler 2],RosterTABLE[[#This Row],[Name]])</f>
        <v>0</v>
      </c>
      <c r="G37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37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37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37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37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37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37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37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37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8" spans="1:15" x14ac:dyDescent="0.3">
      <c r="A38" t="s">
        <v>29</v>
      </c>
      <c r="B38" s="20">
        <f>_xlfn.RANK.EQ(RosterTABLE[[#This Row],[Top 5 Points]],RosterTABLE[Top 5 Points])</f>
        <v>32</v>
      </c>
      <c r="C38" s="20">
        <f>SUM(RosterTABLE[[#This Row],[April]:[December]])</f>
        <v>0</v>
      </c>
      <c r="D38" s="20">
        <f>IFERROR(SUM(LARGE(G38:O38,{1,2,3,4,5})),C38)</f>
        <v>0</v>
      </c>
      <c r="E38" s="20">
        <f>COUNTIFS(MonthlyScoresTABLE[Angler 1],RosterTABLE[[#This Row],[Name]],MonthlyScoresTABLE[Big Fish],TRUE)+COUNTIFS(MonthlyScoresTABLE[Angler 2],RosterTABLE[[#This Row],[Name]],MonthlyScoresTABLE[Big Fish],TRUE)</f>
        <v>0</v>
      </c>
      <c r="F38">
        <f>SUMIFS(MonthlyScoresTABLE['# Fish],MonthlyScoresTABLE[Angler 1],RosterTABLE[[#This Row],[Name]])+SUMIFS(MonthlyScoresTABLE['# Fish],MonthlyScoresTABLE[Angler 2],RosterTABLE[[#This Row],[Name]])</f>
        <v>0</v>
      </c>
      <c r="G38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38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38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38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38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38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38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38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38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39" spans="1:15" x14ac:dyDescent="0.3">
      <c r="A39" t="s">
        <v>73</v>
      </c>
      <c r="B39" s="20">
        <f>_xlfn.RANK.EQ(RosterTABLE[[#This Row],[Top 5 Points]],RosterTABLE[Top 5 Points])</f>
        <v>32</v>
      </c>
      <c r="C39" s="20">
        <f>SUM(RosterTABLE[[#This Row],[April]:[December]])</f>
        <v>0</v>
      </c>
      <c r="D39" s="20">
        <f>IFERROR(SUM(LARGE(G39:O39,{1,2,3,4,5})),C39)</f>
        <v>0</v>
      </c>
      <c r="E39" s="20">
        <f>COUNTIFS(MonthlyScoresTABLE[Angler 1],RosterTABLE[[#This Row],[Name]],MonthlyScoresTABLE[Big Fish],TRUE)+COUNTIFS(MonthlyScoresTABLE[Angler 2],RosterTABLE[[#This Row],[Name]],MonthlyScoresTABLE[Big Fish],TRUE)</f>
        <v>0</v>
      </c>
      <c r="F39">
        <f>SUMIFS(MonthlyScoresTABLE['# Fish],MonthlyScoresTABLE[Angler 1],RosterTABLE[[#This Row],[Name]])+SUMIFS(MonthlyScoresTABLE['# Fish],MonthlyScoresTABLE[Angler 2],RosterTABLE[[#This Row],[Name]])</f>
        <v>0</v>
      </c>
      <c r="G39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39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39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39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39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39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39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39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39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40" spans="1:15" x14ac:dyDescent="0.3">
      <c r="A40" t="s">
        <v>37</v>
      </c>
      <c r="B40" s="20">
        <f>_xlfn.RANK.EQ(RosterTABLE[[#This Row],[Top 5 Points]],RosterTABLE[Top 5 Points])</f>
        <v>32</v>
      </c>
      <c r="C40" s="20">
        <f>SUM(RosterTABLE[[#This Row],[April]:[December]])</f>
        <v>0</v>
      </c>
      <c r="D40" s="20">
        <f>IFERROR(SUM(LARGE(G40:O40,{1,2,3,4,5})),C40)</f>
        <v>0</v>
      </c>
      <c r="E40" s="20">
        <f>COUNTIFS(MonthlyScoresTABLE[Angler 1],RosterTABLE[[#This Row],[Name]],MonthlyScoresTABLE[Big Fish],TRUE)+COUNTIFS(MonthlyScoresTABLE[Angler 2],RosterTABLE[[#This Row],[Name]],MonthlyScoresTABLE[Big Fish],TRUE)</f>
        <v>0</v>
      </c>
      <c r="F40">
        <f>SUMIFS(MonthlyScoresTABLE['# Fish],MonthlyScoresTABLE[Angler 1],RosterTABLE[[#This Row],[Name]])+SUMIFS(MonthlyScoresTABLE['# Fish],MonthlyScoresTABLE[Angler 2],RosterTABLE[[#This Row],[Name]])</f>
        <v>0</v>
      </c>
      <c r="G40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40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40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40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40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40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40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40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40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41" spans="1:15" x14ac:dyDescent="0.3">
      <c r="A41" t="s">
        <v>35</v>
      </c>
      <c r="B41" s="20">
        <f>_xlfn.RANK.EQ(RosterTABLE[[#This Row],[Top 5 Points]],RosterTABLE[Top 5 Points])</f>
        <v>32</v>
      </c>
      <c r="C41" s="20">
        <f>SUM(RosterTABLE[[#This Row],[April]:[December]])</f>
        <v>0</v>
      </c>
      <c r="D41" s="20">
        <f>IFERROR(SUM(LARGE(G41:O41,{1,2,3,4,5})),C41)</f>
        <v>0</v>
      </c>
      <c r="E41" s="20">
        <f>COUNTIFS(MonthlyScoresTABLE[Angler 1],RosterTABLE[[#This Row],[Name]],MonthlyScoresTABLE[Big Fish],TRUE)+COUNTIFS(MonthlyScoresTABLE[Angler 2],RosterTABLE[[#This Row],[Name]],MonthlyScoresTABLE[Big Fish],TRUE)</f>
        <v>0</v>
      </c>
      <c r="F41">
        <f>SUMIFS(MonthlyScoresTABLE['# Fish],MonthlyScoresTABLE[Angler 1],RosterTABLE[[#This Row],[Name]])+SUMIFS(MonthlyScoresTABLE['# Fish],MonthlyScoresTABLE[Angler 2],RosterTABLE[[#This Row],[Name]])</f>
        <v>0</v>
      </c>
      <c r="G41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41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41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41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41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41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41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41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41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42" spans="1:15" x14ac:dyDescent="0.3">
      <c r="A42" t="s">
        <v>40</v>
      </c>
      <c r="B42" s="20">
        <f>_xlfn.RANK.EQ(RosterTABLE[[#This Row],[Top 5 Points]],RosterTABLE[Top 5 Points])</f>
        <v>32</v>
      </c>
      <c r="C42" s="20">
        <f>SUM(RosterTABLE[[#This Row],[April]:[December]])</f>
        <v>0</v>
      </c>
      <c r="D42" s="20">
        <f>IFERROR(SUM(LARGE(G42:O42,{1,2,3,4,5})),C42)</f>
        <v>0</v>
      </c>
      <c r="E42" s="20">
        <f>COUNTIFS(MonthlyScoresTABLE[Angler 1],RosterTABLE[[#This Row],[Name]],MonthlyScoresTABLE[Big Fish],TRUE)+COUNTIFS(MonthlyScoresTABLE[Angler 2],RosterTABLE[[#This Row],[Name]],MonthlyScoresTABLE[Big Fish],TRUE)</f>
        <v>0</v>
      </c>
      <c r="F42">
        <f>SUMIFS(MonthlyScoresTABLE['# Fish],MonthlyScoresTABLE[Angler 1],RosterTABLE[[#This Row],[Name]])+SUMIFS(MonthlyScoresTABLE['# Fish],MonthlyScoresTABLE[Angler 2],RosterTABLE[[#This Row],[Name]])</f>
        <v>0</v>
      </c>
      <c r="G42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42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42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42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42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42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42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42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42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43" spans="1:15" x14ac:dyDescent="0.3">
      <c r="A43" t="s">
        <v>23</v>
      </c>
      <c r="B43" s="20">
        <f>_xlfn.RANK.EQ(RosterTABLE[[#This Row],[Top 5 Points]],RosterTABLE[Top 5 Points])</f>
        <v>32</v>
      </c>
      <c r="C43" s="20">
        <f>SUM(RosterTABLE[[#This Row],[April]:[December]])</f>
        <v>0</v>
      </c>
      <c r="D43" s="20">
        <f>IFERROR(SUM(LARGE(G43:O43,{1,2,3,4,5})),C43)</f>
        <v>0</v>
      </c>
      <c r="E43" s="20">
        <f>COUNTIFS(MonthlyScoresTABLE[Angler 1],RosterTABLE[[#This Row],[Name]],MonthlyScoresTABLE[Big Fish],TRUE)+COUNTIFS(MonthlyScoresTABLE[Angler 2],RosterTABLE[[#This Row],[Name]],MonthlyScoresTABLE[Big Fish],TRUE)</f>
        <v>0</v>
      </c>
      <c r="F43">
        <f>SUMIFS(MonthlyScoresTABLE['# Fish],MonthlyScoresTABLE[Angler 1],RosterTABLE[[#This Row],[Name]])+SUMIFS(MonthlyScoresTABLE['# Fish],MonthlyScoresTABLE[Angler 2],RosterTABLE[[#This Row],[Name]])</f>
        <v>0</v>
      </c>
      <c r="G43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43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43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43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43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43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43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43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43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  <row r="44" spans="1:15" x14ac:dyDescent="0.3">
      <c r="B44" s="20">
        <f>_xlfn.RANK.EQ(RosterTABLE[[#This Row],[Top 5 Points]],RosterTABLE[Top 5 Points])</f>
        <v>32</v>
      </c>
      <c r="C44" s="20">
        <f>SUM(RosterTABLE[[#This Row],[April]:[December]])</f>
        <v>0</v>
      </c>
      <c r="D44" s="20">
        <f>IFERROR(SUM(LARGE(G44:O44,{1,2,3,4,5})),C44)</f>
        <v>0</v>
      </c>
      <c r="E44" s="20">
        <f>COUNTIFS(MonthlyScoresTABLE[Angler 1],RosterTABLE[[#This Row],[Name]],MonthlyScoresTABLE[Big Fish],TRUE)+COUNTIFS(MonthlyScoresTABLE[Angler 2],RosterTABLE[[#This Row],[Name]],MonthlyScoresTABLE[Big Fish],TRUE)</f>
        <v>0</v>
      </c>
      <c r="F44">
        <f>SUMIFS(MonthlyScoresTABLE['# Fish],MonthlyScoresTABLE[Angler 1],RosterTABLE[[#This Row],[Name]])+SUMIFS(MonthlyScoresTABLE['# Fish],MonthlyScoresTABLE[Angler 2],RosterTABLE[[#This Row],[Name]])</f>
        <v>0</v>
      </c>
      <c r="G44" s="18">
        <f>SUMIFS(MonthlyScoresTABLE[Points],MonthlyScoresTABLE[Month],G$1,MonthlyScoresTABLE[Angler 1],RosterTABLE[[#This Row],[Name]])+SUMIFS(MonthlyScoresTABLE[Points],MonthlyScoresTABLE[Month],G$1,MonthlyScoresTABLE[Angler 2],RosterTABLE[[#This Row],[Name]])</f>
        <v>0</v>
      </c>
      <c r="H44" s="18">
        <f>SUMIFS(MonthlyScoresTABLE[Points],MonthlyScoresTABLE[Month],H$1,MonthlyScoresTABLE[Angler 1],RosterTABLE[[#This Row],[Name]])+SUMIFS(MonthlyScoresTABLE[Points],MonthlyScoresTABLE[Month],H$1,MonthlyScoresTABLE[Angler 2],RosterTABLE[[#This Row],[Name]])</f>
        <v>0</v>
      </c>
      <c r="I44" s="18">
        <f>SUMIFS(MonthlyScoresTABLE[Points],MonthlyScoresTABLE[Month],I$1,MonthlyScoresTABLE[Angler 1],RosterTABLE[[#This Row],[Name]])+SUMIFS(MonthlyScoresTABLE[Points],MonthlyScoresTABLE[Month],I$1,MonthlyScoresTABLE[Angler 2],RosterTABLE[[#This Row],[Name]])</f>
        <v>0</v>
      </c>
      <c r="J44" s="18">
        <f>SUMIFS(MonthlyScoresTABLE[Points],MonthlyScoresTABLE[Month],J$1,MonthlyScoresTABLE[Angler 1],RosterTABLE[[#This Row],[Name]])+SUMIFS(MonthlyScoresTABLE[Points],MonthlyScoresTABLE[Month],J$1,MonthlyScoresTABLE[Angler 2],RosterTABLE[[#This Row],[Name]])</f>
        <v>0</v>
      </c>
      <c r="K44" s="18">
        <f>SUMIFS(MonthlyScoresTABLE[Points],MonthlyScoresTABLE[Month],K$1,MonthlyScoresTABLE[Angler 1],RosterTABLE[[#This Row],[Name]])+SUMIFS(MonthlyScoresTABLE[Points],MonthlyScoresTABLE[Month],K$1,MonthlyScoresTABLE[Angler 2],RosterTABLE[[#This Row],[Name]])</f>
        <v>0</v>
      </c>
      <c r="L44" s="18">
        <f>SUMIFS(MonthlyScoresTABLE[Points],MonthlyScoresTABLE[Month],L$1,MonthlyScoresTABLE[Angler 1],RosterTABLE[[#This Row],[Name]])+SUMIFS(MonthlyScoresTABLE[Points],MonthlyScoresTABLE[Month],L$1,MonthlyScoresTABLE[Angler 2],RosterTABLE[[#This Row],[Name]])</f>
        <v>0</v>
      </c>
      <c r="M44" s="18">
        <f>SUMIFS(MonthlyScoresTABLE[Points],MonthlyScoresTABLE[Month],M$1,MonthlyScoresTABLE[Angler 1],RosterTABLE[[#This Row],[Name]])+SUMIFS(MonthlyScoresTABLE[Points],MonthlyScoresTABLE[Month],M$1,MonthlyScoresTABLE[Angler 2],RosterTABLE[[#This Row],[Name]])</f>
        <v>0</v>
      </c>
      <c r="N44" s="18">
        <f>SUMIFS(MonthlyScoresTABLE[Points],MonthlyScoresTABLE[Month],N$1,MonthlyScoresTABLE[Angler 1],RosterTABLE[[#This Row],[Name]])+SUMIFS(MonthlyScoresTABLE[Points],MonthlyScoresTABLE[Month],N$1,MonthlyScoresTABLE[Angler 2],RosterTABLE[[#This Row],[Name]])</f>
        <v>0</v>
      </c>
      <c r="O44" s="18">
        <f>SUMIFS(MonthlyScoresTABLE[Points],MonthlyScoresTABLE[Month],O$1,MonthlyScoresTABLE[Angler 1],RosterTABLE[[#This Row],[Name]])+SUMIFS(MonthlyScoresTABLE[Points],MonthlyScoresTABLE[Month],O$1,MonthlyScoresTABLE[Angler 2],RosterTABLE[[#This Row],[Name]])</f>
        <v>0</v>
      </c>
    </row>
  </sheetData>
  <sheetProtection sort="0"/>
  <conditionalFormatting sqref="A2:A44">
    <cfRule type="duplicateValues" dxfId="52" priority="25"/>
  </conditionalFormatting>
  <conditionalFormatting sqref="F2:F44">
    <cfRule type="top10" dxfId="51" priority="26" rank="1"/>
  </conditionalFormatting>
  <conditionalFormatting sqref="E2:E44">
    <cfRule type="top10" dxfId="50" priority="27" rank="1"/>
  </conditionalFormatting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28D56-BBA6-4BE5-91DF-41C1B743D308}">
  <sheetPr>
    <tabColor theme="9"/>
  </sheetPr>
  <dimension ref="A1:Y76"/>
  <sheetViews>
    <sheetView showGridLines="0" tabSelected="1" zoomScaleNormal="100" workbookViewId="0">
      <pane xSplit="3" ySplit="1" topLeftCell="D38" activePane="bottomRight" state="frozen"/>
      <selection pane="topRight" activeCell="D1" sqref="D1"/>
      <selection pane="bottomLeft" activeCell="A2" sqref="A2"/>
      <selection pane="bottomRight" activeCell="B50" sqref="B50:C50"/>
    </sheetView>
  </sheetViews>
  <sheetFormatPr defaultRowHeight="14.4" x14ac:dyDescent="0.3"/>
  <cols>
    <col min="1" max="1" width="10.88671875" style="28" bestFit="1" customWidth="1"/>
    <col min="2" max="2" width="15" style="28" bestFit="1" customWidth="1"/>
    <col min="3" max="3" width="19.6640625" style="28" bestFit="1" customWidth="1"/>
    <col min="4" max="8" width="8.33203125" style="28" bestFit="1" customWidth="1"/>
    <col min="9" max="9" width="10.6640625" style="28" customWidth="1"/>
    <col min="10" max="10" width="6.33203125" customWidth="1"/>
    <col min="11" max="14" width="1.33203125" customWidth="1"/>
    <col min="15" max="15" width="8.6640625" customWidth="1"/>
    <col min="16" max="18" width="10.6640625" customWidth="1"/>
    <col min="19" max="19" width="10" bestFit="1" customWidth="1"/>
    <col min="20" max="20" width="30.44140625" customWidth="1"/>
    <col min="21" max="21" width="1.44140625" customWidth="1"/>
    <col min="22" max="25" width="1.6640625" customWidth="1"/>
  </cols>
  <sheetData>
    <row r="1" spans="1:25" x14ac:dyDescent="0.3">
      <c r="A1" s="32" t="s">
        <v>52</v>
      </c>
      <c r="B1" s="32" t="s">
        <v>7</v>
      </c>
      <c r="C1" s="32" t="s">
        <v>8</v>
      </c>
      <c r="D1" s="32" t="s">
        <v>9</v>
      </c>
      <c r="E1" s="32" t="s">
        <v>10</v>
      </c>
      <c r="F1" s="32" t="s">
        <v>11</v>
      </c>
      <c r="G1" s="32" t="s">
        <v>12</v>
      </c>
      <c r="H1" s="32" t="s">
        <v>13</v>
      </c>
      <c r="I1" s="32" t="s">
        <v>58</v>
      </c>
      <c r="J1" s="15" t="s">
        <v>18</v>
      </c>
      <c r="K1" s="26" t="s">
        <v>71</v>
      </c>
      <c r="L1" s="26" t="s">
        <v>59</v>
      </c>
      <c r="M1" s="26" t="s">
        <v>72</v>
      </c>
      <c r="N1" s="15" t="s">
        <v>60</v>
      </c>
      <c r="O1" s="16" t="s">
        <v>6</v>
      </c>
      <c r="P1" s="16" t="s">
        <v>15</v>
      </c>
      <c r="Q1" s="17" t="s">
        <v>16</v>
      </c>
      <c r="R1" s="17" t="s">
        <v>64</v>
      </c>
      <c r="S1" s="17" t="s">
        <v>14</v>
      </c>
      <c r="T1" t="s">
        <v>63</v>
      </c>
      <c r="U1" t="s">
        <v>65</v>
      </c>
      <c r="V1" t="s">
        <v>66</v>
      </c>
      <c r="W1" t="s">
        <v>67</v>
      </c>
      <c r="X1" t="s">
        <v>68</v>
      </c>
      <c r="Y1" t="s">
        <v>69</v>
      </c>
    </row>
    <row r="2" spans="1:25" hidden="1" x14ac:dyDescent="0.3">
      <c r="A2" s="28" t="s">
        <v>2</v>
      </c>
      <c r="B2" t="s">
        <v>27</v>
      </c>
      <c r="C2" t="s">
        <v>74</v>
      </c>
      <c r="D2" s="29">
        <v>20.25</v>
      </c>
      <c r="E2" s="29">
        <v>28.25</v>
      </c>
      <c r="F2" s="29">
        <v>28.75</v>
      </c>
      <c r="G2" s="29">
        <v>23.75</v>
      </c>
      <c r="H2" s="29">
        <v>19.5</v>
      </c>
      <c r="I2" s="30"/>
      <c r="J2" s="23">
        <f>SUM(MonthlyScoresTABLE[[#This Row],[Fish 1 lbs.]:[Fish 5 lbs.]])</f>
        <v>27.934837962962966</v>
      </c>
      <c r="K2" s="19">
        <f>IF(COUNTA(MonthlyScoresTABLE[[#This Row],[Angler 1]:[Angler 2]])=1,0.15,0)</f>
        <v>0</v>
      </c>
      <c r="L2" s="23">
        <f>MonthlyScoresTABLE[[#This Row],[Weight]]+(MonthlyScoresTABLE[[#This Row],[Weight]]*MonthlyScoresTABLE[[#This Row],[Alone]])</f>
        <v>27.934837962962966</v>
      </c>
      <c r="M2" s="21">
        <f>IF(MonthlyScoresTABLE[[#This Row],[Minutes Late]]=0,0,IF(MonthlyScoresTABLE[[#This Row],[Minutes Late]]&lt;=5,0.5,IF(MonthlyScoresTABLE[[#This Row],[Minutes Late]]&gt;5,1)))</f>
        <v>0</v>
      </c>
      <c r="N2" s="23">
        <f>MonthlyScoresTABLE[[#This Row],[Weight Subtotal]]-(MonthlyScoresTABLE[[#This Row],[Weight Subtotal]]*MonthlyScoresTABLE[[#This Row],[Late]])</f>
        <v>27.934837962962966</v>
      </c>
      <c r="O2">
        <f>IF(MonthlyScoresTABLE[[#This Row],[Weight Total]]&gt;0,COUNTIFS(MonthlyScoresTABLE[Month],MonthlyScoresTABLE[[#This Row],[Month]],MonthlyScoresTABLE[Weight Total],"&gt;"&amp;MonthlyScoresTABLE[[#This Row],[Weight Total]])+1,"")</f>
        <v>1</v>
      </c>
      <c r="P2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100</v>
      </c>
      <c r="Q2" s="20">
        <f>COUNT(MonthlyScoresTABLE[[#This Row],[Fish 1]:[Fish 5]])</f>
        <v>5</v>
      </c>
      <c r="R2" s="23">
        <f>MAX(MonthlyScoresTABLE[[#This Row],[Fish 1]:[Fish 5]])</f>
        <v>28.75</v>
      </c>
      <c r="S2" t="b">
        <f>IF(AND(MonthlyScoresTABLE[[#This Row],[Largest Fish]]&gt;0,_xlfn.MAXIFS(MonthlyScoresTABLE[Largest Fish],MonthlyScoresTABLE[Month],MonthlyScoresTABLE[[#This Row],[Month]])=MonthlyScoresTABLE[[#This Row],[Largest Fish]]),TRUE,"")</f>
        <v>1</v>
      </c>
      <c r="T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Peter Mart |Clayton Brandt</v>
      </c>
      <c r="U2" s="3">
        <f>IFERROR(VLOOKUP(MROUND(D2,0.25),Table4[],2,FALSE),0)</f>
        <v>3.0754687500000002</v>
      </c>
      <c r="V2" s="3">
        <f>IFERROR(VLOOKUP(MROUND(E2,0.25),Table4[],2,FALSE),0)</f>
        <v>8.35009837962963</v>
      </c>
      <c r="W2" s="3">
        <f>IFERROR(VLOOKUP(MROUND(F2,0.25),Table4[],2,FALSE),0)</f>
        <v>8.8013599537037042</v>
      </c>
      <c r="X2" s="3">
        <f>IFERROR(VLOOKUP(MROUND(G2,0.25),Table4[],2,FALSE),0)</f>
        <v>4.9616608796296298</v>
      </c>
      <c r="Y2" s="3">
        <f>IFERROR(VLOOKUP(MROUND(H2,0.25),Table4[],2,FALSE),0)</f>
        <v>2.7462499999999999</v>
      </c>
    </row>
    <row r="3" spans="1:25" hidden="1" x14ac:dyDescent="0.3">
      <c r="A3" s="28" t="s">
        <v>2</v>
      </c>
      <c r="B3" t="s">
        <v>30</v>
      </c>
      <c r="C3" t="s">
        <v>47</v>
      </c>
      <c r="D3" s="29">
        <v>23.25</v>
      </c>
      <c r="E3" s="29">
        <v>20</v>
      </c>
      <c r="F3" s="29">
        <v>26.25</v>
      </c>
      <c r="G3" s="29">
        <v>20.5</v>
      </c>
      <c r="H3" s="29">
        <v>21.5</v>
      </c>
      <c r="I3" s="30"/>
      <c r="J3" s="23">
        <f>SUM(MonthlyScoresTABLE[[#This Row],[Fish 1 lbs.]:[Fish 5 lbs.]])</f>
        <v>21.188692129629629</v>
      </c>
      <c r="K3" s="19">
        <f>IF(COUNTA(MonthlyScoresTABLE[[#This Row],[Angler 1]:[Angler 2]])=1,0.15,0)</f>
        <v>0</v>
      </c>
      <c r="L3" s="23">
        <f>MonthlyScoresTABLE[[#This Row],[Weight]]+(MonthlyScoresTABLE[[#This Row],[Weight]]*MonthlyScoresTABLE[[#This Row],[Alone]])</f>
        <v>21.188692129629629</v>
      </c>
      <c r="M3" s="21">
        <f>IF(MonthlyScoresTABLE[[#This Row],[Minutes Late]]=0,0,IF(MonthlyScoresTABLE[[#This Row],[Minutes Late]]&lt;=5,0.5,IF(MonthlyScoresTABLE[[#This Row],[Minutes Late]]&gt;5,1)))</f>
        <v>0</v>
      </c>
      <c r="N3" s="23">
        <f>MonthlyScoresTABLE[[#This Row],[Weight Subtotal]]-(MonthlyScoresTABLE[[#This Row],[Weight Subtotal]]*MonthlyScoresTABLE[[#This Row],[Late]])</f>
        <v>21.188692129629629</v>
      </c>
      <c r="O3">
        <f>IF(MonthlyScoresTABLE[[#This Row],[Weight Total]]&gt;0,COUNTIFS(MonthlyScoresTABLE[Month],MonthlyScoresTABLE[[#This Row],[Month]],MonthlyScoresTABLE[Weight Total],"&gt;"&amp;MonthlyScoresTABLE[[#This Row],[Weight Total]])+1,"")</f>
        <v>2</v>
      </c>
      <c r="P3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75.850420746031801</v>
      </c>
      <c r="Q3" s="20">
        <f>COUNT(MonthlyScoresTABLE[[#This Row],[Fish 1]:[Fish 5]])</f>
        <v>5</v>
      </c>
      <c r="R3" s="23">
        <f>MAX(MonthlyScoresTABLE[[#This Row],[Fish 1]:[Fish 5]])</f>
        <v>26.25</v>
      </c>
      <c r="S3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3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Paul Kramer|Chad Niemann</v>
      </c>
      <c r="U3" s="3">
        <f>IFERROR(VLOOKUP(MROUND(D3,0.25),Table4[],2,FALSE),0)</f>
        <v>4.6548437500000004</v>
      </c>
      <c r="V3" s="3">
        <f>IFERROR(VLOOKUP(MROUND(E3,0.25),Table4[],2,FALSE),0)</f>
        <v>2.9629629629629628</v>
      </c>
      <c r="W3" s="3">
        <f>IFERROR(VLOOKUP(MROUND(F3,0.25),Table4[],2,FALSE),0)</f>
        <v>6.69921875</v>
      </c>
      <c r="X3" s="3">
        <f>IFERROR(VLOOKUP(MROUND(G3,0.25),Table4[],2,FALSE),0)</f>
        <v>3.1907870370370373</v>
      </c>
      <c r="Y3" s="3">
        <f>IFERROR(VLOOKUP(MROUND(H3,0.25),Table4[],2,FALSE),0)</f>
        <v>3.6808796296296298</v>
      </c>
    </row>
    <row r="4" spans="1:25" hidden="1" x14ac:dyDescent="0.3">
      <c r="A4" s="28" t="s">
        <v>2</v>
      </c>
      <c r="B4" t="s">
        <v>77</v>
      </c>
      <c r="C4" t="s">
        <v>46</v>
      </c>
      <c r="D4" s="29">
        <v>26.5</v>
      </c>
      <c r="E4" s="29">
        <v>26</v>
      </c>
      <c r="F4" s="29">
        <v>15.5</v>
      </c>
      <c r="G4" s="29">
        <v>15.5</v>
      </c>
      <c r="H4" s="29">
        <v>15.75</v>
      </c>
      <c r="I4" s="30"/>
      <c r="J4" s="23">
        <f>SUM(MonthlyScoresTABLE[[#This Row],[Fish 1 lbs.]:[Fish 5 lbs.]])</f>
        <v>17.607540509259259</v>
      </c>
      <c r="K4" s="19">
        <f>IF(COUNTA(MonthlyScoresTABLE[[#This Row],[Angler 1]:[Angler 2]])=1,0.15,0)</f>
        <v>0</v>
      </c>
      <c r="L4" s="23">
        <f>MonthlyScoresTABLE[[#This Row],[Weight]]+(MonthlyScoresTABLE[[#This Row],[Weight]]*MonthlyScoresTABLE[[#This Row],[Alone]])</f>
        <v>17.607540509259259</v>
      </c>
      <c r="M4" s="21">
        <f>IF(MonthlyScoresTABLE[[#This Row],[Minutes Late]]=0,0,IF(MonthlyScoresTABLE[[#This Row],[Minutes Late]]&lt;=5,0.5,IF(MonthlyScoresTABLE[[#This Row],[Minutes Late]]&gt;5,1)))</f>
        <v>0</v>
      </c>
      <c r="N4" s="23">
        <f>MonthlyScoresTABLE[[#This Row],[Weight Subtotal]]-(MonthlyScoresTABLE[[#This Row],[Weight Subtotal]]*MonthlyScoresTABLE[[#This Row],[Late]])</f>
        <v>17.607540509259259</v>
      </c>
      <c r="O4">
        <f>IF(MonthlyScoresTABLE[[#This Row],[Weight Total]]&gt;0,COUNTIFS(MonthlyScoresTABLE[Month],MonthlyScoresTABLE[[#This Row],[Month]],MonthlyScoresTABLE[Weight Total],"&gt;"&amp;MonthlyScoresTABLE[[#This Row],[Weight Total]])+1,"")</f>
        <v>3</v>
      </c>
      <c r="P4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63.030759414477302</v>
      </c>
      <c r="Q4" s="20">
        <f>COUNT(MonthlyScoresTABLE[[#This Row],[Fish 1]:[Fish 5]])</f>
        <v>5</v>
      </c>
      <c r="R4" s="23">
        <f>MAX(MonthlyScoresTABLE[[#This Row],[Fish 1]:[Fish 5]])</f>
        <v>26.5</v>
      </c>
      <c r="S4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4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Trevor Gnotke|Jacob Boynton</v>
      </c>
      <c r="U4" s="3">
        <f>IFERROR(VLOOKUP(MROUND(D4,0.25),Table4[],2,FALSE),0)</f>
        <v>6.8924537037037039</v>
      </c>
      <c r="V4" s="3">
        <f>IFERROR(VLOOKUP(MROUND(E4,0.25),Table4[],2,FALSE),0)</f>
        <v>6.5096296296296297</v>
      </c>
      <c r="W4" s="3">
        <f>IFERROR(VLOOKUP(MROUND(F4,0.25),Table4[],2,FALSE),0)</f>
        <v>1.379212962962963</v>
      </c>
      <c r="X4" s="3">
        <f>IFERROR(VLOOKUP(MROUND(G4,0.25),Table4[],2,FALSE),0)</f>
        <v>1.379212962962963</v>
      </c>
      <c r="Y4" s="3">
        <f>IFERROR(VLOOKUP(MROUND(H4,0.25),Table4[],2,FALSE),0)</f>
        <v>1.44703125</v>
      </c>
    </row>
    <row r="5" spans="1:25" hidden="1" x14ac:dyDescent="0.3">
      <c r="A5" s="28" t="s">
        <v>2</v>
      </c>
      <c r="B5" t="s">
        <v>39</v>
      </c>
      <c r="C5" t="s">
        <v>31</v>
      </c>
      <c r="D5" s="29">
        <v>19.25</v>
      </c>
      <c r="E5" s="29">
        <v>18.75</v>
      </c>
      <c r="F5" s="29">
        <v>17.5</v>
      </c>
      <c r="G5" s="29">
        <v>16.75</v>
      </c>
      <c r="H5" s="29">
        <v>16.5</v>
      </c>
      <c r="I5" s="30"/>
      <c r="J5" s="23">
        <f>SUM(MonthlyScoresTABLE[[#This Row],[Fish 1 lbs.]:[Fish 5 lbs.]])</f>
        <v>10.472609953703705</v>
      </c>
      <c r="K5" s="19">
        <f>IF(COUNTA(MonthlyScoresTABLE[[#This Row],[Angler 1]:[Angler 2]])=1,0.15,0)</f>
        <v>0</v>
      </c>
      <c r="L5" s="23">
        <f>MonthlyScoresTABLE[[#This Row],[Weight]]+(MonthlyScoresTABLE[[#This Row],[Weight]]*MonthlyScoresTABLE[[#This Row],[Alone]])</f>
        <v>10.472609953703705</v>
      </c>
      <c r="M5" s="21">
        <f>IF(MonthlyScoresTABLE[[#This Row],[Minutes Late]]=0,0,IF(MonthlyScoresTABLE[[#This Row],[Minutes Late]]&lt;=5,0.5,IF(MonthlyScoresTABLE[[#This Row],[Minutes Late]]&gt;5,1)))</f>
        <v>0</v>
      </c>
      <c r="N5" s="23">
        <f>MonthlyScoresTABLE[[#This Row],[Weight Subtotal]]-(MonthlyScoresTABLE[[#This Row],[Weight Subtotal]]*MonthlyScoresTABLE[[#This Row],[Late]])</f>
        <v>10.472609953703705</v>
      </c>
      <c r="O5">
        <f>IF(MonthlyScoresTABLE[[#This Row],[Weight Total]]&gt;0,COUNTIFS(MonthlyScoresTABLE[Month],MonthlyScoresTABLE[[#This Row],[Month]],MonthlyScoresTABLE[Weight Total],"&gt;"&amp;MonthlyScoresTABLE[[#This Row],[Weight Total]])+1,"")</f>
        <v>4</v>
      </c>
      <c r="P5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37.489424379653371</v>
      </c>
      <c r="Q5" s="20">
        <f>COUNT(MonthlyScoresTABLE[[#This Row],[Fish 1]:[Fish 5]])</f>
        <v>5</v>
      </c>
      <c r="R5" s="23">
        <f>MAX(MonthlyScoresTABLE[[#This Row],[Fish 1]:[Fish 5]])</f>
        <v>19.25</v>
      </c>
      <c r="S5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Ted Mart|Jon Jones</v>
      </c>
      <c r="U5" s="3">
        <f>IFERROR(VLOOKUP(MROUND(D5,0.25),Table4[],2,FALSE),0)</f>
        <v>2.6419733796296296</v>
      </c>
      <c r="V5" s="3">
        <f>IFERROR(VLOOKUP(MROUND(E5,0.25),Table4[],2,FALSE),0)</f>
        <v>2.44140625</v>
      </c>
      <c r="W5" s="3">
        <f>IFERROR(VLOOKUP(MROUND(F5,0.25),Table4[],2,FALSE),0)</f>
        <v>1.9849537037037037</v>
      </c>
      <c r="X5" s="3">
        <f>IFERROR(VLOOKUP(MROUND(G5,0.25),Table4[],2,FALSE),0)</f>
        <v>1.7405266203703704</v>
      </c>
      <c r="Y5" s="3">
        <f>IFERROR(VLOOKUP(MROUND(H5,0.25),Table4[],2,FALSE),0)</f>
        <v>1.6637500000000001</v>
      </c>
    </row>
    <row r="6" spans="1:25" hidden="1" x14ac:dyDescent="0.3">
      <c r="A6" s="28" t="s">
        <v>2</v>
      </c>
      <c r="B6" t="s">
        <v>45</v>
      </c>
      <c r="C6" t="s">
        <v>44</v>
      </c>
      <c r="D6" s="29">
        <v>16.5</v>
      </c>
      <c r="E6" s="29">
        <v>20.25</v>
      </c>
      <c r="F6" s="29">
        <v>15</v>
      </c>
      <c r="G6" s="29">
        <v>17.25</v>
      </c>
      <c r="H6" s="29"/>
      <c r="I6" s="30"/>
      <c r="J6" s="23">
        <f>SUM(MonthlyScoresTABLE[[#This Row],[Fish 1 lbs.]:[Fish 5 lbs.]])</f>
        <v>7.8903125000000003</v>
      </c>
      <c r="K6" s="19">
        <f>IF(COUNTA(MonthlyScoresTABLE[[#This Row],[Angler 1]:[Angler 2]])=1,0.15,0)</f>
        <v>0</v>
      </c>
      <c r="L6" s="23">
        <f>MonthlyScoresTABLE[[#This Row],[Weight]]+(MonthlyScoresTABLE[[#This Row],[Weight]]*MonthlyScoresTABLE[[#This Row],[Alone]])</f>
        <v>7.8903125000000003</v>
      </c>
      <c r="M6" s="21">
        <f>IF(MonthlyScoresTABLE[[#This Row],[Minutes Late]]=0,0,IF(MonthlyScoresTABLE[[#This Row],[Minutes Late]]&lt;=5,0.5,IF(MonthlyScoresTABLE[[#This Row],[Minutes Late]]&gt;5,1)))</f>
        <v>0</v>
      </c>
      <c r="N6" s="23">
        <f>MonthlyScoresTABLE[[#This Row],[Weight Subtotal]]-(MonthlyScoresTABLE[[#This Row],[Weight Subtotal]]*MonthlyScoresTABLE[[#This Row],[Late]])</f>
        <v>7.8903125000000003</v>
      </c>
      <c r="O6">
        <f>IF(MonthlyScoresTABLE[[#This Row],[Weight Total]]&gt;0,COUNTIFS(MonthlyScoresTABLE[Month],MonthlyScoresTABLE[[#This Row],[Month]],MonthlyScoresTABLE[Weight Total],"&gt;"&amp;MonthlyScoresTABLE[[#This Row],[Weight Total]])+1,"")</f>
        <v>5</v>
      </c>
      <c r="P6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28.245420683883211</v>
      </c>
      <c r="Q6" s="20">
        <f>COUNT(MonthlyScoresTABLE[[#This Row],[Fish 1]:[Fish 5]])</f>
        <v>4</v>
      </c>
      <c r="R6" s="23">
        <f>MAX(MonthlyScoresTABLE[[#This Row],[Fish 1]:[Fish 5]])</f>
        <v>20.25</v>
      </c>
      <c r="S6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6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Tom Crowe|Steve Hauge</v>
      </c>
      <c r="U6" s="3">
        <f>IFERROR(VLOOKUP(MROUND(D6,0.25),Table4[],2,FALSE),0)</f>
        <v>1.6637500000000001</v>
      </c>
      <c r="V6" s="3">
        <f>IFERROR(VLOOKUP(MROUND(E6,0.25),Table4[],2,FALSE),0)</f>
        <v>3.0754687500000002</v>
      </c>
      <c r="W6" s="3">
        <f>IFERROR(VLOOKUP(MROUND(F6,0.25),Table4[],2,FALSE),0)</f>
        <v>1.25</v>
      </c>
      <c r="X6" s="3">
        <f>IFERROR(VLOOKUP(MROUND(G6,0.25),Table4[],2,FALSE),0)</f>
        <v>1.90109375</v>
      </c>
      <c r="Y6" s="3">
        <f>IFERROR(VLOOKUP(MROUND(H6,0.25),Table4[],2,FALSE),0)</f>
        <v>0</v>
      </c>
    </row>
    <row r="7" spans="1:25" hidden="1" x14ac:dyDescent="0.3">
      <c r="A7" s="28" t="s">
        <v>2</v>
      </c>
      <c r="B7" t="s">
        <v>43</v>
      </c>
      <c r="C7" t="s">
        <v>32</v>
      </c>
      <c r="D7" s="29">
        <v>27</v>
      </c>
      <c r="E7" s="29"/>
      <c r="F7" s="29"/>
      <c r="G7" s="29"/>
      <c r="H7" s="29"/>
      <c r="I7" s="30"/>
      <c r="J7" s="23">
        <f>SUM(MonthlyScoresTABLE[[#This Row],[Fish 1 lbs.]:[Fish 5 lbs.]])</f>
        <v>7.29</v>
      </c>
      <c r="K7" s="19">
        <f>IF(COUNTA(MonthlyScoresTABLE[[#This Row],[Angler 1]:[Angler 2]])=1,0.15,0)</f>
        <v>0</v>
      </c>
      <c r="L7" s="23">
        <f>MonthlyScoresTABLE[[#This Row],[Weight]]+(MonthlyScoresTABLE[[#This Row],[Weight]]*MonthlyScoresTABLE[[#This Row],[Alone]])</f>
        <v>7.29</v>
      </c>
      <c r="M7" s="21">
        <f>IF(MonthlyScoresTABLE[[#This Row],[Minutes Late]]=0,0,IF(MonthlyScoresTABLE[[#This Row],[Minutes Late]]&lt;=5,0.5,IF(MonthlyScoresTABLE[[#This Row],[Minutes Late]]&gt;5,1)))</f>
        <v>0</v>
      </c>
      <c r="N7" s="23">
        <f>MonthlyScoresTABLE[[#This Row],[Weight Subtotal]]-(MonthlyScoresTABLE[[#This Row],[Weight Subtotal]]*MonthlyScoresTABLE[[#This Row],[Late]])</f>
        <v>7.29</v>
      </c>
      <c r="O7">
        <f>IF(MonthlyScoresTABLE[[#This Row],[Weight Total]]&gt;0,COUNTIFS(MonthlyScoresTABLE[Month],MonthlyScoresTABLE[[#This Row],[Month]],MonthlyScoresTABLE[Weight Total],"&gt;"&amp;MonthlyScoresTABLE[[#This Row],[Weight Total]])+1,"")</f>
        <v>6</v>
      </c>
      <c r="P7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26.096446342969127</v>
      </c>
      <c r="Q7" s="20">
        <f>COUNT(MonthlyScoresTABLE[[#This Row],[Fish 1]:[Fish 5]])</f>
        <v>1</v>
      </c>
      <c r="R7" s="23">
        <f>MAX(MonthlyScoresTABLE[[#This Row],[Fish 1]:[Fish 5]])</f>
        <v>27</v>
      </c>
      <c r="S7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7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Rylee Holst|Benn Grenz</v>
      </c>
      <c r="U7" s="3">
        <f>IFERROR(VLOOKUP(MROUND(D7,0.25),Table4[],2,FALSE),0)</f>
        <v>7.29</v>
      </c>
      <c r="V7" s="3">
        <f>IFERROR(VLOOKUP(MROUND(E7,0.25),Table4[],2,FALSE),0)</f>
        <v>0</v>
      </c>
      <c r="W7" s="3">
        <f>IFERROR(VLOOKUP(MROUND(F7,0.25),Table4[],2,FALSE),0)</f>
        <v>0</v>
      </c>
      <c r="X7" s="3">
        <f>IFERROR(VLOOKUP(MROUND(G7,0.25),Table4[],2,FALSE),0)</f>
        <v>0</v>
      </c>
      <c r="Y7" s="3">
        <f>IFERROR(VLOOKUP(MROUND(H7,0.25),Table4[],2,FALSE),0)</f>
        <v>0</v>
      </c>
    </row>
    <row r="8" spans="1:25" hidden="1" x14ac:dyDescent="0.3">
      <c r="A8" s="28" t="s">
        <v>2</v>
      </c>
      <c r="B8" s="28" t="s">
        <v>38</v>
      </c>
      <c r="D8" s="29">
        <v>17.5</v>
      </c>
      <c r="E8" s="29"/>
      <c r="F8" s="29"/>
      <c r="G8" s="29"/>
      <c r="H8" s="29"/>
      <c r="I8" s="31"/>
      <c r="J8" s="23">
        <f>SUM(MonthlyScoresTABLE[[#This Row],[Fish 1 lbs.]:[Fish 5 lbs.]])</f>
        <v>1.9849537037037037</v>
      </c>
      <c r="K8" s="19">
        <f>IF(COUNTA(MonthlyScoresTABLE[[#This Row],[Angler 1]:[Angler 2]])=1,0.15,0)</f>
        <v>0.15</v>
      </c>
      <c r="L8" s="23">
        <f>MonthlyScoresTABLE[[#This Row],[Weight]]+(MonthlyScoresTABLE[[#This Row],[Weight]]*MonthlyScoresTABLE[[#This Row],[Alone]])</f>
        <v>2.2826967592592591</v>
      </c>
      <c r="M8" s="21">
        <f>IF(MonthlyScoresTABLE[[#This Row],[Minutes Late]]=0,0,IF(MonthlyScoresTABLE[[#This Row],[Minutes Late]]&lt;=5,0.5,IF(MonthlyScoresTABLE[[#This Row],[Minutes Late]]&gt;5,1)))</f>
        <v>0</v>
      </c>
      <c r="N8" s="23">
        <f>MonthlyScoresTABLE[[#This Row],[Weight Subtotal]]-(MonthlyScoresTABLE[[#This Row],[Weight Subtotal]]*MonthlyScoresTABLE[[#This Row],[Late]])</f>
        <v>2.2826967592592591</v>
      </c>
      <c r="O8" s="22">
        <f>IF(MonthlyScoresTABLE[[#This Row],[Weight Total]]&gt;0,COUNTIFS(MonthlyScoresTABLE[Month],MonthlyScoresTABLE[[#This Row],[Month]],MonthlyScoresTABLE[Weight Total],"&gt;"&amp;MonthlyScoresTABLE[[#This Row],[Weight Total]])+1,"")</f>
        <v>7</v>
      </c>
      <c r="P8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8.1715052805595025</v>
      </c>
      <c r="Q8" s="20">
        <f>COUNT(MonthlyScoresTABLE[[#This Row],[Fish 1]:[Fish 5]])</f>
        <v>1</v>
      </c>
      <c r="R8" s="23">
        <f>MAX(MonthlyScoresTABLE[[#This Row],[Fish 1]:[Fish 5]])</f>
        <v>17.5</v>
      </c>
      <c r="S8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8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John McDougall Row 8</v>
      </c>
      <c r="U8" s="3">
        <f>IFERROR(VLOOKUP(MROUND(D8,0.25),Table4[],2,FALSE),0)</f>
        <v>1.9849537037037037</v>
      </c>
      <c r="V8" s="3">
        <f>IFERROR(VLOOKUP(MROUND(E8,0.25),Table4[],2,FALSE),0)</f>
        <v>0</v>
      </c>
      <c r="W8" s="3">
        <f>IFERROR(VLOOKUP(MROUND(F8,0.25),Table4[],2,FALSE),0)</f>
        <v>0</v>
      </c>
      <c r="X8" s="3">
        <f>IFERROR(VLOOKUP(MROUND(G8,0.25),Table4[],2,FALSE),0)</f>
        <v>0</v>
      </c>
      <c r="Y8" s="3">
        <f>IFERROR(VLOOKUP(MROUND(H8,0.25),Table4[],2,FALSE),0)</f>
        <v>0</v>
      </c>
    </row>
    <row r="9" spans="1:25" hidden="1" x14ac:dyDescent="0.3">
      <c r="A9" s="28" t="s">
        <v>2</v>
      </c>
      <c r="B9" t="s">
        <v>51</v>
      </c>
      <c r="C9" t="s">
        <v>75</v>
      </c>
      <c r="D9" s="29"/>
      <c r="E9" s="29"/>
      <c r="F9" s="29"/>
      <c r="G9" s="29"/>
      <c r="H9" s="29"/>
      <c r="I9" s="30"/>
      <c r="J9" s="23">
        <f>SUM(MonthlyScoresTABLE[[#This Row],[Fish 1 lbs.]:[Fish 5 lbs.]])</f>
        <v>0</v>
      </c>
      <c r="K9" s="19">
        <f>IF(COUNTA(MonthlyScoresTABLE[[#This Row],[Angler 1]:[Angler 2]])=1,0.15,0)</f>
        <v>0</v>
      </c>
      <c r="L9" s="23">
        <f>MonthlyScoresTABLE[[#This Row],[Weight]]+(MonthlyScoresTABLE[[#This Row],[Weight]]*MonthlyScoresTABLE[[#This Row],[Alone]])</f>
        <v>0</v>
      </c>
      <c r="M9" s="21">
        <f>IF(MonthlyScoresTABLE[[#This Row],[Minutes Late]]=0,0,IF(MonthlyScoresTABLE[[#This Row],[Minutes Late]]&lt;=5,0.5,IF(MonthlyScoresTABLE[[#This Row],[Minutes Late]]&gt;5,1)))</f>
        <v>0</v>
      </c>
      <c r="N9" s="23">
        <f>MonthlyScoresTABLE[[#This Row],[Weight Subtotal]]-(MonthlyScoresTABLE[[#This Row],[Weight Subtotal]]*MonthlyScoresTABLE[[#This Row],[Late]])</f>
        <v>0</v>
      </c>
      <c r="O9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9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</v>
      </c>
      <c r="Q9" s="20">
        <f>COUNT(MonthlyScoresTABLE[[#This Row],[Fish 1]:[Fish 5]])</f>
        <v>0</v>
      </c>
      <c r="R9" s="23">
        <f>MAX(MonthlyScoresTABLE[[#This Row],[Fish 1]:[Fish 5]])</f>
        <v>0</v>
      </c>
      <c r="S9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9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Chad Miller|Ben Bailey</v>
      </c>
      <c r="U9" s="3">
        <f>IFERROR(VLOOKUP(MROUND(D9,0.25),Table4[],2,FALSE),0)</f>
        <v>0</v>
      </c>
      <c r="V9" s="3">
        <f>IFERROR(VLOOKUP(MROUND(E9,0.25),Table4[],2,FALSE),0)</f>
        <v>0</v>
      </c>
      <c r="W9" s="3">
        <f>IFERROR(VLOOKUP(MROUND(F9,0.25),Table4[],2,FALSE),0)</f>
        <v>0</v>
      </c>
      <c r="X9" s="3">
        <f>IFERROR(VLOOKUP(MROUND(G9,0.25),Table4[],2,FALSE),0)</f>
        <v>0</v>
      </c>
      <c r="Y9" s="3">
        <f>IFERROR(VLOOKUP(MROUND(H9,0.25),Table4[],2,FALSE),0)</f>
        <v>0</v>
      </c>
    </row>
    <row r="10" spans="1:25" hidden="1" x14ac:dyDescent="0.3">
      <c r="A10" s="28" t="s">
        <v>2</v>
      </c>
      <c r="B10" t="s">
        <v>76</v>
      </c>
      <c r="C10" t="s">
        <v>36</v>
      </c>
      <c r="D10" s="29"/>
      <c r="E10" s="29"/>
      <c r="F10" s="29"/>
      <c r="G10" s="29"/>
      <c r="H10" s="29"/>
      <c r="I10" s="30"/>
      <c r="J10" s="23">
        <f>SUM(MonthlyScoresTABLE[[#This Row],[Fish 1 lbs.]:[Fish 5 lbs.]])</f>
        <v>0</v>
      </c>
      <c r="K10" s="19">
        <f>IF(COUNTA(MonthlyScoresTABLE[[#This Row],[Angler 1]:[Angler 2]])=1,0.15,0)</f>
        <v>0</v>
      </c>
      <c r="L10" s="23">
        <f>MonthlyScoresTABLE[[#This Row],[Weight]]+(MonthlyScoresTABLE[[#This Row],[Weight]]*MonthlyScoresTABLE[[#This Row],[Alone]])</f>
        <v>0</v>
      </c>
      <c r="M10" s="21">
        <f>IF(MonthlyScoresTABLE[[#This Row],[Minutes Late]]=0,0,IF(MonthlyScoresTABLE[[#This Row],[Minutes Late]]&lt;=5,0.5,IF(MonthlyScoresTABLE[[#This Row],[Minutes Late]]&gt;5,1)))</f>
        <v>0</v>
      </c>
      <c r="N10" s="23">
        <f>MonthlyScoresTABLE[[#This Row],[Weight Subtotal]]-(MonthlyScoresTABLE[[#This Row],[Weight Subtotal]]*MonthlyScoresTABLE[[#This Row],[Late]])</f>
        <v>0</v>
      </c>
      <c r="O10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10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</v>
      </c>
      <c r="Q10" s="20">
        <f>COUNT(MonthlyScoresTABLE[[#This Row],[Fish 1]:[Fish 5]])</f>
        <v>0</v>
      </c>
      <c r="R10" s="23">
        <f>MAX(MonthlyScoresTABLE[[#This Row],[Fish 1]:[Fish 5]])</f>
        <v>0</v>
      </c>
      <c r="S10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10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Gabe Kuettner|Dave Vollmer</v>
      </c>
      <c r="U10" s="3">
        <f>IFERROR(VLOOKUP(MROUND(D10,0.25),Table4[],2,FALSE),0)</f>
        <v>0</v>
      </c>
      <c r="V10" s="3">
        <f>IFERROR(VLOOKUP(MROUND(E10,0.25),Table4[],2,FALSE),0)</f>
        <v>0</v>
      </c>
      <c r="W10" s="3">
        <f>IFERROR(VLOOKUP(MROUND(F10,0.25),Table4[],2,FALSE),0)</f>
        <v>0</v>
      </c>
      <c r="X10" s="3">
        <f>IFERROR(VLOOKUP(MROUND(G10,0.25),Table4[],2,FALSE),0)</f>
        <v>0</v>
      </c>
      <c r="Y10" s="3">
        <f>IFERROR(VLOOKUP(MROUND(H10,0.25),Table4[],2,FALSE),0)</f>
        <v>0</v>
      </c>
    </row>
    <row r="11" spans="1:25" hidden="1" x14ac:dyDescent="0.3">
      <c r="A11" s="28" t="s">
        <v>3</v>
      </c>
      <c r="B11" s="28" t="s">
        <v>24</v>
      </c>
      <c r="C11" s="28" t="s">
        <v>30</v>
      </c>
      <c r="D11" s="29">
        <v>16</v>
      </c>
      <c r="E11" s="29">
        <v>24.25</v>
      </c>
      <c r="F11" s="29">
        <v>15.75</v>
      </c>
      <c r="G11" s="29">
        <v>15.75</v>
      </c>
      <c r="H11" s="29">
        <v>17.75</v>
      </c>
      <c r="I11" s="30"/>
      <c r="J11" s="23">
        <f>SUM(MonthlyScoresTABLE[[#This Row],[Fish 1 lbs.]:[Fish 5 lbs.]])</f>
        <v>11.764016203703703</v>
      </c>
      <c r="K11" s="19">
        <f>IF(COUNTA(MonthlyScoresTABLE[[#This Row],[Angler 1]:[Angler 2]])=1,0.15,0)</f>
        <v>0</v>
      </c>
      <c r="L11" s="23">
        <f>MonthlyScoresTABLE[[#This Row],[Weight]]+(MonthlyScoresTABLE[[#This Row],[Weight]]*MonthlyScoresTABLE[[#This Row],[Alone]])</f>
        <v>11.764016203703703</v>
      </c>
      <c r="M11" s="21">
        <f>IF(MonthlyScoresTABLE[[#This Row],[Minutes Late]]=0,0,IF(MonthlyScoresTABLE[[#This Row],[Minutes Late]]&lt;=5,0.5,IF(MonthlyScoresTABLE[[#This Row],[Minutes Late]]&gt;5,1)))</f>
        <v>0</v>
      </c>
      <c r="N11" s="23">
        <f>MonthlyScoresTABLE[[#This Row],[Weight Subtotal]]-(MonthlyScoresTABLE[[#This Row],[Weight Subtotal]]*MonthlyScoresTABLE[[#This Row],[Late]])</f>
        <v>11.764016203703703</v>
      </c>
      <c r="O11" s="22">
        <f>IF(MonthlyScoresTABLE[[#This Row],[Weight Total]]&gt;0,COUNTIFS(MonthlyScoresTABLE[Month],MonthlyScoresTABLE[[#This Row],[Month]],MonthlyScoresTABLE[Weight Total],"&gt;"&amp;MonthlyScoresTABLE[[#This Row],[Weight Total]])+1,"")</f>
        <v>1</v>
      </c>
      <c r="P11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100</v>
      </c>
      <c r="Q11" s="20">
        <f>COUNT(MonthlyScoresTABLE[[#This Row],[Fish 1]:[Fish 5]])</f>
        <v>5</v>
      </c>
      <c r="R11" s="23">
        <f>MAX(MonthlyScoresTABLE[[#This Row],[Fish 1]:[Fish 5]])</f>
        <v>24.25</v>
      </c>
      <c r="S11" s="22" t="b">
        <f>IF(AND(MonthlyScoresTABLE[[#This Row],[Largest Fish]]&gt;0,_xlfn.MAXIFS(MonthlyScoresTABLE[Largest Fish],MonthlyScoresTABLE[Month],MonthlyScoresTABLE[[#This Row],[Month]])=MonthlyScoresTABLE[[#This Row],[Largest Fish]]),TRUE,"")</f>
        <v>1</v>
      </c>
      <c r="T11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Dale Rueber|Chad Niemann</v>
      </c>
      <c r="U11" s="3">
        <f>IFERROR(VLOOKUP(MROUND(D11,0.25),Table4[],2,FALSE),0)</f>
        <v>1.517037037037037</v>
      </c>
      <c r="V11" s="3">
        <f>IFERROR(VLOOKUP(MROUND(E11,0.25),Table4[],2,FALSE),0)</f>
        <v>5.2816724537037034</v>
      </c>
      <c r="W11" s="3">
        <f>IFERROR(VLOOKUP(MROUND(F11,0.25),Table4[],2,FALSE),0)</f>
        <v>1.44703125</v>
      </c>
      <c r="X11" s="3">
        <f>IFERROR(VLOOKUP(MROUND(G11,0.25),Table4[],2,FALSE),0)</f>
        <v>1.44703125</v>
      </c>
      <c r="Y11" s="3">
        <f>IFERROR(VLOOKUP(MROUND(H11,0.25),Table4[],2,FALSE),0)</f>
        <v>2.0712442129629629</v>
      </c>
    </row>
    <row r="12" spans="1:25" hidden="1" x14ac:dyDescent="0.3">
      <c r="A12" s="28" t="s">
        <v>3</v>
      </c>
      <c r="B12" s="28" t="s">
        <v>28</v>
      </c>
      <c r="C12" s="28" t="s">
        <v>26</v>
      </c>
      <c r="D12" s="29">
        <v>18.75</v>
      </c>
      <c r="E12" s="29">
        <v>19.5</v>
      </c>
      <c r="F12" s="29">
        <v>20.5</v>
      </c>
      <c r="G12" s="29">
        <v>16.75</v>
      </c>
      <c r="H12" s="29">
        <v>15.75</v>
      </c>
      <c r="I12" s="30"/>
      <c r="J12" s="23">
        <f>SUM(MonthlyScoresTABLE[[#This Row],[Fish 1 lbs.]:[Fish 5 lbs.]])</f>
        <v>11.566001157407408</v>
      </c>
      <c r="K12" s="19">
        <f>IF(COUNTA(MonthlyScoresTABLE[[#This Row],[Angler 1]:[Angler 2]])=1,0.15,0)</f>
        <v>0</v>
      </c>
      <c r="L12" s="23">
        <f>MonthlyScoresTABLE[[#This Row],[Weight]]+(MonthlyScoresTABLE[[#This Row],[Weight]]*MonthlyScoresTABLE[[#This Row],[Alone]])</f>
        <v>11.566001157407408</v>
      </c>
      <c r="M12" s="21">
        <f>IF(MonthlyScoresTABLE[[#This Row],[Minutes Late]]=0,0,IF(MonthlyScoresTABLE[[#This Row],[Minutes Late]]&lt;=5,0.5,IF(MonthlyScoresTABLE[[#This Row],[Minutes Late]]&gt;5,1)))</f>
        <v>0</v>
      </c>
      <c r="N12" s="23">
        <f>MonthlyScoresTABLE[[#This Row],[Weight Subtotal]]-(MonthlyScoresTABLE[[#This Row],[Weight Subtotal]]*MonthlyScoresTABLE[[#This Row],[Late]])</f>
        <v>11.566001157407408</v>
      </c>
      <c r="O12" s="22">
        <f>IF(MonthlyScoresTABLE[[#This Row],[Weight Total]]&gt;0,COUNTIFS(MonthlyScoresTABLE[Month],MonthlyScoresTABLE[[#This Row],[Month]],MonthlyScoresTABLE[Weight Total],"&gt;"&amp;MonthlyScoresTABLE[[#This Row],[Weight Total]])+1,"")</f>
        <v>2</v>
      </c>
      <c r="P12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98.316773431220255</v>
      </c>
      <c r="Q12" s="20">
        <f>COUNT(MonthlyScoresTABLE[[#This Row],[Fish 1]:[Fish 5]])</f>
        <v>5</v>
      </c>
      <c r="R12" s="23">
        <f>MAX(MonthlyScoresTABLE[[#This Row],[Fish 1]:[Fish 5]])</f>
        <v>20.5</v>
      </c>
      <c r="S12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12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Quinton Wilhelmson|Josh Rodewald</v>
      </c>
      <c r="U12" s="3">
        <f>IFERROR(VLOOKUP(MROUND(D12,0.25),Table4[],2,FALSE),0)</f>
        <v>2.44140625</v>
      </c>
      <c r="V12" s="3">
        <f>IFERROR(VLOOKUP(MROUND(E12,0.25),Table4[],2,FALSE),0)</f>
        <v>2.7462499999999999</v>
      </c>
      <c r="W12" s="3">
        <f>IFERROR(VLOOKUP(MROUND(F12,0.25),Table4[],2,FALSE),0)</f>
        <v>3.1907870370370373</v>
      </c>
      <c r="X12" s="3">
        <f>IFERROR(VLOOKUP(MROUND(G12,0.25),Table4[],2,FALSE),0)</f>
        <v>1.7405266203703704</v>
      </c>
      <c r="Y12" s="3">
        <f>IFERROR(VLOOKUP(MROUND(H12,0.25),Table4[],2,FALSE),0)</f>
        <v>1.44703125</v>
      </c>
    </row>
    <row r="13" spans="1:25" hidden="1" x14ac:dyDescent="0.3">
      <c r="A13" s="28" t="s">
        <v>3</v>
      </c>
      <c r="B13" s="28" t="s">
        <v>32</v>
      </c>
      <c r="C13" s="28" t="s">
        <v>45</v>
      </c>
      <c r="D13" s="29">
        <v>19.5</v>
      </c>
      <c r="E13" s="29">
        <v>19.25</v>
      </c>
      <c r="F13" s="29">
        <v>18.25</v>
      </c>
      <c r="G13" s="29">
        <v>16.5</v>
      </c>
      <c r="H13" s="29">
        <v>16</v>
      </c>
      <c r="I13" s="30"/>
      <c r="J13" s="23">
        <f>SUM(MonthlyScoresTABLE[[#This Row],[Fish 1 lbs.]:[Fish 5 lbs.]])</f>
        <v>10.820266203703703</v>
      </c>
      <c r="K13" s="19">
        <f>IF(COUNTA(MonthlyScoresTABLE[[#This Row],[Angler 1]:[Angler 2]])=1,0.15,0)</f>
        <v>0</v>
      </c>
      <c r="L13" s="23">
        <f>MonthlyScoresTABLE[[#This Row],[Weight]]+(MonthlyScoresTABLE[[#This Row],[Weight]]*MonthlyScoresTABLE[[#This Row],[Alone]])</f>
        <v>10.820266203703703</v>
      </c>
      <c r="M13" s="21">
        <f>IF(MonthlyScoresTABLE[[#This Row],[Minutes Late]]=0,0,IF(MonthlyScoresTABLE[[#This Row],[Minutes Late]]&lt;=5,0.5,IF(MonthlyScoresTABLE[[#This Row],[Minutes Late]]&gt;5,1)))</f>
        <v>0</v>
      </c>
      <c r="N13" s="23">
        <f>MonthlyScoresTABLE[[#This Row],[Weight Subtotal]]-(MonthlyScoresTABLE[[#This Row],[Weight Subtotal]]*MonthlyScoresTABLE[[#This Row],[Late]])</f>
        <v>10.820266203703703</v>
      </c>
      <c r="O13" s="22">
        <f>IF(MonthlyScoresTABLE[[#This Row],[Weight Total]]&gt;0,COUNTIFS(MonthlyScoresTABLE[Month],MonthlyScoresTABLE[[#This Row],[Month]],MonthlyScoresTABLE[Weight Total],"&gt;"&amp;MonthlyScoresTABLE[[#This Row],[Weight Total]])+1,"")</f>
        <v>3</v>
      </c>
      <c r="P13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91.977654708577532</v>
      </c>
      <c r="Q13" s="20">
        <f>COUNT(MonthlyScoresTABLE[[#This Row],[Fish 1]:[Fish 5]])</f>
        <v>5</v>
      </c>
      <c r="R13" s="23">
        <f>MAX(MonthlyScoresTABLE[[#This Row],[Fish 1]:[Fish 5]])</f>
        <v>19.5</v>
      </c>
      <c r="S13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13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Tom Crowe|Benn Grenz</v>
      </c>
      <c r="U13" s="3">
        <f>IFERROR(VLOOKUP(MROUND(D13,0.25),Table4[],2,FALSE),0)</f>
        <v>2.7462499999999999</v>
      </c>
      <c r="V13" s="3">
        <f>IFERROR(VLOOKUP(MROUND(E13,0.25),Table4[],2,FALSE),0)</f>
        <v>2.6419733796296296</v>
      </c>
      <c r="W13" s="3">
        <f>IFERROR(VLOOKUP(MROUND(F13,0.25),Table4[],2,FALSE),0)</f>
        <v>2.2512557870370369</v>
      </c>
      <c r="X13" s="3">
        <f>IFERROR(VLOOKUP(MROUND(G13,0.25),Table4[],2,FALSE),0)</f>
        <v>1.6637500000000001</v>
      </c>
      <c r="Y13" s="3">
        <f>IFERROR(VLOOKUP(MROUND(H13,0.25),Table4[],2,FALSE),0)</f>
        <v>1.517037037037037</v>
      </c>
    </row>
    <row r="14" spans="1:25" hidden="1" x14ac:dyDescent="0.3">
      <c r="A14" s="28" t="s">
        <v>3</v>
      </c>
      <c r="B14" s="28" t="s">
        <v>27</v>
      </c>
      <c r="C14" s="28" t="s">
        <v>77</v>
      </c>
      <c r="D14" s="29">
        <v>19.75</v>
      </c>
      <c r="E14" s="29">
        <v>18.25</v>
      </c>
      <c r="F14" s="29">
        <v>17.25</v>
      </c>
      <c r="G14" s="29">
        <v>17.5</v>
      </c>
      <c r="H14" s="29">
        <v>16.5</v>
      </c>
      <c r="I14" s="30"/>
      <c r="J14" s="23">
        <f>SUM(MonthlyScoresTABLE[[#This Row],[Fish 1 lbs.]:[Fish 5 lbs.]])</f>
        <v>10.654288194444444</v>
      </c>
      <c r="K14" s="19">
        <f>IF(COUNTA(MonthlyScoresTABLE[[#This Row],[Angler 1]:[Angler 2]])=1,0.15,0)</f>
        <v>0</v>
      </c>
      <c r="L14" s="23">
        <f>MonthlyScoresTABLE[[#This Row],[Weight]]+(MonthlyScoresTABLE[[#This Row],[Weight]]*MonthlyScoresTABLE[[#This Row],[Alone]])</f>
        <v>10.654288194444444</v>
      </c>
      <c r="M14" s="21">
        <f>IF(MonthlyScoresTABLE[[#This Row],[Minutes Late]]=0,0,IF(MonthlyScoresTABLE[[#This Row],[Minutes Late]]&lt;=5,0.5,IF(MonthlyScoresTABLE[[#This Row],[Minutes Late]]&gt;5,1)))</f>
        <v>0</v>
      </c>
      <c r="N14" s="23">
        <f>MonthlyScoresTABLE[[#This Row],[Weight Subtotal]]-(MonthlyScoresTABLE[[#This Row],[Weight Subtotal]]*MonthlyScoresTABLE[[#This Row],[Late]])</f>
        <v>10.654288194444444</v>
      </c>
      <c r="O14" s="22">
        <f>IF(MonthlyScoresTABLE[[#This Row],[Weight Total]]&gt;0,COUNTIFS(MonthlyScoresTABLE[Month],MonthlyScoresTABLE[[#This Row],[Month]],MonthlyScoresTABLE[Weight Total],"&gt;"&amp;MonthlyScoresTABLE[[#This Row],[Weight Total]])+1,"")</f>
        <v>4</v>
      </c>
      <c r="P14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90.566758919374152</v>
      </c>
      <c r="Q14" s="20">
        <f>COUNT(MonthlyScoresTABLE[[#This Row],[Fish 1]:[Fish 5]])</f>
        <v>5</v>
      </c>
      <c r="R14" s="23">
        <f>MAX(MonthlyScoresTABLE[[#This Row],[Fish 1]:[Fish 5]])</f>
        <v>19.75</v>
      </c>
      <c r="S14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14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Jacob Boynton|Clayton Brandt</v>
      </c>
      <c r="U14" s="3">
        <f>IFERROR(VLOOKUP(MROUND(D14,0.25),Table4[],2,FALSE),0)</f>
        <v>2.8532349537037036</v>
      </c>
      <c r="V14" s="3">
        <f>IFERROR(VLOOKUP(MROUND(E14,0.25),Table4[],2,FALSE),0)</f>
        <v>2.2512557870370369</v>
      </c>
      <c r="W14" s="3">
        <f>IFERROR(VLOOKUP(MROUND(F14,0.25),Table4[],2,FALSE),0)</f>
        <v>1.90109375</v>
      </c>
      <c r="X14" s="3">
        <f>IFERROR(VLOOKUP(MROUND(G14,0.25),Table4[],2,FALSE),0)</f>
        <v>1.9849537037037037</v>
      </c>
      <c r="Y14" s="3">
        <f>IFERROR(VLOOKUP(MROUND(H14,0.25),Table4[],2,FALSE),0)</f>
        <v>1.6637500000000001</v>
      </c>
    </row>
    <row r="15" spans="1:25" hidden="1" x14ac:dyDescent="0.3">
      <c r="A15" s="28" t="s">
        <v>3</v>
      </c>
      <c r="B15" s="28" t="s">
        <v>34</v>
      </c>
      <c r="C15" s="28" t="s">
        <v>78</v>
      </c>
      <c r="D15" s="29">
        <v>20</v>
      </c>
      <c r="E15" s="29">
        <v>17.5</v>
      </c>
      <c r="F15" s="29">
        <v>17.75</v>
      </c>
      <c r="G15" s="29"/>
      <c r="H15" s="29"/>
      <c r="I15" s="30"/>
      <c r="J15" s="23">
        <f>SUM(MonthlyScoresTABLE[[#This Row],[Fish 1 lbs.]:[Fish 5 lbs.]])</f>
        <v>7.019160879629629</v>
      </c>
      <c r="K15" s="19">
        <f>IF(COUNTA(MonthlyScoresTABLE[[#This Row],[Angler 1]:[Angler 2]])=1,0.15,0)</f>
        <v>0</v>
      </c>
      <c r="L15" s="23">
        <f>MonthlyScoresTABLE[[#This Row],[Weight]]+(MonthlyScoresTABLE[[#This Row],[Weight]]*MonthlyScoresTABLE[[#This Row],[Alone]])</f>
        <v>7.019160879629629</v>
      </c>
      <c r="M15" s="21">
        <f>IF(MonthlyScoresTABLE[[#This Row],[Minutes Late]]=0,0,IF(MonthlyScoresTABLE[[#This Row],[Minutes Late]]&lt;=5,0.5,IF(MonthlyScoresTABLE[[#This Row],[Minutes Late]]&gt;5,1)))</f>
        <v>0</v>
      </c>
      <c r="N15" s="23">
        <f>MonthlyScoresTABLE[[#This Row],[Weight Subtotal]]-(MonthlyScoresTABLE[[#This Row],[Weight Subtotal]]*MonthlyScoresTABLE[[#This Row],[Late]])</f>
        <v>7.019160879629629</v>
      </c>
      <c r="O15">
        <f>IF(MonthlyScoresTABLE[[#This Row],[Weight Total]]&gt;0,COUNTIFS(MonthlyScoresTABLE[Month],MonthlyScoresTABLE[[#This Row],[Month]],MonthlyScoresTABLE[Weight Total],"&gt;"&amp;MonthlyScoresTABLE[[#This Row],[Weight Total]])+1,"")</f>
        <v>5</v>
      </c>
      <c r="P15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59.66636527939977</v>
      </c>
      <c r="Q15" s="20">
        <f>COUNT(MonthlyScoresTABLE[[#This Row],[Fish 1]:[Fish 5]])</f>
        <v>3</v>
      </c>
      <c r="R15" s="23">
        <f>MAX(MonthlyScoresTABLE[[#This Row],[Fish 1]:[Fish 5]])</f>
        <v>20</v>
      </c>
      <c r="S15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15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Josh Kepp|Chris Kujawa</v>
      </c>
      <c r="U15" s="3">
        <f>IFERROR(VLOOKUP(MROUND(D15,0.25),Table4[],2,FALSE),0)</f>
        <v>2.9629629629629628</v>
      </c>
      <c r="V15" s="3">
        <f>IFERROR(VLOOKUP(MROUND(E15,0.25),Table4[],2,FALSE),0)</f>
        <v>1.9849537037037037</v>
      </c>
      <c r="W15" s="3">
        <f>IFERROR(VLOOKUP(MROUND(F15,0.25),Table4[],2,FALSE),0)</f>
        <v>2.0712442129629629</v>
      </c>
      <c r="X15" s="3">
        <f>IFERROR(VLOOKUP(MROUND(G15,0.25),Table4[],2,FALSE),0)</f>
        <v>0</v>
      </c>
      <c r="Y15" s="3">
        <f>IFERROR(VLOOKUP(MROUND(H15,0.25),Table4[],2,FALSE),0)</f>
        <v>0</v>
      </c>
    </row>
    <row r="16" spans="1:25" hidden="1" x14ac:dyDescent="0.3">
      <c r="A16" s="28" t="s">
        <v>3</v>
      </c>
      <c r="B16" s="28" t="s">
        <v>44</v>
      </c>
      <c r="C16" s="28" t="s">
        <v>36</v>
      </c>
      <c r="D16" s="29">
        <v>20.5</v>
      </c>
      <c r="E16" s="29">
        <v>17.5</v>
      </c>
      <c r="F16" s="29">
        <v>16.25</v>
      </c>
      <c r="G16" s="29"/>
      <c r="H16" s="29"/>
      <c r="I16" s="30"/>
      <c r="J16" s="23">
        <f>SUM(MonthlyScoresTABLE[[#This Row],[Fish 1 lbs.]:[Fish 5 lbs.]])</f>
        <v>6.7650057870370368</v>
      </c>
      <c r="K16" s="19">
        <f>IF(COUNTA(MonthlyScoresTABLE[[#This Row],[Angler 1]:[Angler 2]])=1,0.15,0)</f>
        <v>0</v>
      </c>
      <c r="L16" s="23">
        <f>MonthlyScoresTABLE[[#This Row],[Weight]]+(MonthlyScoresTABLE[[#This Row],[Weight]]*MonthlyScoresTABLE[[#This Row],[Alone]])</f>
        <v>6.7650057870370368</v>
      </c>
      <c r="M16" s="21">
        <f>IF(MonthlyScoresTABLE[[#This Row],[Minutes Late]]=0,0,IF(MonthlyScoresTABLE[[#This Row],[Minutes Late]]&lt;=5,0.5,IF(MonthlyScoresTABLE[[#This Row],[Minutes Late]]&gt;5,1)))</f>
        <v>0</v>
      </c>
      <c r="N16" s="23">
        <f>MonthlyScoresTABLE[[#This Row],[Weight Subtotal]]-(MonthlyScoresTABLE[[#This Row],[Weight Subtotal]]*MonthlyScoresTABLE[[#This Row],[Late]])</f>
        <v>6.7650057870370368</v>
      </c>
      <c r="O16" s="22">
        <f>IF(MonthlyScoresTABLE[[#This Row],[Weight Total]]&gt;0,COUNTIFS(MonthlyScoresTABLE[Month],MonthlyScoresTABLE[[#This Row],[Month]],MonthlyScoresTABLE[Weight Total],"&gt;"&amp;MonthlyScoresTABLE[[#This Row],[Weight Total]])+1,"")</f>
        <v>6</v>
      </c>
      <c r="P16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57.505920341279271</v>
      </c>
      <c r="Q16" s="20">
        <f>COUNT(MonthlyScoresTABLE[[#This Row],[Fish 1]:[Fish 5]])</f>
        <v>3</v>
      </c>
      <c r="R16" s="23">
        <f>MAX(MonthlyScoresTABLE[[#This Row],[Fish 1]:[Fish 5]])</f>
        <v>20.5</v>
      </c>
      <c r="S16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16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Steve Hauge|Gabe Kuettner</v>
      </c>
      <c r="U16" s="3">
        <f>IFERROR(VLOOKUP(MROUND(D16,0.25),Table4[],2,FALSE),0)</f>
        <v>3.1907870370370373</v>
      </c>
      <c r="V16" s="3">
        <f>IFERROR(VLOOKUP(MROUND(E16,0.25),Table4[],2,FALSE),0)</f>
        <v>1.9849537037037037</v>
      </c>
      <c r="W16" s="3">
        <f>IFERROR(VLOOKUP(MROUND(F16,0.25),Table4[],2,FALSE),0)</f>
        <v>1.5892650462962963</v>
      </c>
      <c r="X16" s="3">
        <f>IFERROR(VLOOKUP(MROUND(G16,0.25),Table4[],2,FALSE),0)</f>
        <v>0</v>
      </c>
      <c r="Y16" s="3">
        <f>IFERROR(VLOOKUP(MROUND(H16,0.25),Table4[],2,FALSE),0)</f>
        <v>0</v>
      </c>
    </row>
    <row r="17" spans="1:25" hidden="1" x14ac:dyDescent="0.3">
      <c r="A17" s="28" t="s">
        <v>4</v>
      </c>
      <c r="B17" s="28" t="s">
        <v>24</v>
      </c>
      <c r="C17" s="28" t="s">
        <v>44</v>
      </c>
      <c r="D17" s="29">
        <v>24.5</v>
      </c>
      <c r="E17" s="29">
        <v>23</v>
      </c>
      <c r="F17" s="29">
        <v>20</v>
      </c>
      <c r="G17" s="29">
        <v>19.5</v>
      </c>
      <c r="H17" s="29">
        <v>18.5</v>
      </c>
      <c r="I17" s="30"/>
      <c r="J17" s="23">
        <f>SUM(MonthlyScoresTABLE[[#This Row],[Fish 1 lbs.]:[Fish 5 lbs.]])</f>
        <v>18.007268518518519</v>
      </c>
      <c r="K17" s="19">
        <f>IF(COUNTA(MonthlyScoresTABLE[[#This Row],[Angler 1]:[Angler 2]])=1,0.15,0)</f>
        <v>0</v>
      </c>
      <c r="L17" s="23">
        <f>MonthlyScoresTABLE[[#This Row],[Weight]]+(MonthlyScoresTABLE[[#This Row],[Weight]]*MonthlyScoresTABLE[[#This Row],[Alone]])</f>
        <v>18.007268518518519</v>
      </c>
      <c r="M17" s="21">
        <f>IF(MonthlyScoresTABLE[[#This Row],[Minutes Late]]=0,0,IF(MonthlyScoresTABLE[[#This Row],[Minutes Late]]&lt;=5,0.5,IF(MonthlyScoresTABLE[[#This Row],[Minutes Late]]&gt;5,1)))</f>
        <v>0</v>
      </c>
      <c r="N17" s="23">
        <f>MonthlyScoresTABLE[[#This Row],[Weight Subtotal]]-(MonthlyScoresTABLE[[#This Row],[Weight Subtotal]]*MonthlyScoresTABLE[[#This Row],[Late]])</f>
        <v>18.007268518518519</v>
      </c>
      <c r="O17" s="22">
        <f>IF(MonthlyScoresTABLE[[#This Row],[Weight Total]]&gt;0,COUNTIFS(MonthlyScoresTABLE[Month],MonthlyScoresTABLE[[#This Row],[Month]],MonthlyScoresTABLE[Weight Total],"&gt;"&amp;MonthlyScoresTABLE[[#This Row],[Weight Total]])+1,"")</f>
        <v>1</v>
      </c>
      <c r="P17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100</v>
      </c>
      <c r="Q17" s="20">
        <f>COUNT(MonthlyScoresTABLE[[#This Row],[Fish 1]:[Fish 5]])</f>
        <v>5</v>
      </c>
      <c r="R17" s="23">
        <f>MAX(MonthlyScoresTABLE[[#This Row],[Fish 1]:[Fish 5]])</f>
        <v>24.5</v>
      </c>
      <c r="S17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17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Steve Hauge|Dale Rueber</v>
      </c>
      <c r="U17" s="3">
        <f>IFERROR(VLOOKUP(MROUND(D17,0.25),Table4[],2,FALSE),0)</f>
        <v>5.4467129629629634</v>
      </c>
      <c r="V17" s="3">
        <f>IFERROR(VLOOKUP(MROUND(E17,0.25),Table4[],2,FALSE),0)</f>
        <v>4.5062962962962967</v>
      </c>
      <c r="W17" s="3">
        <f>IFERROR(VLOOKUP(MROUND(F17,0.25),Table4[],2,FALSE),0)</f>
        <v>2.9629629629629628</v>
      </c>
      <c r="X17" s="3">
        <f>IFERROR(VLOOKUP(MROUND(G17,0.25),Table4[],2,FALSE),0)</f>
        <v>2.7462499999999999</v>
      </c>
      <c r="Y17" s="3">
        <f>IFERROR(VLOOKUP(MROUND(H17,0.25),Table4[],2,FALSE),0)</f>
        <v>2.3450462962962964</v>
      </c>
    </row>
    <row r="18" spans="1:25" hidden="1" x14ac:dyDescent="0.3">
      <c r="A18" s="28" t="s">
        <v>4</v>
      </c>
      <c r="B18" s="28" t="s">
        <v>79</v>
      </c>
      <c r="C18" s="28" t="s">
        <v>39</v>
      </c>
      <c r="D18" s="29">
        <v>17.5</v>
      </c>
      <c r="E18" s="29">
        <v>17.75</v>
      </c>
      <c r="F18" s="29">
        <v>18</v>
      </c>
      <c r="G18" s="29">
        <v>20.25</v>
      </c>
      <c r="H18" s="29">
        <v>27</v>
      </c>
      <c r="I18" s="30"/>
      <c r="J18" s="23">
        <f>SUM(MonthlyScoresTABLE[[#This Row],[Fish 1 lbs.]:[Fish 5 lbs.]])</f>
        <v>16.581666666666667</v>
      </c>
      <c r="K18" s="19">
        <f>IF(COUNTA(MonthlyScoresTABLE[[#This Row],[Angler 1]:[Angler 2]])=1,0.15,0)</f>
        <v>0</v>
      </c>
      <c r="L18" s="23">
        <f>MonthlyScoresTABLE[[#This Row],[Weight]]+(MonthlyScoresTABLE[[#This Row],[Weight]]*MonthlyScoresTABLE[[#This Row],[Alone]])</f>
        <v>16.581666666666667</v>
      </c>
      <c r="M18" s="21">
        <f>IF(MonthlyScoresTABLE[[#This Row],[Minutes Late]]=0,0,IF(MonthlyScoresTABLE[[#This Row],[Minutes Late]]&lt;=5,0.5,IF(MonthlyScoresTABLE[[#This Row],[Minutes Late]]&gt;5,1)))</f>
        <v>0</v>
      </c>
      <c r="N18" s="23">
        <f>MonthlyScoresTABLE[[#This Row],[Weight Subtotal]]-(MonthlyScoresTABLE[[#This Row],[Weight Subtotal]]*MonthlyScoresTABLE[[#This Row],[Late]])</f>
        <v>16.581666666666667</v>
      </c>
      <c r="O18" s="22">
        <f>IF(MonthlyScoresTABLE[[#This Row],[Weight Total]]&gt;0,COUNTIFS(MonthlyScoresTABLE[Month],MonthlyScoresTABLE[[#This Row],[Month]],MonthlyScoresTABLE[Weight Total],"&gt;"&amp;MonthlyScoresTABLE[[#This Row],[Weight Total]])+1,"")</f>
        <v>2</v>
      </c>
      <c r="P18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92.083186573323019</v>
      </c>
      <c r="Q18" s="20">
        <f>COUNT(MonthlyScoresTABLE[[#This Row],[Fish 1]:[Fish 5]])</f>
        <v>5</v>
      </c>
      <c r="R18" s="23">
        <f>MAX(MonthlyScoresTABLE[[#This Row],[Fish 1]:[Fish 5]])</f>
        <v>27</v>
      </c>
      <c r="S18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18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Jon Jones|Dave Lester</v>
      </c>
      <c r="U18" s="3">
        <f>IFERROR(VLOOKUP(MROUND(D18,0.25),Table4[],2,FALSE),0)</f>
        <v>1.9849537037037037</v>
      </c>
      <c r="V18" s="3">
        <f>IFERROR(VLOOKUP(MROUND(E18,0.25),Table4[],2,FALSE),0)</f>
        <v>2.0712442129629629</v>
      </c>
      <c r="W18" s="3">
        <f>IFERROR(VLOOKUP(MROUND(F18,0.25),Table4[],2,FALSE),0)</f>
        <v>2.16</v>
      </c>
      <c r="X18" s="3">
        <f>IFERROR(VLOOKUP(MROUND(G18,0.25),Table4[],2,FALSE),0)</f>
        <v>3.0754687500000002</v>
      </c>
      <c r="Y18" s="3">
        <f>IFERROR(VLOOKUP(MROUND(H18,0.25),Table4[],2,FALSE),0)</f>
        <v>7.29</v>
      </c>
    </row>
    <row r="19" spans="1:25" hidden="1" x14ac:dyDescent="0.3">
      <c r="A19" s="28" t="s">
        <v>4</v>
      </c>
      <c r="B19" s="28" t="s">
        <v>27</v>
      </c>
      <c r="C19" s="28" t="s">
        <v>32</v>
      </c>
      <c r="D19" s="29">
        <v>20.5</v>
      </c>
      <c r="E19" s="29">
        <v>15</v>
      </c>
      <c r="F19" s="29">
        <v>16.75</v>
      </c>
      <c r="G19" s="29">
        <v>27.5</v>
      </c>
      <c r="H19" s="29"/>
      <c r="I19" s="30"/>
      <c r="J19" s="23">
        <f>SUM(MonthlyScoresTABLE[[#This Row],[Fish 1 lbs.]:[Fish 5 lbs.]])</f>
        <v>13.883859953703704</v>
      </c>
      <c r="K19" s="19">
        <f>IF(COUNTA(MonthlyScoresTABLE[[#This Row],[Angler 1]:[Angler 2]])=1,0.15,0)</f>
        <v>0</v>
      </c>
      <c r="L19" s="23">
        <f>MonthlyScoresTABLE[[#This Row],[Weight]]+(MonthlyScoresTABLE[[#This Row],[Weight]]*MonthlyScoresTABLE[[#This Row],[Alone]])</f>
        <v>13.883859953703704</v>
      </c>
      <c r="M19" s="21">
        <f>IF(MonthlyScoresTABLE[[#This Row],[Minutes Late]]=0,0,IF(MonthlyScoresTABLE[[#This Row],[Minutes Late]]&lt;=5,0.5,IF(MonthlyScoresTABLE[[#This Row],[Minutes Late]]&gt;5,1)))</f>
        <v>0</v>
      </c>
      <c r="N19" s="23">
        <f>MonthlyScoresTABLE[[#This Row],[Weight Subtotal]]-(MonthlyScoresTABLE[[#This Row],[Weight Subtotal]]*MonthlyScoresTABLE[[#This Row],[Late]])</f>
        <v>13.883859953703704</v>
      </c>
      <c r="O19" s="22">
        <f>IF(MonthlyScoresTABLE[[#This Row],[Weight Total]]&gt;0,COUNTIFS(MonthlyScoresTABLE[Month],MonthlyScoresTABLE[[#This Row],[Month]],MonthlyScoresTABLE[Weight Total],"&gt;"&amp;MonthlyScoresTABLE[[#This Row],[Weight Total]])+1,"")</f>
        <v>3</v>
      </c>
      <c r="P19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77.101421236794806</v>
      </c>
      <c r="Q19" s="20">
        <f>COUNT(MonthlyScoresTABLE[[#This Row],[Fish 1]:[Fish 5]])</f>
        <v>4</v>
      </c>
      <c r="R19" s="23">
        <f>MAX(MonthlyScoresTABLE[[#This Row],[Fish 1]:[Fish 5]])</f>
        <v>27.5</v>
      </c>
      <c r="S19" s="22" t="b">
        <f>IF(AND(MonthlyScoresTABLE[[#This Row],[Largest Fish]]&gt;0,_xlfn.MAXIFS(MonthlyScoresTABLE[Largest Fish],MonthlyScoresTABLE[Month],MonthlyScoresTABLE[[#This Row],[Month]])=MonthlyScoresTABLE[[#This Row],[Largest Fish]]),TRUE,"")</f>
        <v>1</v>
      </c>
      <c r="T19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Clayton Brandt|Benn Grenz</v>
      </c>
      <c r="U19" s="3">
        <f>IFERROR(VLOOKUP(MROUND(D19,0.25),Table4[],2,FALSE),0)</f>
        <v>3.1907870370370373</v>
      </c>
      <c r="V19" s="3">
        <f>IFERROR(VLOOKUP(MROUND(E19,0.25),Table4[],2,FALSE),0)</f>
        <v>1.25</v>
      </c>
      <c r="W19" s="3">
        <f>IFERROR(VLOOKUP(MROUND(F19,0.25),Table4[],2,FALSE),0)</f>
        <v>1.7405266203703704</v>
      </c>
      <c r="X19" s="3">
        <f>IFERROR(VLOOKUP(MROUND(G19,0.25),Table4[],2,FALSE),0)</f>
        <v>7.7025462962962967</v>
      </c>
      <c r="Y19" s="3">
        <f>IFERROR(VLOOKUP(MROUND(H19,0.25),Table4[],2,FALSE),0)</f>
        <v>0</v>
      </c>
    </row>
    <row r="20" spans="1:25" hidden="1" x14ac:dyDescent="0.3">
      <c r="A20" s="28" t="s">
        <v>4</v>
      </c>
      <c r="B20" s="28" t="s">
        <v>38</v>
      </c>
      <c r="C20" s="28" t="s">
        <v>34</v>
      </c>
      <c r="D20" s="29">
        <v>16.5</v>
      </c>
      <c r="E20" s="29">
        <v>16.75</v>
      </c>
      <c r="F20" s="29">
        <v>17.25</v>
      </c>
      <c r="G20" s="29">
        <v>19.25</v>
      </c>
      <c r="H20" s="29">
        <v>23.25</v>
      </c>
      <c r="I20" s="30"/>
      <c r="J20" s="23">
        <f>SUM(MonthlyScoresTABLE[[#This Row],[Fish 1 lbs.]:[Fish 5 lbs.]])</f>
        <v>12.602187499999999</v>
      </c>
      <c r="K20" s="19">
        <f>IF(COUNTA(MonthlyScoresTABLE[[#This Row],[Angler 1]:[Angler 2]])=1,0.15,0)</f>
        <v>0</v>
      </c>
      <c r="L20" s="23">
        <f>MonthlyScoresTABLE[[#This Row],[Weight]]+(MonthlyScoresTABLE[[#This Row],[Weight]]*MonthlyScoresTABLE[[#This Row],[Alone]])</f>
        <v>12.602187499999999</v>
      </c>
      <c r="M20" s="21">
        <f>IF(MonthlyScoresTABLE[[#This Row],[Minutes Late]]=0,0,IF(MonthlyScoresTABLE[[#This Row],[Minutes Late]]&lt;=5,0.5,IF(MonthlyScoresTABLE[[#This Row],[Minutes Late]]&gt;5,1)))</f>
        <v>0</v>
      </c>
      <c r="N20" s="23">
        <f>MonthlyScoresTABLE[[#This Row],[Weight Subtotal]]-(MonthlyScoresTABLE[[#This Row],[Weight Subtotal]]*MonthlyScoresTABLE[[#This Row],[Late]])</f>
        <v>12.602187499999999</v>
      </c>
      <c r="O20" s="22">
        <f>IF(MonthlyScoresTABLE[[#This Row],[Weight Total]]&gt;0,COUNTIFS(MonthlyScoresTABLE[Month],MonthlyScoresTABLE[[#This Row],[Month]],MonthlyScoresTABLE[Weight Total],"&gt;"&amp;MonthlyScoresTABLE[[#This Row],[Weight Total]])+1,"")</f>
        <v>4</v>
      </c>
      <c r="P20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69.983892821057339</v>
      </c>
      <c r="Q20" s="20">
        <f>COUNT(MonthlyScoresTABLE[[#This Row],[Fish 1]:[Fish 5]])</f>
        <v>5</v>
      </c>
      <c r="R20" s="23">
        <f>MAX(MonthlyScoresTABLE[[#This Row],[Fish 1]:[Fish 5]])</f>
        <v>23.25</v>
      </c>
      <c r="S20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20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John McDougall|Chris Kujawa</v>
      </c>
      <c r="U20" s="3">
        <f>IFERROR(VLOOKUP(MROUND(D20,0.25),Table4[],2,FALSE),0)</f>
        <v>1.6637500000000001</v>
      </c>
      <c r="V20" s="3">
        <f>IFERROR(VLOOKUP(MROUND(E20,0.25),Table4[],2,FALSE),0)</f>
        <v>1.7405266203703704</v>
      </c>
      <c r="W20" s="3">
        <f>IFERROR(VLOOKUP(MROUND(F20,0.25),Table4[],2,FALSE),0)</f>
        <v>1.90109375</v>
      </c>
      <c r="X20" s="3">
        <f>IFERROR(VLOOKUP(MROUND(G20,0.25),Table4[],2,FALSE),0)</f>
        <v>2.6419733796296296</v>
      </c>
      <c r="Y20" s="3">
        <f>IFERROR(VLOOKUP(MROUND(H20,0.25),Table4[],2,FALSE),0)</f>
        <v>4.6548437500000004</v>
      </c>
    </row>
    <row r="21" spans="1:25" hidden="1" x14ac:dyDescent="0.3">
      <c r="A21" s="28" t="s">
        <v>4</v>
      </c>
      <c r="B21" s="28" t="s">
        <v>74</v>
      </c>
      <c r="C21" s="28" t="s">
        <v>75</v>
      </c>
      <c r="D21" s="29">
        <v>16.5</v>
      </c>
      <c r="E21" s="29">
        <v>19.25</v>
      </c>
      <c r="F21" s="29">
        <v>15.25</v>
      </c>
      <c r="G21" s="29">
        <v>21.25</v>
      </c>
      <c r="H21" s="29">
        <v>15.25</v>
      </c>
      <c r="I21" s="30"/>
      <c r="J21" s="23">
        <f>SUM(MonthlyScoresTABLE[[#This Row],[Fish 1 lbs.]:[Fish 5 lbs.]])</f>
        <v>10.486782407407407</v>
      </c>
      <c r="K21" s="19">
        <f>IF(COUNTA(MonthlyScoresTABLE[[#This Row],[Angler 1]:[Angler 2]])=1,0.15,0)</f>
        <v>0</v>
      </c>
      <c r="L21" s="23">
        <f>MonthlyScoresTABLE[[#This Row],[Weight]]+(MonthlyScoresTABLE[[#This Row],[Weight]]*MonthlyScoresTABLE[[#This Row],[Alone]])</f>
        <v>10.486782407407407</v>
      </c>
      <c r="M21" s="21">
        <f>IF(MonthlyScoresTABLE[[#This Row],[Minutes Late]]=0,0,IF(MonthlyScoresTABLE[[#This Row],[Minutes Late]]&lt;=5,0.5,IF(MonthlyScoresTABLE[[#This Row],[Minutes Late]]&gt;5,1)))</f>
        <v>0</v>
      </c>
      <c r="N21" s="23">
        <f>MonthlyScoresTABLE[[#This Row],[Weight Subtotal]]-(MonthlyScoresTABLE[[#This Row],[Weight Subtotal]]*MonthlyScoresTABLE[[#This Row],[Late]])</f>
        <v>10.486782407407407</v>
      </c>
      <c r="O21" s="22">
        <f>IF(MonthlyScoresTABLE[[#This Row],[Weight Total]]&gt;0,COUNTIFS(MonthlyScoresTABLE[Month],MonthlyScoresTABLE[[#This Row],[Month]],MonthlyScoresTABLE[Weight Total],"&gt;"&amp;MonthlyScoresTABLE[[#This Row],[Weight Total]])+1,"")</f>
        <v>5</v>
      </c>
      <c r="P21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58.236386027247221</v>
      </c>
      <c r="Q21" s="20">
        <f>COUNT(MonthlyScoresTABLE[[#This Row],[Fish 1]:[Fish 5]])</f>
        <v>5</v>
      </c>
      <c r="R21" s="23">
        <f>MAX(MonthlyScoresTABLE[[#This Row],[Fish 1]:[Fish 5]])</f>
        <v>21.25</v>
      </c>
      <c r="S21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21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Peter Mart |Ben Bailey</v>
      </c>
      <c r="U21" s="3">
        <f>IFERROR(VLOOKUP(MROUND(D21,0.25),Table4[],2,FALSE),0)</f>
        <v>1.6637500000000001</v>
      </c>
      <c r="V21" s="3">
        <f>IFERROR(VLOOKUP(MROUND(E21,0.25),Table4[],2,FALSE),0)</f>
        <v>2.6419733796296296</v>
      </c>
      <c r="W21" s="3">
        <f>IFERROR(VLOOKUP(MROUND(F21,0.25),Table4[],2,FALSE),0)</f>
        <v>1.3135474537037037</v>
      </c>
      <c r="X21" s="3">
        <f>IFERROR(VLOOKUP(MROUND(G21,0.25),Table4[],2,FALSE),0)</f>
        <v>3.5539641203703702</v>
      </c>
      <c r="Y21" s="3">
        <f>IFERROR(VLOOKUP(MROUND(H21,0.25),Table4[],2,FALSE),0)</f>
        <v>1.3135474537037037</v>
      </c>
    </row>
    <row r="22" spans="1:25" hidden="1" x14ac:dyDescent="0.3">
      <c r="A22" s="28" t="s">
        <v>4</v>
      </c>
      <c r="B22" s="28" t="s">
        <v>36</v>
      </c>
      <c r="C22" s="28" t="s">
        <v>51</v>
      </c>
      <c r="D22" s="29">
        <v>19.75</v>
      </c>
      <c r="E22" s="29">
        <v>16</v>
      </c>
      <c r="F22" s="29">
        <v>16.5</v>
      </c>
      <c r="G22" s="29">
        <v>16.5</v>
      </c>
      <c r="H22" s="29">
        <v>16.5</v>
      </c>
      <c r="I22" s="30"/>
      <c r="J22" s="23">
        <f>SUM(MonthlyScoresTABLE[[#This Row],[Fish 1 lbs.]:[Fish 5 lbs.]])</f>
        <v>9.3615219907407408</v>
      </c>
      <c r="K22" s="19">
        <f>IF(COUNTA(MonthlyScoresTABLE[[#This Row],[Angler 1]:[Angler 2]])=1,0.15,0)</f>
        <v>0</v>
      </c>
      <c r="L22" s="23">
        <f>MonthlyScoresTABLE[[#This Row],[Weight]]+(MonthlyScoresTABLE[[#This Row],[Weight]]*MonthlyScoresTABLE[[#This Row],[Alone]])</f>
        <v>9.3615219907407408</v>
      </c>
      <c r="M22" s="21">
        <f>IF(MonthlyScoresTABLE[[#This Row],[Minutes Late]]=0,0,IF(MonthlyScoresTABLE[[#This Row],[Minutes Late]]&lt;=5,0.5,IF(MonthlyScoresTABLE[[#This Row],[Minutes Late]]&gt;5,1)))</f>
        <v>0</v>
      </c>
      <c r="N22" s="23">
        <f>MonthlyScoresTABLE[[#This Row],[Weight Subtotal]]-(MonthlyScoresTABLE[[#This Row],[Weight Subtotal]]*MonthlyScoresTABLE[[#This Row],[Late]])</f>
        <v>9.3615219907407408</v>
      </c>
      <c r="O22" s="22">
        <f>IF(MonthlyScoresTABLE[[#This Row],[Weight Total]]&gt;0,COUNTIFS(MonthlyScoresTABLE[Month],MonthlyScoresTABLE[[#This Row],[Month]],MonthlyScoresTABLE[Weight Total],"&gt;"&amp;MonthlyScoresTABLE[[#This Row],[Weight Total]])+1,"")</f>
        <v>6</v>
      </c>
      <c r="P22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51.987462624403214</v>
      </c>
      <c r="Q22" s="20">
        <f>COUNT(MonthlyScoresTABLE[[#This Row],[Fish 1]:[Fish 5]])</f>
        <v>5</v>
      </c>
      <c r="R22" s="23">
        <f>MAX(MonthlyScoresTABLE[[#This Row],[Fish 1]:[Fish 5]])</f>
        <v>19.75</v>
      </c>
      <c r="S22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22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Gabe Kuettner|Chad Miller</v>
      </c>
      <c r="U22" s="3">
        <f>IFERROR(VLOOKUP(MROUND(D22,0.25),Table4[],2,FALSE),0)</f>
        <v>2.8532349537037036</v>
      </c>
      <c r="V22" s="3">
        <f>IFERROR(VLOOKUP(MROUND(E22,0.25),Table4[],2,FALSE),0)</f>
        <v>1.517037037037037</v>
      </c>
      <c r="W22" s="3">
        <f>IFERROR(VLOOKUP(MROUND(F22,0.25),Table4[],2,FALSE),0)</f>
        <v>1.6637500000000001</v>
      </c>
      <c r="X22" s="3">
        <f>IFERROR(VLOOKUP(MROUND(G22,0.25),Table4[],2,FALSE),0)</f>
        <v>1.6637500000000001</v>
      </c>
      <c r="Y22" s="3">
        <f>IFERROR(VLOOKUP(MROUND(H22,0.25),Table4[],2,FALSE),0)</f>
        <v>1.6637500000000001</v>
      </c>
    </row>
    <row r="23" spans="1:25" hidden="1" x14ac:dyDescent="0.3">
      <c r="A23" s="28" t="s">
        <v>4</v>
      </c>
      <c r="B23" s="28" t="s">
        <v>82</v>
      </c>
      <c r="C23" s="28" t="s">
        <v>78</v>
      </c>
      <c r="D23" s="29">
        <v>16.649999999999999</v>
      </c>
      <c r="E23" s="29">
        <v>17</v>
      </c>
      <c r="F23" s="29">
        <v>17</v>
      </c>
      <c r="G23" s="29">
        <v>17.25</v>
      </c>
      <c r="H23" s="29">
        <v>16</v>
      </c>
      <c r="I23" s="30"/>
      <c r="J23" s="23">
        <f>SUM(MonthlyScoresTABLE[[#This Row],[Fish 1 lbs.]:[Fish 5 lbs.]])</f>
        <v>8.7979166666666675</v>
      </c>
      <c r="K23" s="19">
        <f>IF(COUNTA(MonthlyScoresTABLE[[#This Row],[Angler 1]:[Angler 2]])=1,0.15,0)</f>
        <v>0</v>
      </c>
      <c r="L23" s="23">
        <f>MonthlyScoresTABLE[[#This Row],[Weight]]+(MonthlyScoresTABLE[[#This Row],[Weight]]*MonthlyScoresTABLE[[#This Row],[Alone]])</f>
        <v>8.7979166666666675</v>
      </c>
      <c r="M23" s="21">
        <f>IF(MonthlyScoresTABLE[[#This Row],[Minutes Late]]=0,0,IF(MonthlyScoresTABLE[[#This Row],[Minutes Late]]&lt;=5,0.5,IF(MonthlyScoresTABLE[[#This Row],[Minutes Late]]&gt;5,1)))</f>
        <v>0</v>
      </c>
      <c r="N23" s="23">
        <f>MonthlyScoresTABLE[[#This Row],[Weight Subtotal]]-(MonthlyScoresTABLE[[#This Row],[Weight Subtotal]]*MonthlyScoresTABLE[[#This Row],[Late]])</f>
        <v>8.7979166666666675</v>
      </c>
      <c r="O23" s="22">
        <f>IF(MonthlyScoresTABLE[[#This Row],[Weight Total]]&gt;0,COUNTIFS(MonthlyScoresTABLE[Month],MonthlyScoresTABLE[[#This Row],[Month]],MonthlyScoresTABLE[Weight Total],"&gt;"&amp;MonthlyScoresTABLE[[#This Row],[Weight Total]])+1,"")</f>
        <v>7</v>
      </c>
      <c r="P23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48.857585799972753</v>
      </c>
      <c r="Q23" s="20">
        <f>COUNT(MonthlyScoresTABLE[[#This Row],[Fish 1]:[Fish 5]])</f>
        <v>5</v>
      </c>
      <c r="R23" s="23">
        <f>MAX(MonthlyScoresTABLE[[#This Row],[Fish 1]:[Fish 5]])</f>
        <v>17.25</v>
      </c>
      <c r="S23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23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Mike Kepp|Josh Kepp</v>
      </c>
      <c r="U23" s="3">
        <f>IFERROR(VLOOKUP(MROUND(D23,0.25),Table4[],2,FALSE),0)</f>
        <v>1.7405266203703704</v>
      </c>
      <c r="V23" s="3">
        <f>IFERROR(VLOOKUP(MROUND(E23,0.25),Table4[],2,FALSE),0)</f>
        <v>1.8196296296296297</v>
      </c>
      <c r="W23" s="3">
        <f>IFERROR(VLOOKUP(MROUND(F23,0.25),Table4[],2,FALSE),0)</f>
        <v>1.8196296296296297</v>
      </c>
      <c r="X23" s="3">
        <f>IFERROR(VLOOKUP(MROUND(G23,0.25),Table4[],2,FALSE),0)</f>
        <v>1.90109375</v>
      </c>
      <c r="Y23" s="3">
        <f>IFERROR(VLOOKUP(MROUND(H23,0.25),Table4[],2,FALSE),0)</f>
        <v>1.517037037037037</v>
      </c>
    </row>
    <row r="24" spans="1:25" hidden="1" x14ac:dyDescent="0.3">
      <c r="A24" s="28" t="s">
        <v>4</v>
      </c>
      <c r="B24" s="28" t="s">
        <v>25</v>
      </c>
      <c r="C24" s="28" t="s">
        <v>41</v>
      </c>
      <c r="D24" s="29">
        <v>15</v>
      </c>
      <c r="E24" s="29">
        <v>15.75</v>
      </c>
      <c r="F24" s="29">
        <v>15.75</v>
      </c>
      <c r="G24" s="29">
        <v>16</v>
      </c>
      <c r="H24" s="29"/>
      <c r="I24" s="30"/>
      <c r="J24" s="23">
        <f>SUM(MonthlyScoresTABLE[[#This Row],[Fish 1 lbs.]:[Fish 5 lbs.]])</f>
        <v>5.6610995370370372</v>
      </c>
      <c r="K24" s="19">
        <f>IF(COUNTA(MonthlyScoresTABLE[[#This Row],[Angler 1]:[Angler 2]])=1,0.15,0)</f>
        <v>0</v>
      </c>
      <c r="L24" s="23">
        <f>MonthlyScoresTABLE[[#This Row],[Weight]]+(MonthlyScoresTABLE[[#This Row],[Weight]]*MonthlyScoresTABLE[[#This Row],[Alone]])</f>
        <v>5.6610995370370372</v>
      </c>
      <c r="M24" s="21">
        <f>IF(MonthlyScoresTABLE[[#This Row],[Minutes Late]]=0,0,IF(MonthlyScoresTABLE[[#This Row],[Minutes Late]]&lt;=5,0.5,IF(MonthlyScoresTABLE[[#This Row],[Minutes Late]]&gt;5,1)))</f>
        <v>0</v>
      </c>
      <c r="N24" s="23">
        <f>MonthlyScoresTABLE[[#This Row],[Weight Subtotal]]-(MonthlyScoresTABLE[[#This Row],[Weight Subtotal]]*MonthlyScoresTABLE[[#This Row],[Late]])</f>
        <v>5.6610995370370372</v>
      </c>
      <c r="O24" s="22">
        <f>IF(MonthlyScoresTABLE[[#This Row],[Weight Total]]&gt;0,COUNTIFS(MonthlyScoresTABLE[Month],MonthlyScoresTABLE[[#This Row],[Month]],MonthlyScoresTABLE[Weight Total],"&gt;"&amp;MonthlyScoresTABLE[[#This Row],[Weight Total]])+1,"")</f>
        <v>8</v>
      </c>
      <c r="P24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31.437858169412042</v>
      </c>
      <c r="Q24" s="20">
        <f>COUNT(MonthlyScoresTABLE[[#This Row],[Fish 1]:[Fish 5]])</f>
        <v>4</v>
      </c>
      <c r="R24" s="23">
        <f>MAX(MonthlyScoresTABLE[[#This Row],[Fish 1]:[Fish 5]])</f>
        <v>16</v>
      </c>
      <c r="S24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24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Nick Dennison|Mike Utley</v>
      </c>
      <c r="U24" s="3">
        <f>IFERROR(VLOOKUP(MROUND(D24,0.25),Table4[],2,FALSE),0)</f>
        <v>1.25</v>
      </c>
      <c r="V24" s="3">
        <f>IFERROR(VLOOKUP(MROUND(E24,0.25),Table4[],2,FALSE),0)</f>
        <v>1.44703125</v>
      </c>
      <c r="W24" s="3">
        <f>IFERROR(VLOOKUP(MROUND(F24,0.25),Table4[],2,FALSE),0)</f>
        <v>1.44703125</v>
      </c>
      <c r="X24" s="3">
        <f>IFERROR(VLOOKUP(MROUND(G24,0.25),Table4[],2,FALSE),0)</f>
        <v>1.517037037037037</v>
      </c>
      <c r="Y24" s="3">
        <f>IFERROR(VLOOKUP(MROUND(H24,0.25),Table4[],2,FALSE),0)</f>
        <v>0</v>
      </c>
    </row>
    <row r="25" spans="1:25" hidden="1" x14ac:dyDescent="0.3">
      <c r="A25" s="28" t="s">
        <v>4</v>
      </c>
      <c r="B25" s="28" t="s">
        <v>80</v>
      </c>
      <c r="C25" s="28" t="s">
        <v>31</v>
      </c>
      <c r="D25" s="29">
        <v>17</v>
      </c>
      <c r="E25" s="29"/>
      <c r="F25" s="29"/>
      <c r="G25" s="29"/>
      <c r="H25" s="29"/>
      <c r="I25" s="30"/>
      <c r="J25" s="23">
        <f>SUM(MonthlyScoresTABLE[[#This Row],[Fish 1 lbs.]:[Fish 5 lbs.]])</f>
        <v>1.8196296296296297</v>
      </c>
      <c r="K25" s="19">
        <f>IF(COUNTA(MonthlyScoresTABLE[[#This Row],[Angler 1]:[Angler 2]])=1,0.15,0)</f>
        <v>0</v>
      </c>
      <c r="L25" s="23">
        <f>MonthlyScoresTABLE[[#This Row],[Weight]]+(MonthlyScoresTABLE[[#This Row],[Weight]]*MonthlyScoresTABLE[[#This Row],[Alone]])</f>
        <v>1.8196296296296297</v>
      </c>
      <c r="M25" s="21">
        <f>IF(MonthlyScoresTABLE[[#This Row],[Minutes Late]]=0,0,IF(MonthlyScoresTABLE[[#This Row],[Minutes Late]]&lt;=5,0.5,IF(MonthlyScoresTABLE[[#This Row],[Minutes Late]]&gt;5,1)))</f>
        <v>0</v>
      </c>
      <c r="N25" s="23">
        <f>MonthlyScoresTABLE[[#This Row],[Weight Subtotal]]-(MonthlyScoresTABLE[[#This Row],[Weight Subtotal]]*MonthlyScoresTABLE[[#This Row],[Late]])</f>
        <v>1.8196296296296297</v>
      </c>
      <c r="O25" s="22">
        <f>IF(MonthlyScoresTABLE[[#This Row],[Weight Total]]&gt;0,COUNTIFS(MonthlyScoresTABLE[Month],MonthlyScoresTABLE[[#This Row],[Month]],MonthlyScoresTABLE[Weight Total],"&gt;"&amp;MonthlyScoresTABLE[[#This Row],[Weight Total]])+1,"")</f>
        <v>9</v>
      </c>
      <c r="P25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10.104973043292704</v>
      </c>
      <c r="Q25" s="20">
        <f>COUNT(MonthlyScoresTABLE[[#This Row],[Fish 1]:[Fish 5]])</f>
        <v>1</v>
      </c>
      <c r="R25" s="23">
        <f>MAX(MonthlyScoresTABLE[[#This Row],[Fish 1]:[Fish 5]])</f>
        <v>17</v>
      </c>
      <c r="S25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25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Ted Mart|Kevin Valento</v>
      </c>
      <c r="U25" s="3">
        <f>IFERROR(VLOOKUP(MROUND(D25,0.25),Table4[],2,FALSE),0)</f>
        <v>1.8196296296296297</v>
      </c>
      <c r="V25" s="3">
        <f>IFERROR(VLOOKUP(MROUND(E25,0.25),Table4[],2,FALSE),0)</f>
        <v>0</v>
      </c>
      <c r="W25" s="3">
        <f>IFERROR(VLOOKUP(MROUND(F25,0.25),Table4[],2,FALSE),0)</f>
        <v>0</v>
      </c>
      <c r="X25" s="3">
        <f>IFERROR(VLOOKUP(MROUND(G25,0.25),Table4[],2,FALSE),0)</f>
        <v>0</v>
      </c>
      <c r="Y25" s="3">
        <f>IFERROR(VLOOKUP(MROUND(H25,0.25),Table4[],2,FALSE),0)</f>
        <v>0</v>
      </c>
    </row>
    <row r="26" spans="1:25" hidden="1" x14ac:dyDescent="0.3">
      <c r="A26" s="28" t="s">
        <v>4</v>
      </c>
      <c r="B26" s="28" t="s">
        <v>45</v>
      </c>
      <c r="C26" s="28" t="s">
        <v>42</v>
      </c>
      <c r="D26" s="29">
        <v>0</v>
      </c>
      <c r="E26" s="29"/>
      <c r="F26" s="29"/>
      <c r="G26" s="29"/>
      <c r="H26" s="29"/>
      <c r="I26" s="30"/>
      <c r="J26" s="23">
        <f>SUM(MonthlyScoresTABLE[[#This Row],[Fish 1 lbs.]:[Fish 5 lbs.]])</f>
        <v>0</v>
      </c>
      <c r="K26" s="19">
        <f>IF(COUNTA(MonthlyScoresTABLE[[#This Row],[Angler 1]:[Angler 2]])=1,0.15,0)</f>
        <v>0</v>
      </c>
      <c r="L26" s="23">
        <f>MonthlyScoresTABLE[[#This Row],[Weight]]+(MonthlyScoresTABLE[[#This Row],[Weight]]*MonthlyScoresTABLE[[#This Row],[Alone]])</f>
        <v>0</v>
      </c>
      <c r="M26" s="21">
        <f>IF(MonthlyScoresTABLE[[#This Row],[Minutes Late]]=0,0,IF(MonthlyScoresTABLE[[#This Row],[Minutes Late]]&lt;=5,0.5,IF(MonthlyScoresTABLE[[#This Row],[Minutes Late]]&gt;5,1)))</f>
        <v>0</v>
      </c>
      <c r="N26" s="23">
        <f>MonthlyScoresTABLE[[#This Row],[Weight Subtotal]]-(MonthlyScoresTABLE[[#This Row],[Weight Subtotal]]*MonthlyScoresTABLE[[#This Row],[Late]])</f>
        <v>0</v>
      </c>
      <c r="O26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26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</v>
      </c>
      <c r="Q26" s="20">
        <f>COUNT(MonthlyScoresTABLE[[#This Row],[Fish 1]:[Fish 5]])</f>
        <v>1</v>
      </c>
      <c r="R26" s="23">
        <f>MAX(MonthlyScoresTABLE[[#This Row],[Fish 1]:[Fish 5]])</f>
        <v>0</v>
      </c>
      <c r="S26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26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Tom Crowe|Ron Persik</v>
      </c>
      <c r="U26" s="3">
        <f>IFERROR(VLOOKUP(MROUND(D26,0.25),Table4[],2,FALSE),0)</f>
        <v>0</v>
      </c>
      <c r="V26" s="3">
        <f>IFERROR(VLOOKUP(MROUND(E26,0.25),Table4[],2,FALSE),0)</f>
        <v>0</v>
      </c>
      <c r="W26" s="3">
        <f>IFERROR(VLOOKUP(MROUND(F26,0.25),Table4[],2,FALSE),0)</f>
        <v>0</v>
      </c>
      <c r="X26" s="3">
        <f>IFERROR(VLOOKUP(MROUND(G26,0.25),Table4[],2,FALSE),0)</f>
        <v>0</v>
      </c>
      <c r="Y26" s="3">
        <f>IFERROR(VLOOKUP(MROUND(H26,0.25),Table4[],2,FALSE),0)</f>
        <v>0</v>
      </c>
    </row>
    <row r="27" spans="1:25" hidden="1" x14ac:dyDescent="0.3">
      <c r="A27" s="28" t="s">
        <v>4</v>
      </c>
      <c r="B27" s="28" t="s">
        <v>77</v>
      </c>
      <c r="C27" s="28" t="s">
        <v>76</v>
      </c>
      <c r="D27" s="29">
        <v>0</v>
      </c>
      <c r="E27" s="29"/>
      <c r="F27" s="29"/>
      <c r="G27" s="29"/>
      <c r="H27" s="29"/>
      <c r="I27" s="30"/>
      <c r="J27" s="23">
        <f>SUM(MonthlyScoresTABLE[[#This Row],[Fish 1 lbs.]:[Fish 5 lbs.]])</f>
        <v>0</v>
      </c>
      <c r="K27" s="19">
        <f>IF(COUNTA(MonthlyScoresTABLE[[#This Row],[Angler 1]:[Angler 2]])=1,0.15,0)</f>
        <v>0</v>
      </c>
      <c r="L27" s="23">
        <f>MonthlyScoresTABLE[[#This Row],[Weight]]+(MonthlyScoresTABLE[[#This Row],[Weight]]*MonthlyScoresTABLE[[#This Row],[Alone]])</f>
        <v>0</v>
      </c>
      <c r="M27" s="21">
        <f>IF(MonthlyScoresTABLE[[#This Row],[Minutes Late]]=0,0,IF(MonthlyScoresTABLE[[#This Row],[Minutes Late]]&lt;=5,0.5,IF(MonthlyScoresTABLE[[#This Row],[Minutes Late]]&gt;5,1)))</f>
        <v>0</v>
      </c>
      <c r="N27" s="23">
        <f>MonthlyScoresTABLE[[#This Row],[Weight Subtotal]]-(MonthlyScoresTABLE[[#This Row],[Weight Subtotal]]*MonthlyScoresTABLE[[#This Row],[Late]])</f>
        <v>0</v>
      </c>
      <c r="O27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27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</v>
      </c>
      <c r="Q27" s="20">
        <f>COUNT(MonthlyScoresTABLE[[#This Row],[Fish 1]:[Fish 5]])</f>
        <v>1</v>
      </c>
      <c r="R27" s="23">
        <f>MAX(MonthlyScoresTABLE[[#This Row],[Fish 1]:[Fish 5]])</f>
        <v>0</v>
      </c>
      <c r="S27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27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Jacob Boynton|Dave Vollmer</v>
      </c>
      <c r="U27" s="3">
        <f>IFERROR(VLOOKUP(MROUND(D27,0.25),Table4[],2,FALSE),0)</f>
        <v>0</v>
      </c>
      <c r="V27" s="3">
        <f>IFERROR(VLOOKUP(MROUND(E27,0.25),Table4[],2,FALSE),0)</f>
        <v>0</v>
      </c>
      <c r="W27" s="3">
        <f>IFERROR(VLOOKUP(MROUND(F27,0.25),Table4[],2,FALSE),0)</f>
        <v>0</v>
      </c>
      <c r="X27" s="3">
        <f>IFERROR(VLOOKUP(MROUND(G27,0.25),Table4[],2,FALSE),0)</f>
        <v>0</v>
      </c>
      <c r="Y27" s="3">
        <f>IFERROR(VLOOKUP(MROUND(H27,0.25),Table4[],2,FALSE),0)</f>
        <v>0</v>
      </c>
    </row>
    <row r="28" spans="1:25" hidden="1" x14ac:dyDescent="0.3">
      <c r="A28" s="28" t="s">
        <v>53</v>
      </c>
      <c r="B28" s="28" t="s">
        <v>45</v>
      </c>
      <c r="C28" s="28" t="s">
        <v>79</v>
      </c>
      <c r="D28" s="29">
        <v>18.75</v>
      </c>
      <c r="E28" s="29">
        <v>20</v>
      </c>
      <c r="F28" s="29">
        <v>28</v>
      </c>
      <c r="G28" s="29"/>
      <c r="H28" s="29"/>
      <c r="I28" s="30"/>
      <c r="J28" s="23">
        <f>SUM(MonthlyScoresTABLE[[#This Row],[Fish 1 lbs.]:[Fish 5 lbs.]])</f>
        <v>13.534739583333334</v>
      </c>
      <c r="K28" s="19">
        <f>IF(COUNTA(MonthlyScoresTABLE[[#This Row],[Angler 1]:[Angler 2]])=1,0.15,0)</f>
        <v>0</v>
      </c>
      <c r="L28" s="23">
        <f>MonthlyScoresTABLE[[#This Row],[Weight]]+(MonthlyScoresTABLE[[#This Row],[Weight]]*MonthlyScoresTABLE[[#This Row],[Alone]])</f>
        <v>13.534739583333334</v>
      </c>
      <c r="M28" s="21">
        <f>IF(MonthlyScoresTABLE[[#This Row],[Minutes Late]]=0,0,IF(MonthlyScoresTABLE[[#This Row],[Minutes Late]]&lt;=5,0.5,IF(MonthlyScoresTABLE[[#This Row],[Minutes Late]]&gt;5,1)))</f>
        <v>0</v>
      </c>
      <c r="N28" s="23">
        <f>MonthlyScoresTABLE[[#This Row],[Weight Subtotal]]-(MonthlyScoresTABLE[[#This Row],[Weight Subtotal]]*MonthlyScoresTABLE[[#This Row],[Late]])</f>
        <v>13.534739583333334</v>
      </c>
      <c r="O28" s="22">
        <f>IF(MonthlyScoresTABLE[[#This Row],[Weight Total]]&gt;0,COUNTIFS(MonthlyScoresTABLE[Month],MonthlyScoresTABLE[[#This Row],[Month]],MonthlyScoresTABLE[Weight Total],"&gt;"&amp;MonthlyScoresTABLE[[#This Row],[Weight Total]])+1,"")</f>
        <v>1</v>
      </c>
      <c r="P28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100</v>
      </c>
      <c r="Q28" s="20">
        <f>COUNT(MonthlyScoresTABLE[[#This Row],[Fish 1]:[Fish 5]])</f>
        <v>3</v>
      </c>
      <c r="R28" s="23">
        <f>MAX(MonthlyScoresTABLE[[#This Row],[Fish 1]:[Fish 5]])</f>
        <v>28</v>
      </c>
      <c r="S28" s="22" t="b">
        <f>IF(AND(MonthlyScoresTABLE[[#This Row],[Largest Fish]]&gt;0,_xlfn.MAXIFS(MonthlyScoresTABLE[Largest Fish],MonthlyScoresTABLE[Month],MonthlyScoresTABLE[[#This Row],[Month]])=MonthlyScoresTABLE[[#This Row],[Largest Fish]]),TRUE,"")</f>
        <v>1</v>
      </c>
      <c r="T28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Tom Crowe|Dave Lester</v>
      </c>
      <c r="U28" s="3">
        <f>IFERROR(VLOOKUP(MROUND(D28,0.25),Table4[],2,FALSE),0)</f>
        <v>2.44140625</v>
      </c>
      <c r="V28" s="3">
        <f>IFERROR(VLOOKUP(MROUND(E28,0.25),Table4[],2,FALSE),0)</f>
        <v>2.9629629629629628</v>
      </c>
      <c r="W28" s="3">
        <f>IFERROR(VLOOKUP(MROUND(F28,0.25),Table4[],2,FALSE),0)</f>
        <v>8.13037037037037</v>
      </c>
      <c r="X28" s="3">
        <f>IFERROR(VLOOKUP(MROUND(G28,0.25),Table4[],2,FALSE),0)</f>
        <v>0</v>
      </c>
      <c r="Y28" s="3">
        <f>IFERROR(VLOOKUP(MROUND(H28,0.25),Table4[],2,FALSE),0)</f>
        <v>0</v>
      </c>
    </row>
    <row r="29" spans="1:25" hidden="1" x14ac:dyDescent="0.3">
      <c r="A29" s="28" t="s">
        <v>53</v>
      </c>
      <c r="B29" s="28" t="s">
        <v>77</v>
      </c>
      <c r="C29" s="28" t="s">
        <v>83</v>
      </c>
      <c r="D29" s="29">
        <v>15.25</v>
      </c>
      <c r="E29" s="29">
        <v>17</v>
      </c>
      <c r="F29" s="29">
        <v>20</v>
      </c>
      <c r="G29" s="29">
        <v>20</v>
      </c>
      <c r="H29" s="29">
        <v>22</v>
      </c>
      <c r="I29" s="30"/>
      <c r="J29" s="23">
        <f>SUM(MonthlyScoresTABLE[[#This Row],[Fish 1 lbs.]:[Fish 5 lbs.]])</f>
        <v>13.002806712962965</v>
      </c>
      <c r="K29" s="19">
        <f>IF(COUNTA(MonthlyScoresTABLE[[#This Row],[Angler 1]:[Angler 2]])=1,0.15,0)</f>
        <v>0</v>
      </c>
      <c r="L29" s="23">
        <f>MonthlyScoresTABLE[[#This Row],[Weight]]+(MonthlyScoresTABLE[[#This Row],[Weight]]*MonthlyScoresTABLE[[#This Row],[Alone]])</f>
        <v>13.002806712962965</v>
      </c>
      <c r="M29" s="21">
        <f>IF(MonthlyScoresTABLE[[#This Row],[Minutes Late]]=0,0,IF(MonthlyScoresTABLE[[#This Row],[Minutes Late]]&lt;=5,0.5,IF(MonthlyScoresTABLE[[#This Row],[Minutes Late]]&gt;5,1)))</f>
        <v>0</v>
      </c>
      <c r="N29" s="23">
        <f>MonthlyScoresTABLE[[#This Row],[Weight Subtotal]]-(MonthlyScoresTABLE[[#This Row],[Weight Subtotal]]*MonthlyScoresTABLE[[#This Row],[Late]])</f>
        <v>13.002806712962965</v>
      </c>
      <c r="O29" s="22">
        <f>IF(MonthlyScoresTABLE[[#This Row],[Weight Total]]&gt;0,COUNTIFS(MonthlyScoresTABLE[Month],MonthlyScoresTABLE[[#This Row],[Month]],MonthlyScoresTABLE[Weight Total],"&gt;"&amp;MonthlyScoresTABLE[[#This Row],[Weight Total]])+1,"")</f>
        <v>2</v>
      </c>
      <c r="P29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96.06986992919029</v>
      </c>
      <c r="Q29" s="20">
        <f>COUNT(MonthlyScoresTABLE[[#This Row],[Fish 1]:[Fish 5]])</f>
        <v>5</v>
      </c>
      <c r="R29" s="23">
        <f>MAX(MonthlyScoresTABLE[[#This Row],[Fish 1]:[Fish 5]])</f>
        <v>22</v>
      </c>
      <c r="S29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29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Jacob Boynton|Caiden Haake</v>
      </c>
      <c r="U29" s="3">
        <f>IFERROR(VLOOKUP(MROUND(D29,0.25),Table4[],2,FALSE),0)</f>
        <v>1.3135474537037037</v>
      </c>
      <c r="V29" s="3">
        <f>IFERROR(VLOOKUP(MROUND(E29,0.25),Table4[],2,FALSE),0)</f>
        <v>1.8196296296296297</v>
      </c>
      <c r="W29" s="3">
        <f>IFERROR(VLOOKUP(MROUND(F29,0.25),Table4[],2,FALSE),0)</f>
        <v>2.9629629629629628</v>
      </c>
      <c r="X29" s="3">
        <f>IFERROR(VLOOKUP(MROUND(G29,0.25),Table4[],2,FALSE),0)</f>
        <v>2.9629629629629628</v>
      </c>
      <c r="Y29" s="3">
        <f>IFERROR(VLOOKUP(MROUND(H29,0.25),Table4[],2,FALSE),0)</f>
        <v>3.9437037037037035</v>
      </c>
    </row>
    <row r="30" spans="1:25" hidden="1" x14ac:dyDescent="0.3">
      <c r="A30" s="28" t="s">
        <v>53</v>
      </c>
      <c r="B30" s="28" t="s">
        <v>25</v>
      </c>
      <c r="C30" s="28" t="s">
        <v>31</v>
      </c>
      <c r="D30" s="29">
        <v>20.25</v>
      </c>
      <c r="E30" s="29">
        <v>19</v>
      </c>
      <c r="F30" s="29">
        <v>19</v>
      </c>
      <c r="G30" s="29">
        <v>18.5</v>
      </c>
      <c r="H30" s="29"/>
      <c r="I30" s="30"/>
      <c r="J30" s="23">
        <f>SUM(MonthlyScoresTABLE[[#This Row],[Fish 1 lbs.]:[Fish 5 lbs.]])</f>
        <v>10.501255787037037</v>
      </c>
      <c r="K30" s="19">
        <f>IF(COUNTA(MonthlyScoresTABLE[[#This Row],[Angler 1]:[Angler 2]])=1,0.15,0)</f>
        <v>0</v>
      </c>
      <c r="L30" s="23">
        <f>MonthlyScoresTABLE[[#This Row],[Weight]]+(MonthlyScoresTABLE[[#This Row],[Weight]]*MonthlyScoresTABLE[[#This Row],[Alone]])</f>
        <v>10.501255787037037</v>
      </c>
      <c r="M30" s="21">
        <f>IF(MonthlyScoresTABLE[[#This Row],[Minutes Late]]=0,0,IF(MonthlyScoresTABLE[[#This Row],[Minutes Late]]&lt;=5,0.5,IF(MonthlyScoresTABLE[[#This Row],[Minutes Late]]&gt;5,1)))</f>
        <v>0</v>
      </c>
      <c r="N30" s="23">
        <f>MonthlyScoresTABLE[[#This Row],[Weight Subtotal]]-(MonthlyScoresTABLE[[#This Row],[Weight Subtotal]]*MonthlyScoresTABLE[[#This Row],[Late]])</f>
        <v>10.501255787037037</v>
      </c>
      <c r="O30" s="22">
        <f>IF(MonthlyScoresTABLE[[#This Row],[Weight Total]]&gt;0,COUNTIFS(MonthlyScoresTABLE[Month],MonthlyScoresTABLE[[#This Row],[Month]],MonthlyScoresTABLE[Weight Total],"&gt;"&amp;MonthlyScoresTABLE[[#This Row],[Weight Total]])+1,"")</f>
        <v>3</v>
      </c>
      <c r="P30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77.587423994239785</v>
      </c>
      <c r="Q30" s="20">
        <f>COUNT(MonthlyScoresTABLE[[#This Row],[Fish 1]:[Fish 5]])</f>
        <v>4</v>
      </c>
      <c r="R30" s="23">
        <f>MAX(MonthlyScoresTABLE[[#This Row],[Fish 1]:[Fish 5]])</f>
        <v>20.25</v>
      </c>
      <c r="S30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30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Ted Mart|Nick Dennison</v>
      </c>
      <c r="U30" s="3">
        <f>IFERROR(VLOOKUP(MROUND(D30,0.25),Table4[],2,FALSE),0)</f>
        <v>3.0754687500000002</v>
      </c>
      <c r="V30" s="3">
        <f>IFERROR(VLOOKUP(MROUND(E30,0.25),Table4[],2,FALSE),0)</f>
        <v>2.5403703703703702</v>
      </c>
      <c r="W30" s="3">
        <f>IFERROR(VLOOKUP(MROUND(F30,0.25),Table4[],2,FALSE),0)</f>
        <v>2.5403703703703702</v>
      </c>
      <c r="X30" s="3">
        <f>IFERROR(VLOOKUP(MROUND(G30,0.25),Table4[],2,FALSE),0)</f>
        <v>2.3450462962962964</v>
      </c>
      <c r="Y30" s="3">
        <f>IFERROR(VLOOKUP(MROUND(H30,0.25),Table4[],2,FALSE),0)</f>
        <v>0</v>
      </c>
    </row>
    <row r="31" spans="1:25" hidden="1" x14ac:dyDescent="0.3">
      <c r="A31" s="28" t="s">
        <v>53</v>
      </c>
      <c r="B31" s="28" t="s">
        <v>44</v>
      </c>
      <c r="C31" s="28" t="s">
        <v>32</v>
      </c>
      <c r="D31" s="29">
        <v>20.5</v>
      </c>
      <c r="E31" s="29">
        <v>18.75</v>
      </c>
      <c r="F31" s="29">
        <v>17.5</v>
      </c>
      <c r="G31" s="29"/>
      <c r="H31" s="29"/>
      <c r="I31" s="30"/>
      <c r="J31" s="23">
        <f>SUM(MonthlyScoresTABLE[[#This Row],[Fish 1 lbs.]:[Fish 5 lbs.]])</f>
        <v>7.617146990740741</v>
      </c>
      <c r="K31" s="19">
        <f>IF(COUNTA(MonthlyScoresTABLE[[#This Row],[Angler 1]:[Angler 2]])=1,0.15,0)</f>
        <v>0</v>
      </c>
      <c r="L31" s="23">
        <f>MonthlyScoresTABLE[[#This Row],[Weight]]+(MonthlyScoresTABLE[[#This Row],[Weight]]*MonthlyScoresTABLE[[#This Row],[Alone]])</f>
        <v>7.617146990740741</v>
      </c>
      <c r="M31" s="21">
        <f>IF(MonthlyScoresTABLE[[#This Row],[Minutes Late]]=0,0,IF(MonthlyScoresTABLE[[#This Row],[Minutes Late]]&lt;=5,0.5,IF(MonthlyScoresTABLE[[#This Row],[Minutes Late]]&gt;5,1)))</f>
        <v>0</v>
      </c>
      <c r="N31" s="23">
        <f>MonthlyScoresTABLE[[#This Row],[Weight Subtotal]]-(MonthlyScoresTABLE[[#This Row],[Weight Subtotal]]*MonthlyScoresTABLE[[#This Row],[Late]])</f>
        <v>7.617146990740741</v>
      </c>
      <c r="O31" s="22">
        <f>IF(MonthlyScoresTABLE[[#This Row],[Weight Total]]&gt;0,COUNTIFS(MonthlyScoresTABLE[Month],MonthlyScoresTABLE[[#This Row],[Month]],MonthlyScoresTABLE[Weight Total],"&gt;"&amp;MonthlyScoresTABLE[[#This Row],[Weight Total]])+1,"")</f>
        <v>4</v>
      </c>
      <c r="P31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56.278489466620321</v>
      </c>
      <c r="Q31" s="20">
        <f>COUNT(MonthlyScoresTABLE[[#This Row],[Fish 1]:[Fish 5]])</f>
        <v>3</v>
      </c>
      <c r="R31" s="23">
        <f>MAX(MonthlyScoresTABLE[[#This Row],[Fish 1]:[Fish 5]])</f>
        <v>20.5</v>
      </c>
      <c r="S31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31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Steve Hauge|Benn Grenz</v>
      </c>
      <c r="U31" s="3">
        <f>IFERROR(VLOOKUP(MROUND(D31,0.25),Table4[],2,FALSE),0)</f>
        <v>3.1907870370370373</v>
      </c>
      <c r="V31" s="3">
        <f>IFERROR(VLOOKUP(MROUND(E31,0.25),Table4[],2,FALSE),0)</f>
        <v>2.44140625</v>
      </c>
      <c r="W31" s="3">
        <f>IFERROR(VLOOKUP(MROUND(F31,0.25),Table4[],2,FALSE),0)</f>
        <v>1.9849537037037037</v>
      </c>
      <c r="X31" s="3">
        <f>IFERROR(VLOOKUP(MROUND(G31,0.25),Table4[],2,FALSE),0)</f>
        <v>0</v>
      </c>
      <c r="Y31" s="3">
        <f>IFERROR(VLOOKUP(MROUND(H31,0.25),Table4[],2,FALSE),0)</f>
        <v>0</v>
      </c>
    </row>
    <row r="32" spans="1:25" hidden="1" x14ac:dyDescent="0.3">
      <c r="A32" s="28" t="s">
        <v>53</v>
      </c>
      <c r="B32" s="28" t="s">
        <v>24</v>
      </c>
      <c r="C32" s="28" t="s">
        <v>36</v>
      </c>
      <c r="D32" s="29">
        <v>15</v>
      </c>
      <c r="E32" s="29">
        <v>15.5</v>
      </c>
      <c r="F32" s="29">
        <v>15.75</v>
      </c>
      <c r="G32" s="29">
        <v>15.25</v>
      </c>
      <c r="H32" s="29">
        <v>15.75</v>
      </c>
      <c r="I32" s="30"/>
      <c r="J32" s="23">
        <f>SUM(MonthlyScoresTABLE[[#This Row],[Fish 1 lbs.]:[Fish 5 lbs.]])</f>
        <v>6.8368229166666667</v>
      </c>
      <c r="K32" s="19">
        <f>IF(COUNTA(MonthlyScoresTABLE[[#This Row],[Angler 1]:[Angler 2]])=1,0.15,0)</f>
        <v>0</v>
      </c>
      <c r="L32" s="23">
        <f>MonthlyScoresTABLE[[#This Row],[Weight]]+(MonthlyScoresTABLE[[#This Row],[Weight]]*MonthlyScoresTABLE[[#This Row],[Alone]])</f>
        <v>6.8368229166666667</v>
      </c>
      <c r="M32" s="21">
        <f>IF(MonthlyScoresTABLE[[#This Row],[Minutes Late]]=0,0,IF(MonthlyScoresTABLE[[#This Row],[Minutes Late]]&lt;=5,0.5,IF(MonthlyScoresTABLE[[#This Row],[Minutes Late]]&gt;5,1)))</f>
        <v>0</v>
      </c>
      <c r="N32" s="23">
        <f>MonthlyScoresTABLE[[#This Row],[Weight Subtotal]]-(MonthlyScoresTABLE[[#This Row],[Weight Subtotal]]*MonthlyScoresTABLE[[#This Row],[Late]])</f>
        <v>6.8368229166666667</v>
      </c>
      <c r="O32" s="22">
        <f>IF(MonthlyScoresTABLE[[#This Row],[Weight Total]]&gt;0,COUNTIFS(MonthlyScoresTABLE[Month],MonthlyScoresTABLE[[#This Row],[Month]],MonthlyScoresTABLE[Weight Total],"&gt;"&amp;MonthlyScoresTABLE[[#This Row],[Weight Total]])+1,"")</f>
        <v>5</v>
      </c>
      <c r="P32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50.513147109867738</v>
      </c>
      <c r="Q32" s="20">
        <f>COUNT(MonthlyScoresTABLE[[#This Row],[Fish 1]:[Fish 5]])</f>
        <v>5</v>
      </c>
      <c r="R32" s="23">
        <f>MAX(MonthlyScoresTABLE[[#This Row],[Fish 1]:[Fish 5]])</f>
        <v>15.75</v>
      </c>
      <c r="S32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32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Gabe Kuettner|Dale Rueber</v>
      </c>
      <c r="U32" s="3">
        <f>IFERROR(VLOOKUP(MROUND(D32,0.25),Table4[],2,FALSE),0)</f>
        <v>1.25</v>
      </c>
      <c r="V32" s="3">
        <f>IFERROR(VLOOKUP(MROUND(E32,0.25),Table4[],2,FALSE),0)</f>
        <v>1.379212962962963</v>
      </c>
      <c r="W32" s="3">
        <f>IFERROR(VLOOKUP(MROUND(F32,0.25),Table4[],2,FALSE),0)</f>
        <v>1.44703125</v>
      </c>
      <c r="X32" s="3">
        <f>IFERROR(VLOOKUP(MROUND(G32,0.25),Table4[],2,FALSE),0)</f>
        <v>1.3135474537037037</v>
      </c>
      <c r="Y32" s="3">
        <f>IFERROR(VLOOKUP(MROUND(H32,0.25),Table4[],2,FALSE),0)</f>
        <v>1.44703125</v>
      </c>
    </row>
    <row r="33" spans="1:25" hidden="1" x14ac:dyDescent="0.3">
      <c r="A33" s="28" t="s">
        <v>53</v>
      </c>
      <c r="B33" s="28" t="s">
        <v>78</v>
      </c>
      <c r="C33" s="28" t="s">
        <v>38</v>
      </c>
      <c r="D33" s="29">
        <v>17.25</v>
      </c>
      <c r="E33" s="29">
        <v>18</v>
      </c>
      <c r="F33" s="29"/>
      <c r="G33" s="29"/>
      <c r="H33" s="29"/>
      <c r="I33" s="30"/>
      <c r="J33" s="23">
        <f>SUM(MonthlyScoresTABLE[[#This Row],[Fish 1 lbs.]:[Fish 5 lbs.]])</f>
        <v>4.0610937500000004</v>
      </c>
      <c r="K33" s="19">
        <f>IF(COUNTA(MonthlyScoresTABLE[[#This Row],[Angler 1]:[Angler 2]])=1,0.15,0)</f>
        <v>0</v>
      </c>
      <c r="L33" s="23">
        <f>MonthlyScoresTABLE[[#This Row],[Weight]]+(MonthlyScoresTABLE[[#This Row],[Weight]]*MonthlyScoresTABLE[[#This Row],[Alone]])</f>
        <v>4.0610937500000004</v>
      </c>
      <c r="M33" s="21">
        <f>IF(MonthlyScoresTABLE[[#This Row],[Minutes Late]]=0,0,IF(MonthlyScoresTABLE[[#This Row],[Minutes Late]]&lt;=5,0.5,IF(MonthlyScoresTABLE[[#This Row],[Minutes Late]]&gt;5,1)))</f>
        <v>0</v>
      </c>
      <c r="N33" s="23">
        <f>MonthlyScoresTABLE[[#This Row],[Weight Subtotal]]-(MonthlyScoresTABLE[[#This Row],[Weight Subtotal]]*MonthlyScoresTABLE[[#This Row],[Late]])</f>
        <v>4.0610937500000004</v>
      </c>
      <c r="O33" s="22">
        <f>IF(MonthlyScoresTABLE[[#This Row],[Weight Total]]&gt;0,COUNTIFS(MonthlyScoresTABLE[Month],MonthlyScoresTABLE[[#This Row],[Month]],MonthlyScoresTABLE[Weight Total],"&gt;"&amp;MonthlyScoresTABLE[[#This Row],[Weight Total]])+1,"")</f>
        <v>6</v>
      </c>
      <c r="P33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30.004964077778251</v>
      </c>
      <c r="Q33" s="20">
        <f>COUNT(MonthlyScoresTABLE[[#This Row],[Fish 1]:[Fish 5]])</f>
        <v>2</v>
      </c>
      <c r="R33" s="23">
        <f>MAX(MonthlyScoresTABLE[[#This Row],[Fish 1]:[Fish 5]])</f>
        <v>18</v>
      </c>
      <c r="S33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33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Josh Kepp|John McDougall</v>
      </c>
      <c r="U33" s="3">
        <f>IFERROR(VLOOKUP(MROUND(D33,0.25),Table4[],2,FALSE),0)</f>
        <v>1.90109375</v>
      </c>
      <c r="V33" s="3">
        <f>IFERROR(VLOOKUP(MROUND(E33,0.25),Table4[],2,FALSE),0)</f>
        <v>2.16</v>
      </c>
      <c r="W33" s="3">
        <f>IFERROR(VLOOKUP(MROUND(F33,0.25),Table4[],2,FALSE),0)</f>
        <v>0</v>
      </c>
      <c r="X33" s="3">
        <f>IFERROR(VLOOKUP(MROUND(G33,0.25),Table4[],2,FALSE),0)</f>
        <v>0</v>
      </c>
      <c r="Y33" s="3">
        <f>IFERROR(VLOOKUP(MROUND(H33,0.25),Table4[],2,FALSE),0)</f>
        <v>0</v>
      </c>
    </row>
    <row r="34" spans="1:25" hidden="1" x14ac:dyDescent="0.3">
      <c r="A34" s="28" t="s">
        <v>54</v>
      </c>
      <c r="B34" s="28" t="s">
        <v>24</v>
      </c>
      <c r="C34" s="28" t="s">
        <v>31</v>
      </c>
      <c r="D34" s="29">
        <v>21.75</v>
      </c>
      <c r="E34" s="29">
        <v>19.75</v>
      </c>
      <c r="F34" s="29"/>
      <c r="G34" s="29"/>
      <c r="H34" s="29"/>
      <c r="I34" s="30"/>
      <c r="J34" s="23">
        <f>SUM(MonthlyScoresTABLE[[#This Row],[Fish 1 lbs.]:[Fish 5 lbs.]])</f>
        <v>6.664016203703703</v>
      </c>
      <c r="K34" s="19">
        <f>IF(COUNTA(MonthlyScoresTABLE[[#This Row],[Angler 1]:[Angler 2]])=1,0.15,0)</f>
        <v>0</v>
      </c>
      <c r="L34" s="23">
        <f>MonthlyScoresTABLE[[#This Row],[Weight]]+(MonthlyScoresTABLE[[#This Row],[Weight]]*MonthlyScoresTABLE[[#This Row],[Alone]])</f>
        <v>6.664016203703703</v>
      </c>
      <c r="M34" s="21">
        <f>IF(MonthlyScoresTABLE[[#This Row],[Minutes Late]]=0,0,IF(MonthlyScoresTABLE[[#This Row],[Minutes Late]]&lt;=5,0.5,IF(MonthlyScoresTABLE[[#This Row],[Minutes Late]]&gt;5,1)))</f>
        <v>0</v>
      </c>
      <c r="N34" s="23">
        <f>MonthlyScoresTABLE[[#This Row],[Weight Subtotal]]-(MonthlyScoresTABLE[[#This Row],[Weight Subtotal]]*MonthlyScoresTABLE[[#This Row],[Late]])</f>
        <v>6.664016203703703</v>
      </c>
      <c r="O34" s="22">
        <f>IF(MonthlyScoresTABLE[[#This Row],[Weight Total]]&gt;0,COUNTIFS(MonthlyScoresTABLE[Month],MonthlyScoresTABLE[[#This Row],[Month]],MonthlyScoresTABLE[Weight Total],"&gt;"&amp;MonthlyScoresTABLE[[#This Row],[Weight Total]])+1,"")</f>
        <v>1</v>
      </c>
      <c r="P34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100</v>
      </c>
      <c r="Q34" s="20">
        <f>COUNT(MonthlyScoresTABLE[[#This Row],[Fish 1]:[Fish 5]])</f>
        <v>2</v>
      </c>
      <c r="R34" s="23">
        <f>MAX(MonthlyScoresTABLE[[#This Row],[Fish 1]:[Fish 5]])</f>
        <v>21.75</v>
      </c>
      <c r="S34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34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Ted Mart|Dale Rueber</v>
      </c>
      <c r="U34" s="3">
        <f>IFERROR(VLOOKUP(MROUND(D34,0.25),Table4[],2,FALSE),0)</f>
        <v>3.8107812499999998</v>
      </c>
      <c r="V34" s="3">
        <f>IFERROR(VLOOKUP(MROUND(E34,0.25),Table4[],2,FALSE),0)</f>
        <v>2.8532349537037036</v>
      </c>
      <c r="W34" s="3">
        <f>IFERROR(VLOOKUP(MROUND(F34,0.25),Table4[],2,FALSE),0)</f>
        <v>0</v>
      </c>
      <c r="X34" s="3">
        <f>IFERROR(VLOOKUP(MROUND(G34,0.25),Table4[],2,FALSE),0)</f>
        <v>0</v>
      </c>
      <c r="Y34" s="3">
        <f>IFERROR(VLOOKUP(MROUND(H34,0.25),Table4[],2,FALSE),0)</f>
        <v>0</v>
      </c>
    </row>
    <row r="35" spans="1:25" hidden="1" x14ac:dyDescent="0.3">
      <c r="A35" s="28" t="s">
        <v>54</v>
      </c>
      <c r="B35" s="28" t="s">
        <v>77</v>
      </c>
      <c r="C35" s="28" t="s">
        <v>75</v>
      </c>
      <c r="D35" s="29">
        <v>15.25</v>
      </c>
      <c r="E35" s="29">
        <v>22.25</v>
      </c>
      <c r="F35" s="29"/>
      <c r="G35" s="29"/>
      <c r="H35" s="29"/>
      <c r="I35" s="30"/>
      <c r="J35" s="23">
        <f>SUM(MonthlyScoresTABLE[[#This Row],[Fish 1 lbs.]:[Fish 5 lbs.]])</f>
        <v>5.393229166666667</v>
      </c>
      <c r="K35" s="19">
        <f>IF(COUNTA(MonthlyScoresTABLE[[#This Row],[Angler 1]:[Angler 2]])=1,0.15,0)</f>
        <v>0</v>
      </c>
      <c r="L35" s="23">
        <f>MonthlyScoresTABLE[[#This Row],[Weight]]+(MonthlyScoresTABLE[[#This Row],[Weight]]*MonthlyScoresTABLE[[#This Row],[Alone]])</f>
        <v>5.393229166666667</v>
      </c>
      <c r="M35" s="21">
        <f>IF(MonthlyScoresTABLE[[#This Row],[Minutes Late]]=0,0,IF(MonthlyScoresTABLE[[#This Row],[Minutes Late]]&lt;=5,0.5,IF(MonthlyScoresTABLE[[#This Row],[Minutes Late]]&gt;5,1)))</f>
        <v>0</v>
      </c>
      <c r="N35" s="23">
        <f>MonthlyScoresTABLE[[#This Row],[Weight Subtotal]]-(MonthlyScoresTABLE[[#This Row],[Weight Subtotal]]*MonthlyScoresTABLE[[#This Row],[Late]])</f>
        <v>5.393229166666667</v>
      </c>
      <c r="O35" s="22">
        <f>IF(MonthlyScoresTABLE[[#This Row],[Weight Total]]&gt;0,COUNTIFS(MonthlyScoresTABLE[Month],MonthlyScoresTABLE[[#This Row],[Month]],MonthlyScoresTABLE[Weight Total],"&gt;"&amp;MonthlyScoresTABLE[[#This Row],[Weight Total]])+1,"")</f>
        <v>2</v>
      </c>
      <c r="P35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80.930613038864422</v>
      </c>
      <c r="Q35" s="20">
        <f>COUNT(MonthlyScoresTABLE[[#This Row],[Fish 1]:[Fish 5]])</f>
        <v>2</v>
      </c>
      <c r="R35" s="23">
        <f>MAX(MonthlyScoresTABLE[[#This Row],[Fish 1]:[Fish 5]])</f>
        <v>22.25</v>
      </c>
      <c r="S35" s="22" t="b">
        <f>IF(AND(MonthlyScoresTABLE[[#This Row],[Largest Fish]]&gt;0,_xlfn.MAXIFS(MonthlyScoresTABLE[Largest Fish],MonthlyScoresTABLE[Month],MonthlyScoresTABLE[[#This Row],[Month]])=MonthlyScoresTABLE[[#This Row],[Largest Fish]]),TRUE,"")</f>
        <v>1</v>
      </c>
      <c r="T35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Jacob Boynton|Ben Bailey</v>
      </c>
      <c r="U35" s="3">
        <f>IFERROR(VLOOKUP(MROUND(D35,0.25),Table4[],2,FALSE),0)</f>
        <v>1.3135474537037037</v>
      </c>
      <c r="V35" s="3">
        <f>IFERROR(VLOOKUP(MROUND(E35,0.25),Table4[],2,FALSE),0)</f>
        <v>4.0796817129629632</v>
      </c>
      <c r="W35" s="3">
        <f>IFERROR(VLOOKUP(MROUND(F35,0.25),Table4[],2,FALSE),0)</f>
        <v>0</v>
      </c>
      <c r="X35" s="3">
        <f>IFERROR(VLOOKUP(MROUND(G35,0.25),Table4[],2,FALSE),0)</f>
        <v>0</v>
      </c>
      <c r="Y35" s="3">
        <f>IFERROR(VLOOKUP(MROUND(H35,0.25),Table4[],2,FALSE),0)</f>
        <v>0</v>
      </c>
    </row>
    <row r="36" spans="1:25" hidden="1" x14ac:dyDescent="0.3">
      <c r="A36" s="28" t="s">
        <v>54</v>
      </c>
      <c r="B36" s="28" t="s">
        <v>44</v>
      </c>
      <c r="C36" s="28" t="s">
        <v>27</v>
      </c>
      <c r="D36" s="29">
        <v>19</v>
      </c>
      <c r="E36" s="29">
        <v>19.25</v>
      </c>
      <c r="F36" s="29"/>
      <c r="G36" s="29"/>
      <c r="H36" s="29"/>
      <c r="I36" s="30"/>
      <c r="J36" s="23">
        <f>SUM(MonthlyScoresTABLE[[#This Row],[Fish 1 lbs.]:[Fish 5 lbs.]])</f>
        <v>5.1823437499999994</v>
      </c>
      <c r="K36" s="19">
        <f>IF(COUNTA(MonthlyScoresTABLE[[#This Row],[Angler 1]:[Angler 2]])=1,0.15,0)</f>
        <v>0</v>
      </c>
      <c r="L36" s="23">
        <f>MonthlyScoresTABLE[[#This Row],[Weight]]+(MonthlyScoresTABLE[[#This Row],[Weight]]*MonthlyScoresTABLE[[#This Row],[Alone]])</f>
        <v>5.1823437499999994</v>
      </c>
      <c r="M36" s="21">
        <f>IF(MonthlyScoresTABLE[[#This Row],[Minutes Late]]=0,0,IF(MonthlyScoresTABLE[[#This Row],[Minutes Late]]&lt;=5,0.5,IF(MonthlyScoresTABLE[[#This Row],[Minutes Late]]&gt;5,1)))</f>
        <v>0</v>
      </c>
      <c r="N36" s="23">
        <f>MonthlyScoresTABLE[[#This Row],[Weight Subtotal]]-(MonthlyScoresTABLE[[#This Row],[Weight Subtotal]]*MonthlyScoresTABLE[[#This Row],[Late]])</f>
        <v>5.1823437499999994</v>
      </c>
      <c r="O36" s="22">
        <f>IF(MonthlyScoresTABLE[[#This Row],[Weight Total]]&gt;0,COUNTIFS(MonthlyScoresTABLE[Month],MonthlyScoresTABLE[[#This Row],[Month]],MonthlyScoresTABLE[Weight Total],"&gt;"&amp;MonthlyScoresTABLE[[#This Row],[Weight Total]])+1,"")</f>
        <v>3</v>
      </c>
      <c r="P36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77.766073664703512</v>
      </c>
      <c r="Q36" s="20">
        <f>COUNT(MonthlyScoresTABLE[[#This Row],[Fish 1]:[Fish 5]])</f>
        <v>2</v>
      </c>
      <c r="R36" s="23">
        <f>MAX(MonthlyScoresTABLE[[#This Row],[Fish 1]:[Fish 5]])</f>
        <v>19.25</v>
      </c>
      <c r="S36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36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Steve Hauge|Clayton Brandt</v>
      </c>
      <c r="U36" s="3">
        <f>IFERROR(VLOOKUP(MROUND(D36,0.25),Table4[],2,FALSE),0)</f>
        <v>2.5403703703703702</v>
      </c>
      <c r="V36" s="3">
        <f>IFERROR(VLOOKUP(MROUND(E36,0.25),Table4[],2,FALSE),0)</f>
        <v>2.6419733796296296</v>
      </c>
      <c r="W36" s="3">
        <f>IFERROR(VLOOKUP(MROUND(F36,0.25),Table4[],2,FALSE),0)</f>
        <v>0</v>
      </c>
      <c r="X36" s="3">
        <f>IFERROR(VLOOKUP(MROUND(G36,0.25),Table4[],2,FALSE),0)</f>
        <v>0</v>
      </c>
      <c r="Y36" s="3">
        <f>IFERROR(VLOOKUP(MROUND(H36,0.25),Table4[],2,FALSE),0)</f>
        <v>0</v>
      </c>
    </row>
    <row r="37" spans="1:25" hidden="1" x14ac:dyDescent="0.3">
      <c r="A37" s="28" t="s">
        <v>54</v>
      </c>
      <c r="B37" s="28" t="s">
        <v>74</v>
      </c>
      <c r="C37" s="28" t="s">
        <v>79</v>
      </c>
      <c r="D37" s="29">
        <v>21</v>
      </c>
      <c r="E37" s="29"/>
      <c r="F37" s="29"/>
      <c r="G37" s="29"/>
      <c r="H37" s="29"/>
      <c r="I37" s="30"/>
      <c r="J37" s="23">
        <f>SUM(MonthlyScoresTABLE[[#This Row],[Fish 1 lbs.]:[Fish 5 lbs.]])</f>
        <v>3.43</v>
      </c>
      <c r="K37" s="19">
        <f>IF(COUNTA(MonthlyScoresTABLE[[#This Row],[Angler 1]:[Angler 2]])=1,0.15,0)</f>
        <v>0</v>
      </c>
      <c r="L37" s="23">
        <f>MonthlyScoresTABLE[[#This Row],[Weight]]+(MonthlyScoresTABLE[[#This Row],[Weight]]*MonthlyScoresTABLE[[#This Row],[Alone]])</f>
        <v>3.43</v>
      </c>
      <c r="M37" s="21">
        <f>IF(MonthlyScoresTABLE[[#This Row],[Minutes Late]]=0,0,IF(MonthlyScoresTABLE[[#This Row],[Minutes Late]]&lt;=5,0.5,IF(MonthlyScoresTABLE[[#This Row],[Minutes Late]]&gt;5,1)))</f>
        <v>0</v>
      </c>
      <c r="N37" s="23">
        <f>MonthlyScoresTABLE[[#This Row],[Weight Subtotal]]-(MonthlyScoresTABLE[[#This Row],[Weight Subtotal]]*MonthlyScoresTABLE[[#This Row],[Late]])</f>
        <v>3.43</v>
      </c>
      <c r="O37" s="22">
        <f>IF(MonthlyScoresTABLE[[#This Row],[Weight Total]]&gt;0,COUNTIFS(MonthlyScoresTABLE[Month],MonthlyScoresTABLE[[#This Row],[Month]],MonthlyScoresTABLE[Weight Total],"&gt;"&amp;MonthlyScoresTABLE[[#This Row],[Weight Total]])+1,"")</f>
        <v>4</v>
      </c>
      <c r="P37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51.470463083413378</v>
      </c>
      <c r="Q37" s="20">
        <f>COUNT(MonthlyScoresTABLE[[#This Row],[Fish 1]:[Fish 5]])</f>
        <v>1</v>
      </c>
      <c r="R37" s="23">
        <f>MAX(MonthlyScoresTABLE[[#This Row],[Fish 1]:[Fish 5]])</f>
        <v>21</v>
      </c>
      <c r="S37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37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Peter Mart |Dave Lester</v>
      </c>
      <c r="U37" s="3">
        <f>IFERROR(VLOOKUP(MROUND(D37,0.25),Table4[],2,FALSE),0)</f>
        <v>3.43</v>
      </c>
      <c r="V37" s="3">
        <f>IFERROR(VLOOKUP(MROUND(E37,0.25),Table4[],2,FALSE),0)</f>
        <v>0</v>
      </c>
      <c r="W37" s="3">
        <f>IFERROR(VLOOKUP(MROUND(F37,0.25),Table4[],2,FALSE),0)</f>
        <v>0</v>
      </c>
      <c r="X37" s="3">
        <f>IFERROR(VLOOKUP(MROUND(G37,0.25),Table4[],2,FALSE),0)</f>
        <v>0</v>
      </c>
      <c r="Y37" s="3">
        <f>IFERROR(VLOOKUP(MROUND(H37,0.25),Table4[],2,FALSE),0)</f>
        <v>0</v>
      </c>
    </row>
    <row r="38" spans="1:25" hidden="1" x14ac:dyDescent="0.3">
      <c r="A38" s="28" t="s">
        <v>54</v>
      </c>
      <c r="B38" s="28" t="s">
        <v>38</v>
      </c>
      <c r="C38" s="28" t="s">
        <v>45</v>
      </c>
      <c r="D38" s="29">
        <v>0</v>
      </c>
      <c r="E38" s="29"/>
      <c r="F38" s="29"/>
      <c r="G38" s="29"/>
      <c r="H38" s="29"/>
      <c r="I38" s="30"/>
      <c r="J38" s="23">
        <f>SUM(MonthlyScoresTABLE[[#This Row],[Fish 1 lbs.]:[Fish 5 lbs.]])</f>
        <v>0</v>
      </c>
      <c r="K38" s="19">
        <f>IF(COUNTA(MonthlyScoresTABLE[[#This Row],[Angler 1]:[Angler 2]])=1,0.15,0)</f>
        <v>0</v>
      </c>
      <c r="L38" s="23">
        <f>MonthlyScoresTABLE[[#This Row],[Weight]]+(MonthlyScoresTABLE[[#This Row],[Weight]]*MonthlyScoresTABLE[[#This Row],[Alone]])</f>
        <v>0</v>
      </c>
      <c r="M38" s="21">
        <f>IF(MonthlyScoresTABLE[[#This Row],[Minutes Late]]=0,0,IF(MonthlyScoresTABLE[[#This Row],[Minutes Late]]&lt;=5,0.5,IF(MonthlyScoresTABLE[[#This Row],[Minutes Late]]&gt;5,1)))</f>
        <v>0</v>
      </c>
      <c r="N38" s="23">
        <f>MonthlyScoresTABLE[[#This Row],[Weight Subtotal]]-(MonthlyScoresTABLE[[#This Row],[Weight Subtotal]]*MonthlyScoresTABLE[[#This Row],[Late]])</f>
        <v>0</v>
      </c>
      <c r="O38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38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</v>
      </c>
      <c r="Q38" s="20">
        <f>COUNT(MonthlyScoresTABLE[[#This Row],[Fish 1]:[Fish 5]])</f>
        <v>1</v>
      </c>
      <c r="R38" s="23">
        <f>MAX(MonthlyScoresTABLE[[#This Row],[Fish 1]:[Fish 5]])</f>
        <v>0</v>
      </c>
      <c r="S38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38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Tom Crowe|John McDougall</v>
      </c>
      <c r="U38" s="3">
        <f>IFERROR(VLOOKUP(MROUND(D38,0.25),Table4[],2,FALSE),0)</f>
        <v>0</v>
      </c>
      <c r="V38" s="3">
        <f>IFERROR(VLOOKUP(MROUND(E38,0.25),Table4[],2,FALSE),0)</f>
        <v>0</v>
      </c>
      <c r="W38" s="3">
        <f>IFERROR(VLOOKUP(MROUND(F38,0.25),Table4[],2,FALSE),0)</f>
        <v>0</v>
      </c>
      <c r="X38" s="3">
        <f>IFERROR(VLOOKUP(MROUND(G38,0.25),Table4[],2,FALSE),0)</f>
        <v>0</v>
      </c>
      <c r="Y38" s="3">
        <f>IFERROR(VLOOKUP(MROUND(H38,0.25),Table4[],2,FALSE),0)</f>
        <v>0</v>
      </c>
    </row>
    <row r="39" spans="1:25" hidden="1" x14ac:dyDescent="0.3">
      <c r="A39" s="28" t="s">
        <v>54</v>
      </c>
      <c r="B39" s="28" t="s">
        <v>78</v>
      </c>
      <c r="C39" s="28" t="s">
        <v>50</v>
      </c>
      <c r="D39" s="29">
        <v>0</v>
      </c>
      <c r="E39" s="29"/>
      <c r="F39" s="29"/>
      <c r="G39" s="29"/>
      <c r="H39" s="29"/>
      <c r="I39" s="30"/>
      <c r="J39" s="23">
        <f>SUM(MonthlyScoresTABLE[[#This Row],[Fish 1 lbs.]:[Fish 5 lbs.]])</f>
        <v>0</v>
      </c>
      <c r="K39" s="19">
        <f>IF(COUNTA(MonthlyScoresTABLE[[#This Row],[Angler 1]:[Angler 2]])=1,0.15,0)</f>
        <v>0</v>
      </c>
      <c r="L39" s="23">
        <f>MonthlyScoresTABLE[[#This Row],[Weight]]+(MonthlyScoresTABLE[[#This Row],[Weight]]*MonthlyScoresTABLE[[#This Row],[Alone]])</f>
        <v>0</v>
      </c>
      <c r="M39" s="21">
        <f>IF(MonthlyScoresTABLE[[#This Row],[Minutes Late]]=0,0,IF(MonthlyScoresTABLE[[#This Row],[Minutes Late]]&lt;=5,0.5,IF(MonthlyScoresTABLE[[#This Row],[Minutes Late]]&gt;5,1)))</f>
        <v>0</v>
      </c>
      <c r="N39" s="23">
        <f>MonthlyScoresTABLE[[#This Row],[Weight Subtotal]]-(MonthlyScoresTABLE[[#This Row],[Weight Subtotal]]*MonthlyScoresTABLE[[#This Row],[Late]])</f>
        <v>0</v>
      </c>
      <c r="O39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39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</v>
      </c>
      <c r="Q39" s="20">
        <f>COUNT(MonthlyScoresTABLE[[#This Row],[Fish 1]:[Fish 5]])</f>
        <v>1</v>
      </c>
      <c r="R39" s="23">
        <f>MAX(MonthlyScoresTABLE[[#This Row],[Fish 1]:[Fish 5]])</f>
        <v>0</v>
      </c>
      <c r="S39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39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Josh Kepp|David Iguo</v>
      </c>
      <c r="U39" s="3">
        <f>IFERROR(VLOOKUP(MROUND(D39,0.25),Table4[],2,FALSE),0)</f>
        <v>0</v>
      </c>
      <c r="V39" s="3">
        <f>IFERROR(VLOOKUP(MROUND(E39,0.25),Table4[],2,FALSE),0)</f>
        <v>0</v>
      </c>
      <c r="W39" s="3">
        <f>IFERROR(VLOOKUP(MROUND(F39,0.25),Table4[],2,FALSE),0)</f>
        <v>0</v>
      </c>
      <c r="X39" s="3">
        <f>IFERROR(VLOOKUP(MROUND(G39,0.25),Table4[],2,FALSE),0)</f>
        <v>0</v>
      </c>
      <c r="Y39" s="3">
        <f>IFERROR(VLOOKUP(MROUND(H39,0.25),Table4[],2,FALSE),0)</f>
        <v>0</v>
      </c>
    </row>
    <row r="40" spans="1:25" hidden="1" x14ac:dyDescent="0.3">
      <c r="A40" s="28" t="s">
        <v>54</v>
      </c>
      <c r="B40" s="28" t="s">
        <v>36</v>
      </c>
      <c r="C40" s="28" t="s">
        <v>84</v>
      </c>
      <c r="D40" s="29">
        <v>0</v>
      </c>
      <c r="E40" s="29"/>
      <c r="F40" s="29"/>
      <c r="G40" s="29"/>
      <c r="H40" s="29"/>
      <c r="I40" s="30"/>
      <c r="J40" s="23">
        <f>SUM(MonthlyScoresTABLE[[#This Row],[Fish 1 lbs.]:[Fish 5 lbs.]])</f>
        <v>0</v>
      </c>
      <c r="K40" s="19">
        <f>IF(COUNTA(MonthlyScoresTABLE[[#This Row],[Angler 1]:[Angler 2]])=1,0.15,0)</f>
        <v>0</v>
      </c>
      <c r="L40" s="23">
        <f>MonthlyScoresTABLE[[#This Row],[Weight]]+(MonthlyScoresTABLE[[#This Row],[Weight]]*MonthlyScoresTABLE[[#This Row],[Alone]])</f>
        <v>0</v>
      </c>
      <c r="M40" s="21">
        <f>IF(MonthlyScoresTABLE[[#This Row],[Minutes Late]]=0,0,IF(MonthlyScoresTABLE[[#This Row],[Minutes Late]]&lt;=5,0.5,IF(MonthlyScoresTABLE[[#This Row],[Minutes Late]]&gt;5,1)))</f>
        <v>0</v>
      </c>
      <c r="N40" s="23">
        <f>MonthlyScoresTABLE[[#This Row],[Weight Subtotal]]-(MonthlyScoresTABLE[[#This Row],[Weight Subtotal]]*MonthlyScoresTABLE[[#This Row],[Late]])</f>
        <v>0</v>
      </c>
      <c r="O40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40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</v>
      </c>
      <c r="Q40" s="20">
        <f>COUNT(MonthlyScoresTABLE[[#This Row],[Fish 1]:[Fish 5]])</f>
        <v>1</v>
      </c>
      <c r="R40" s="23">
        <f>MAX(MonthlyScoresTABLE[[#This Row],[Fish 1]:[Fish 5]])</f>
        <v>0</v>
      </c>
      <c r="S40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40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Steve Kuettner|Gabe Kuettner</v>
      </c>
      <c r="U40" s="3">
        <f>IFERROR(VLOOKUP(MROUND(D40,0.25),Table4[],2,FALSE),0)</f>
        <v>0</v>
      </c>
      <c r="V40" s="3">
        <f>IFERROR(VLOOKUP(MROUND(E40,0.25),Table4[],2,FALSE),0)</f>
        <v>0</v>
      </c>
      <c r="W40" s="3">
        <f>IFERROR(VLOOKUP(MROUND(F40,0.25),Table4[],2,FALSE),0)</f>
        <v>0</v>
      </c>
      <c r="X40" s="3">
        <f>IFERROR(VLOOKUP(MROUND(G40,0.25),Table4[],2,FALSE),0)</f>
        <v>0</v>
      </c>
      <c r="Y40" s="3">
        <f>IFERROR(VLOOKUP(MROUND(H40,0.25),Table4[],2,FALSE),0)</f>
        <v>0</v>
      </c>
    </row>
    <row r="41" spans="1:25" hidden="1" x14ac:dyDescent="0.3">
      <c r="A41" s="28" t="s">
        <v>55</v>
      </c>
      <c r="C41" s="28" t="s">
        <v>74</v>
      </c>
      <c r="D41" s="29">
        <v>18.5</v>
      </c>
      <c r="E41" s="29">
        <v>18.5</v>
      </c>
      <c r="F41" s="29">
        <v>22.5</v>
      </c>
      <c r="G41" s="29">
        <v>21</v>
      </c>
      <c r="H41" s="29">
        <v>28.25</v>
      </c>
      <c r="I41" s="30"/>
      <c r="J41" s="23">
        <f>SUM(MonthlyScoresTABLE[[#This Row],[Fish 1 lbs.]:[Fish 5 lbs.]])</f>
        <v>20.68894097222222</v>
      </c>
      <c r="K41" s="19">
        <f>IF(COUNTA(MonthlyScoresTABLE[[#This Row],[Angler 1]:[Angler 2]])=1,0.15,0)</f>
        <v>0.15</v>
      </c>
      <c r="L41" s="23">
        <f>MonthlyScoresTABLE[[#This Row],[Weight]]+(MonthlyScoresTABLE[[#This Row],[Weight]]*MonthlyScoresTABLE[[#This Row],[Alone]])</f>
        <v>23.792282118055553</v>
      </c>
      <c r="M41" s="21">
        <f>IF(MonthlyScoresTABLE[[#This Row],[Minutes Late]]=0,0,IF(MonthlyScoresTABLE[[#This Row],[Minutes Late]]&lt;=5,0.5,IF(MonthlyScoresTABLE[[#This Row],[Minutes Late]]&gt;5,1)))</f>
        <v>0</v>
      </c>
      <c r="N41" s="23">
        <f>MonthlyScoresTABLE[[#This Row],[Weight Subtotal]]-(MonthlyScoresTABLE[[#This Row],[Weight Subtotal]]*MonthlyScoresTABLE[[#This Row],[Late]])</f>
        <v>23.792282118055553</v>
      </c>
      <c r="O41" s="22">
        <f>IF(MonthlyScoresTABLE[[#This Row],[Weight Total]]&gt;0,COUNTIFS(MonthlyScoresTABLE[Month],MonthlyScoresTABLE[[#This Row],[Month]],MonthlyScoresTABLE[Weight Total],"&gt;"&amp;MonthlyScoresTABLE[[#This Row],[Weight Total]])+1,"")</f>
        <v>1</v>
      </c>
      <c r="P41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100</v>
      </c>
      <c r="Q41" s="20">
        <f>COUNT(MonthlyScoresTABLE[[#This Row],[Fish 1]:[Fish 5]])</f>
        <v>5</v>
      </c>
      <c r="R41" s="23">
        <f>MAX(MonthlyScoresTABLE[[#This Row],[Fish 1]:[Fish 5]])</f>
        <v>28.25</v>
      </c>
      <c r="S41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41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41</v>
      </c>
      <c r="U41" s="3">
        <f>IFERROR(VLOOKUP(MROUND(D41,0.25),Table4[],2,FALSE),0)</f>
        <v>2.3450462962962964</v>
      </c>
      <c r="V41" s="3">
        <f>IFERROR(VLOOKUP(MROUND(E41,0.25),Table4[],2,FALSE),0)</f>
        <v>2.3450462962962964</v>
      </c>
      <c r="W41" s="3">
        <f>IFERROR(VLOOKUP(MROUND(F41,0.25),Table4[],2,FALSE),0)</f>
        <v>4.21875</v>
      </c>
      <c r="X41" s="3">
        <f>IFERROR(VLOOKUP(MROUND(G41,0.25),Table4[],2,FALSE),0)</f>
        <v>3.43</v>
      </c>
      <c r="Y41" s="3">
        <f>IFERROR(VLOOKUP(MROUND(H41,0.25),Table4[],2,FALSE),0)</f>
        <v>8.35009837962963</v>
      </c>
    </row>
    <row r="42" spans="1:25" hidden="1" x14ac:dyDescent="0.3">
      <c r="A42" s="28" t="s">
        <v>55</v>
      </c>
      <c r="B42" s="28" t="s">
        <v>36</v>
      </c>
      <c r="C42" s="28" t="s">
        <v>27</v>
      </c>
      <c r="D42" s="29">
        <v>25.5</v>
      </c>
      <c r="E42" s="29">
        <v>29</v>
      </c>
      <c r="F42" s="29">
        <v>19</v>
      </c>
      <c r="G42" s="29">
        <v>19</v>
      </c>
      <c r="H42" s="29">
        <v>21</v>
      </c>
      <c r="I42" s="30"/>
      <c r="J42" s="23">
        <f>SUM(MonthlyScoresTABLE[[#This Row],[Fish 1 lbs.]:[Fish 5 lbs.]])</f>
        <v>23.684953703703698</v>
      </c>
      <c r="K42" s="19">
        <f>IF(COUNTA(MonthlyScoresTABLE[[#This Row],[Angler 1]:[Angler 2]])=1,0.15,0)</f>
        <v>0</v>
      </c>
      <c r="L42" s="23">
        <f>MonthlyScoresTABLE[[#This Row],[Weight]]+(MonthlyScoresTABLE[[#This Row],[Weight]]*MonthlyScoresTABLE[[#This Row],[Alone]])</f>
        <v>23.684953703703698</v>
      </c>
      <c r="M42" s="21">
        <f>IF(MonthlyScoresTABLE[[#This Row],[Minutes Late]]=0,0,IF(MonthlyScoresTABLE[[#This Row],[Minutes Late]]&lt;=5,0.5,IF(MonthlyScoresTABLE[[#This Row],[Minutes Late]]&gt;5,1)))</f>
        <v>0</v>
      </c>
      <c r="N42" s="23">
        <f>MonthlyScoresTABLE[[#This Row],[Weight Subtotal]]-(MonthlyScoresTABLE[[#This Row],[Weight Subtotal]]*MonthlyScoresTABLE[[#This Row],[Late]])</f>
        <v>23.684953703703698</v>
      </c>
      <c r="O42" s="22">
        <f>IF(MonthlyScoresTABLE[[#This Row],[Weight Total]]&gt;0,COUNTIFS(MonthlyScoresTABLE[Month],MonthlyScoresTABLE[[#This Row],[Month]],MonthlyScoresTABLE[Weight Total],"&gt;"&amp;MonthlyScoresTABLE[[#This Row],[Weight Total]])+1,"")</f>
        <v>2</v>
      </c>
      <c r="P42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99.548893990835779</v>
      </c>
      <c r="Q42" s="20">
        <f>COUNT(MonthlyScoresTABLE[[#This Row],[Fish 1]:[Fish 5]])</f>
        <v>5</v>
      </c>
      <c r="R42" s="23">
        <f>MAX(MonthlyScoresTABLE[[#This Row],[Fish 1]:[Fish 5]])</f>
        <v>29</v>
      </c>
      <c r="S42" s="22" t="b">
        <f>IF(AND(MonthlyScoresTABLE[[#This Row],[Largest Fish]]&gt;0,_xlfn.MAXIFS(MonthlyScoresTABLE[Largest Fish],MonthlyScoresTABLE[Month],MonthlyScoresTABLE[[#This Row],[Month]])=MonthlyScoresTABLE[[#This Row],[Largest Fish]]),TRUE,"")</f>
        <v>1</v>
      </c>
      <c r="T42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Gabe Kuettner|Clayton Brandt</v>
      </c>
      <c r="U42" s="3">
        <f>IFERROR(VLOOKUP(MROUND(D42,0.25),Table4[],2,FALSE),0)</f>
        <v>6.1412500000000003</v>
      </c>
      <c r="V42" s="3">
        <f>IFERROR(VLOOKUP(MROUND(E42,0.25),Table4[],2,FALSE),0)</f>
        <v>9.0329629629629622</v>
      </c>
      <c r="W42" s="3">
        <f>IFERROR(VLOOKUP(MROUND(F42,0.25),Table4[],2,FALSE),0)</f>
        <v>2.5403703703703702</v>
      </c>
      <c r="X42" s="3">
        <f>IFERROR(VLOOKUP(MROUND(G42,0.25),Table4[],2,FALSE),0)</f>
        <v>2.5403703703703702</v>
      </c>
      <c r="Y42" s="3">
        <f>IFERROR(VLOOKUP(MROUND(H42,0.25),Table4[],2,FALSE),0)</f>
        <v>3.43</v>
      </c>
    </row>
    <row r="43" spans="1:25" hidden="1" x14ac:dyDescent="0.3">
      <c r="A43" s="28" t="s">
        <v>55</v>
      </c>
      <c r="B43" s="28" t="s">
        <v>31</v>
      </c>
      <c r="C43" s="28" t="s">
        <v>38</v>
      </c>
      <c r="D43" s="29">
        <v>16.5</v>
      </c>
      <c r="E43" s="29">
        <v>20.5</v>
      </c>
      <c r="F43" s="29">
        <v>23</v>
      </c>
      <c r="G43" s="29">
        <v>27</v>
      </c>
      <c r="H43" s="29"/>
      <c r="I43" s="30"/>
      <c r="J43" s="23">
        <f>SUM(MonthlyScoresTABLE[[#This Row],[Fish 1 lbs.]:[Fish 5 lbs.]])</f>
        <v>16.650833333333335</v>
      </c>
      <c r="K43" s="19">
        <f>IF(COUNTA(MonthlyScoresTABLE[[#This Row],[Angler 1]:[Angler 2]])=1,0.15,0)</f>
        <v>0</v>
      </c>
      <c r="L43" s="23">
        <f>MonthlyScoresTABLE[[#This Row],[Weight]]+(MonthlyScoresTABLE[[#This Row],[Weight]]*MonthlyScoresTABLE[[#This Row],[Alone]])</f>
        <v>16.650833333333335</v>
      </c>
      <c r="M43" s="21">
        <f>IF(MonthlyScoresTABLE[[#This Row],[Minutes Late]]=0,0,IF(MonthlyScoresTABLE[[#This Row],[Minutes Late]]&lt;=5,0.5,IF(MonthlyScoresTABLE[[#This Row],[Minutes Late]]&gt;5,1)))</f>
        <v>0</v>
      </c>
      <c r="N43" s="23">
        <f>MonthlyScoresTABLE[[#This Row],[Weight Subtotal]]-(MonthlyScoresTABLE[[#This Row],[Weight Subtotal]]*MonthlyScoresTABLE[[#This Row],[Late]])</f>
        <v>16.650833333333335</v>
      </c>
      <c r="O43" s="22">
        <f>IF(MonthlyScoresTABLE[[#This Row],[Weight Total]]&gt;0,COUNTIFS(MonthlyScoresTABLE[Month],MonthlyScoresTABLE[[#This Row],[Month]],MonthlyScoresTABLE[Weight Total],"&gt;"&amp;MonthlyScoresTABLE[[#This Row],[Weight Total]])+1,"")</f>
        <v>3</v>
      </c>
      <c r="P43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69.984179116207201</v>
      </c>
      <c r="Q43" s="20">
        <f>COUNT(MonthlyScoresTABLE[[#This Row],[Fish 1]:[Fish 5]])</f>
        <v>4</v>
      </c>
      <c r="R43" s="23">
        <f>MAX(MonthlyScoresTABLE[[#This Row],[Fish 1]:[Fish 5]])</f>
        <v>27</v>
      </c>
      <c r="S43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43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Ted Mart|John McDougall</v>
      </c>
      <c r="U43" s="3">
        <f>IFERROR(VLOOKUP(MROUND(D43,0.25),Table4[],2,FALSE),0)</f>
        <v>1.6637500000000001</v>
      </c>
      <c r="V43" s="3">
        <f>IFERROR(VLOOKUP(MROUND(E43,0.25),Table4[],2,FALSE),0)</f>
        <v>3.1907870370370373</v>
      </c>
      <c r="W43" s="3">
        <f>IFERROR(VLOOKUP(MROUND(F43,0.25),Table4[],2,FALSE),0)</f>
        <v>4.5062962962962967</v>
      </c>
      <c r="X43" s="3">
        <f>IFERROR(VLOOKUP(MROUND(G43,0.25),Table4[],2,FALSE),0)</f>
        <v>7.29</v>
      </c>
      <c r="Y43" s="3">
        <f>IFERROR(VLOOKUP(MROUND(H43,0.25),Table4[],2,FALSE),0)</f>
        <v>0</v>
      </c>
    </row>
    <row r="44" spans="1:25" hidden="1" x14ac:dyDescent="0.3">
      <c r="A44" s="28" t="s">
        <v>55</v>
      </c>
      <c r="B44" s="28" t="s">
        <v>39</v>
      </c>
      <c r="C44" s="28" t="s">
        <v>34</v>
      </c>
      <c r="D44" s="29">
        <v>19.5</v>
      </c>
      <c r="E44" s="29">
        <v>22.75</v>
      </c>
      <c r="F44" s="29">
        <v>19.25</v>
      </c>
      <c r="G44" s="29">
        <v>19.25</v>
      </c>
      <c r="H44" s="29">
        <v>21.75</v>
      </c>
      <c r="I44" s="30"/>
      <c r="J44" s="23">
        <f>SUM(MonthlyScoresTABLE[[#This Row],[Fish 1 lbs.]:[Fish 5 lbs.]])</f>
        <v>16.201921296296295</v>
      </c>
      <c r="K44" s="19">
        <f>IF(COUNTA(MonthlyScoresTABLE[[#This Row],[Angler 1]:[Angler 2]])=1,0.15,0)</f>
        <v>0</v>
      </c>
      <c r="L44" s="23">
        <f>MonthlyScoresTABLE[[#This Row],[Weight]]+(MonthlyScoresTABLE[[#This Row],[Weight]]*MonthlyScoresTABLE[[#This Row],[Alone]])</f>
        <v>16.201921296296295</v>
      </c>
      <c r="M44" s="21">
        <f>IF(MonthlyScoresTABLE[[#This Row],[Minutes Late]]=0,0,IF(MonthlyScoresTABLE[[#This Row],[Minutes Late]]&lt;=5,0.5,IF(MonthlyScoresTABLE[[#This Row],[Minutes Late]]&gt;5,1)))</f>
        <v>0</v>
      </c>
      <c r="N44" s="23">
        <f>MonthlyScoresTABLE[[#This Row],[Weight Subtotal]]-(MonthlyScoresTABLE[[#This Row],[Weight Subtotal]]*MonthlyScoresTABLE[[#This Row],[Late]])</f>
        <v>16.201921296296295</v>
      </c>
      <c r="O44" s="22">
        <f>IF(MonthlyScoresTABLE[[#This Row],[Weight Total]]&gt;0,COUNTIFS(MonthlyScoresTABLE[Month],MonthlyScoresTABLE[[#This Row],[Month]],MonthlyScoresTABLE[Weight Total],"&gt;"&amp;MonthlyScoresTABLE[[#This Row],[Weight Total]])+1,"")</f>
        <v>4</v>
      </c>
      <c r="P44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68.097382234724492</v>
      </c>
      <c r="Q44" s="20">
        <f>COUNT(MonthlyScoresTABLE[[#This Row],[Fish 1]:[Fish 5]])</f>
        <v>5</v>
      </c>
      <c r="R44" s="23">
        <f>MAX(MonthlyScoresTABLE[[#This Row],[Fish 1]:[Fish 5]])</f>
        <v>22.75</v>
      </c>
      <c r="S44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44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Jon Jones|Chris Kujawa</v>
      </c>
      <c r="U44" s="3">
        <f>IFERROR(VLOOKUP(MROUND(D44,0.25),Table4[],2,FALSE),0)</f>
        <v>2.7462499999999999</v>
      </c>
      <c r="V44" s="3">
        <f>IFERROR(VLOOKUP(MROUND(E44,0.25),Table4[],2,FALSE),0)</f>
        <v>4.3609432870370366</v>
      </c>
      <c r="W44" s="3">
        <f>IFERROR(VLOOKUP(MROUND(F44,0.25),Table4[],2,FALSE),0)</f>
        <v>2.6419733796296296</v>
      </c>
      <c r="X44" s="3">
        <f>IFERROR(VLOOKUP(MROUND(G44,0.25),Table4[],2,FALSE),0)</f>
        <v>2.6419733796296296</v>
      </c>
      <c r="Y44" s="3">
        <f>IFERROR(VLOOKUP(MROUND(H44,0.25),Table4[],2,FALSE),0)</f>
        <v>3.8107812499999998</v>
      </c>
    </row>
    <row r="45" spans="1:25" hidden="1" x14ac:dyDescent="0.3">
      <c r="A45" s="28" t="s">
        <v>55</v>
      </c>
      <c r="B45" s="28" t="s">
        <v>24</v>
      </c>
      <c r="C45" s="28" t="s">
        <v>47</v>
      </c>
      <c r="D45" s="29">
        <v>22</v>
      </c>
      <c r="E45" s="29">
        <v>22.25</v>
      </c>
      <c r="F45" s="29">
        <v>23</v>
      </c>
      <c r="G45" s="29"/>
      <c r="H45" s="29"/>
      <c r="I45" s="30"/>
      <c r="J45" s="23">
        <f>SUM(MonthlyScoresTABLE[[#This Row],[Fish 1 lbs.]:[Fish 5 lbs.]])</f>
        <v>12.529681712962963</v>
      </c>
      <c r="K45" s="19">
        <f>IF(COUNTA(MonthlyScoresTABLE[[#This Row],[Angler 1]:[Angler 2]])=1,0.15,0)</f>
        <v>0</v>
      </c>
      <c r="L45" s="23">
        <f>MonthlyScoresTABLE[[#This Row],[Weight]]+(MonthlyScoresTABLE[[#This Row],[Weight]]*MonthlyScoresTABLE[[#This Row],[Alone]])</f>
        <v>12.529681712962963</v>
      </c>
      <c r="M45" s="21">
        <f>IF(MonthlyScoresTABLE[[#This Row],[Minutes Late]]=0,0,IF(MonthlyScoresTABLE[[#This Row],[Minutes Late]]&lt;=5,0.5,IF(MonthlyScoresTABLE[[#This Row],[Minutes Late]]&gt;5,1)))</f>
        <v>0</v>
      </c>
      <c r="N45" s="23">
        <f>MonthlyScoresTABLE[[#This Row],[Weight Subtotal]]-(MonthlyScoresTABLE[[#This Row],[Weight Subtotal]]*MonthlyScoresTABLE[[#This Row],[Late]])</f>
        <v>12.529681712962963</v>
      </c>
      <c r="O45" s="22">
        <f>IF(MonthlyScoresTABLE[[#This Row],[Weight Total]]&gt;0,COUNTIFS(MonthlyScoresTABLE[Month],MonthlyScoresTABLE[[#This Row],[Month]],MonthlyScoresTABLE[Weight Total],"&gt;"&amp;MonthlyScoresTABLE[[#This Row],[Weight Total]])+1,"")</f>
        <v>5</v>
      </c>
      <c r="P45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52.662799015208392</v>
      </c>
      <c r="Q45" s="20">
        <f>COUNT(MonthlyScoresTABLE[[#This Row],[Fish 1]:[Fish 5]])</f>
        <v>3</v>
      </c>
      <c r="R45" s="23">
        <f>MAX(MonthlyScoresTABLE[[#This Row],[Fish 1]:[Fish 5]])</f>
        <v>23</v>
      </c>
      <c r="S45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45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Paul Kramer|Dale Rueber</v>
      </c>
      <c r="U45" s="3">
        <f>IFERROR(VLOOKUP(MROUND(D45,0.25),Table4[],2,FALSE),0)</f>
        <v>3.9437037037037035</v>
      </c>
      <c r="V45" s="3">
        <f>IFERROR(VLOOKUP(MROUND(E45,0.25),Table4[],2,FALSE),0)</f>
        <v>4.0796817129629632</v>
      </c>
      <c r="W45" s="3">
        <f>IFERROR(VLOOKUP(MROUND(F45,0.25),Table4[],2,FALSE),0)</f>
        <v>4.5062962962962967</v>
      </c>
      <c r="X45" s="3">
        <f>IFERROR(VLOOKUP(MROUND(G45,0.25),Table4[],2,FALSE),0)</f>
        <v>0</v>
      </c>
      <c r="Y45" s="3">
        <f>IFERROR(VLOOKUP(MROUND(H45,0.25),Table4[],2,FALSE),0)</f>
        <v>0</v>
      </c>
    </row>
    <row r="46" spans="1:25" hidden="1" x14ac:dyDescent="0.3">
      <c r="A46" s="28" t="s">
        <v>55</v>
      </c>
      <c r="B46" s="28" t="s">
        <v>44</v>
      </c>
      <c r="C46" s="28" t="s">
        <v>77</v>
      </c>
      <c r="D46" s="29">
        <v>21</v>
      </c>
      <c r="E46" s="29">
        <v>17.25</v>
      </c>
      <c r="F46" s="29"/>
      <c r="G46" s="29"/>
      <c r="H46" s="29"/>
      <c r="I46" s="30"/>
      <c r="J46" s="23">
        <f>SUM(MonthlyScoresTABLE[[#This Row],[Fish 1 lbs.]:[Fish 5 lbs.]])</f>
        <v>5.33109375</v>
      </c>
      <c r="K46" s="19">
        <f>IF(COUNTA(MonthlyScoresTABLE[[#This Row],[Angler 1]:[Angler 2]])=1,0.15,0)</f>
        <v>0</v>
      </c>
      <c r="L46" s="23">
        <f>MonthlyScoresTABLE[[#This Row],[Weight]]+(MonthlyScoresTABLE[[#This Row],[Weight]]*MonthlyScoresTABLE[[#This Row],[Alone]])</f>
        <v>5.33109375</v>
      </c>
      <c r="M46" s="21">
        <f>IF(MonthlyScoresTABLE[[#This Row],[Minutes Late]]=0,0,IF(MonthlyScoresTABLE[[#This Row],[Minutes Late]]&lt;=5,0.5,IF(MonthlyScoresTABLE[[#This Row],[Minutes Late]]&gt;5,1)))</f>
        <v>0</v>
      </c>
      <c r="N46" s="23">
        <f>MonthlyScoresTABLE[[#This Row],[Weight Subtotal]]-(MonthlyScoresTABLE[[#This Row],[Weight Subtotal]]*MonthlyScoresTABLE[[#This Row],[Late]])</f>
        <v>5.33109375</v>
      </c>
      <c r="O46" s="22">
        <f>IF(MonthlyScoresTABLE[[#This Row],[Weight Total]]&gt;0,COUNTIFS(MonthlyScoresTABLE[Month],MonthlyScoresTABLE[[#This Row],[Month]],MonthlyScoresTABLE[Weight Total],"&gt;"&amp;MonthlyScoresTABLE[[#This Row],[Weight Total]])+1,"")</f>
        <v>6</v>
      </c>
      <c r="P46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22.406819671805778</v>
      </c>
      <c r="Q46" s="20">
        <f>COUNT(MonthlyScoresTABLE[[#This Row],[Fish 1]:[Fish 5]])</f>
        <v>2</v>
      </c>
      <c r="R46" s="23">
        <f>MAX(MonthlyScoresTABLE[[#This Row],[Fish 1]:[Fish 5]])</f>
        <v>21</v>
      </c>
      <c r="S46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46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Steve Hauge|Jacob Boynton</v>
      </c>
      <c r="U46" s="3">
        <f>IFERROR(VLOOKUP(MROUND(D46,0.25),Table4[],2,FALSE),0)</f>
        <v>3.43</v>
      </c>
      <c r="V46" s="3">
        <f>IFERROR(VLOOKUP(MROUND(E46,0.25),Table4[],2,FALSE),0)</f>
        <v>1.90109375</v>
      </c>
      <c r="W46" s="3">
        <f>IFERROR(VLOOKUP(MROUND(F46,0.25),Table4[],2,FALSE),0)</f>
        <v>0</v>
      </c>
      <c r="X46" s="3">
        <f>IFERROR(VLOOKUP(MROUND(G46,0.25),Table4[],2,FALSE),0)</f>
        <v>0</v>
      </c>
      <c r="Y46" s="3">
        <f>IFERROR(VLOOKUP(MROUND(H46,0.25),Table4[],2,FALSE),0)</f>
        <v>0</v>
      </c>
    </row>
    <row r="47" spans="1:25" x14ac:dyDescent="0.3">
      <c r="A47" s="28" t="s">
        <v>56</v>
      </c>
      <c r="B47" s="28" t="s">
        <v>44</v>
      </c>
      <c r="C47" s="28" t="s">
        <v>31</v>
      </c>
      <c r="D47" s="29">
        <v>21.75</v>
      </c>
      <c r="E47" s="29">
        <v>17.5</v>
      </c>
      <c r="F47" s="29">
        <v>18</v>
      </c>
      <c r="G47" s="29">
        <v>17.25</v>
      </c>
      <c r="H47" s="29">
        <v>17.75</v>
      </c>
      <c r="I47" s="30"/>
      <c r="J47" s="23">
        <f>SUM(MonthlyScoresTABLE[[#This Row],[Fish 1 lbs.]:[Fish 5 lbs.]])</f>
        <v>11.928072916666666</v>
      </c>
      <c r="K47" s="19">
        <f>IF(COUNTA(MonthlyScoresTABLE[[#This Row],[Angler 1]:[Angler 2]])=1,0.15,0)</f>
        <v>0</v>
      </c>
      <c r="L47" s="23">
        <f>MonthlyScoresTABLE[[#This Row],[Weight]]+(MonthlyScoresTABLE[[#This Row],[Weight]]*MonthlyScoresTABLE[[#This Row],[Alone]])</f>
        <v>11.928072916666666</v>
      </c>
      <c r="M47" s="21">
        <f>IF(MonthlyScoresTABLE[[#This Row],[Minutes Late]]=0,0,IF(MonthlyScoresTABLE[[#This Row],[Minutes Late]]&lt;=5,0.5,IF(MonthlyScoresTABLE[[#This Row],[Minutes Late]]&gt;5,1)))</f>
        <v>0</v>
      </c>
      <c r="N47" s="23">
        <f>MonthlyScoresTABLE[[#This Row],[Weight Subtotal]]-(MonthlyScoresTABLE[[#This Row],[Weight Subtotal]]*MonthlyScoresTABLE[[#This Row],[Late]])</f>
        <v>11.928072916666666</v>
      </c>
      <c r="O47" s="22">
        <f>IF(MonthlyScoresTABLE[[#This Row],[Weight Total]]&gt;0,COUNTIFS(MonthlyScoresTABLE[Month],MonthlyScoresTABLE[[#This Row],[Month]],MonthlyScoresTABLE[Weight Total],"&gt;"&amp;MonthlyScoresTABLE[[#This Row],[Weight Total]])+1,"")</f>
        <v>1</v>
      </c>
      <c r="P47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100</v>
      </c>
      <c r="Q47" s="20">
        <f>COUNT(MonthlyScoresTABLE[[#This Row],[Fish 1]:[Fish 5]])</f>
        <v>5</v>
      </c>
      <c r="R47" s="23">
        <f>MAX(MonthlyScoresTABLE[[#This Row],[Fish 1]:[Fish 5]])</f>
        <v>21.75</v>
      </c>
      <c r="S47" s="22" t="b">
        <f>IF(AND(MonthlyScoresTABLE[[#This Row],[Largest Fish]]&gt;0,_xlfn.MAXIFS(MonthlyScoresTABLE[Largest Fish],MonthlyScoresTABLE[Month],MonthlyScoresTABLE[[#This Row],[Month]])=MonthlyScoresTABLE[[#This Row],[Largest Fish]]),TRUE,"")</f>
        <v>1</v>
      </c>
      <c r="T47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Ted Mart|Steve Hauge</v>
      </c>
      <c r="U47" s="3">
        <f>IFERROR(VLOOKUP(MROUND(D47,0.25),Table4[],2,FALSE),0)</f>
        <v>3.8107812499999998</v>
      </c>
      <c r="V47" s="3">
        <f>IFERROR(VLOOKUP(MROUND(E47,0.25),Table4[],2,FALSE),0)</f>
        <v>1.9849537037037037</v>
      </c>
      <c r="W47" s="3">
        <f>IFERROR(VLOOKUP(MROUND(F47,0.25),Table4[],2,FALSE),0)</f>
        <v>2.16</v>
      </c>
      <c r="X47" s="3">
        <f>IFERROR(VLOOKUP(MROUND(G47,0.25),Table4[],2,FALSE),0)</f>
        <v>1.90109375</v>
      </c>
      <c r="Y47" s="3">
        <f>IFERROR(VLOOKUP(MROUND(H47,0.25),Table4[],2,FALSE),0)</f>
        <v>2.0712442129629629</v>
      </c>
    </row>
    <row r="48" spans="1:25" x14ac:dyDescent="0.3">
      <c r="A48" s="28" t="s">
        <v>56</v>
      </c>
      <c r="B48" s="28" t="s">
        <v>42</v>
      </c>
      <c r="C48" s="28" t="s">
        <v>27</v>
      </c>
      <c r="D48" s="29">
        <v>19</v>
      </c>
      <c r="E48" s="29">
        <v>19</v>
      </c>
      <c r="F48" s="29">
        <v>18.5</v>
      </c>
      <c r="G48" s="29">
        <v>18</v>
      </c>
      <c r="H48" s="29">
        <v>17.5</v>
      </c>
      <c r="I48" s="31"/>
      <c r="J48" s="23">
        <f>SUM(MonthlyScoresTABLE[[#This Row],[Fish 1 lbs.]:[Fish 5 lbs.]])</f>
        <v>11.570740740740741</v>
      </c>
      <c r="K48" s="19">
        <f>IF(COUNTA(MonthlyScoresTABLE[[#This Row],[Angler 1]:[Angler 2]])=1,0.15,0)</f>
        <v>0</v>
      </c>
      <c r="L48" s="23">
        <f>MonthlyScoresTABLE[[#This Row],[Weight]]+(MonthlyScoresTABLE[[#This Row],[Weight]]*MonthlyScoresTABLE[[#This Row],[Alone]])</f>
        <v>11.570740740740741</v>
      </c>
      <c r="M48" s="21">
        <f>IF(MonthlyScoresTABLE[[#This Row],[Minutes Late]]=0,0,IF(MonthlyScoresTABLE[[#This Row],[Minutes Late]]&lt;=5,0.5,IF(MonthlyScoresTABLE[[#This Row],[Minutes Late]]&gt;5,1)))</f>
        <v>0</v>
      </c>
      <c r="N48" s="23">
        <f>MonthlyScoresTABLE[[#This Row],[Weight Subtotal]]-(MonthlyScoresTABLE[[#This Row],[Weight Subtotal]]*MonthlyScoresTABLE[[#This Row],[Late]])</f>
        <v>11.570740740740741</v>
      </c>
      <c r="O48" s="22">
        <f>IF(MonthlyScoresTABLE[[#This Row],[Weight Total]]&gt;0,COUNTIFS(MonthlyScoresTABLE[Month],MonthlyScoresTABLE[[#This Row],[Month]],MonthlyScoresTABLE[Weight Total],"&gt;"&amp;MonthlyScoresTABLE[[#This Row],[Weight Total]])+1,"")</f>
        <v>2</v>
      </c>
      <c r="P48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97.004275724818569</v>
      </c>
      <c r="Q48" s="20">
        <f>COUNT(MonthlyScoresTABLE[[#This Row],[Fish 1]:[Fish 5]])</f>
        <v>5</v>
      </c>
      <c r="R48" s="23">
        <f>MAX(MonthlyScoresTABLE[[#This Row],[Fish 1]:[Fish 5]])</f>
        <v>19</v>
      </c>
      <c r="S48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48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Ron Persik|Clayton Brandt</v>
      </c>
      <c r="U48" s="3">
        <f>IFERROR(VLOOKUP(MROUND(D48,0.25),Table4[],2,FALSE),0)</f>
        <v>2.5403703703703702</v>
      </c>
      <c r="V48" s="3">
        <f>IFERROR(VLOOKUP(MROUND(E48,0.25),Table4[],2,FALSE),0)</f>
        <v>2.5403703703703702</v>
      </c>
      <c r="W48" s="3">
        <f>IFERROR(VLOOKUP(MROUND(F48,0.25),Table4[],2,FALSE),0)</f>
        <v>2.3450462962962964</v>
      </c>
      <c r="X48" s="3">
        <f>IFERROR(VLOOKUP(MROUND(G48,0.25),Table4[],2,FALSE),0)</f>
        <v>2.16</v>
      </c>
      <c r="Y48" s="3">
        <f>IFERROR(VLOOKUP(MROUND(H48,0.25),Table4[],2,FALSE),0)</f>
        <v>1.9849537037037037</v>
      </c>
    </row>
    <row r="49" spans="1:25" x14ac:dyDescent="0.3">
      <c r="A49" s="28" t="s">
        <v>56</v>
      </c>
      <c r="B49" s="28" t="s">
        <v>34</v>
      </c>
      <c r="C49" s="28" t="s">
        <v>77</v>
      </c>
      <c r="D49" s="29">
        <v>18.75</v>
      </c>
      <c r="E49" s="29">
        <v>18.75</v>
      </c>
      <c r="F49" s="29">
        <v>18.75</v>
      </c>
      <c r="G49" s="29">
        <v>18</v>
      </c>
      <c r="H49" s="29">
        <v>17</v>
      </c>
      <c r="I49" s="31"/>
      <c r="J49" s="23">
        <f>SUM(MonthlyScoresTABLE[[#This Row],[Fish 1 lbs.]:[Fish 5 lbs.]])</f>
        <v>11.303848379629629</v>
      </c>
      <c r="K49" s="19">
        <f>IF(COUNTA(MonthlyScoresTABLE[[#This Row],[Angler 1]:[Angler 2]])=1,0.15,0)</f>
        <v>0</v>
      </c>
      <c r="L49" s="23">
        <f>MonthlyScoresTABLE[[#This Row],[Weight]]+(MonthlyScoresTABLE[[#This Row],[Weight]]*MonthlyScoresTABLE[[#This Row],[Alone]])</f>
        <v>11.303848379629629</v>
      </c>
      <c r="M49" s="21">
        <f>IF(MonthlyScoresTABLE[[#This Row],[Minutes Late]]=0,0,IF(MonthlyScoresTABLE[[#This Row],[Minutes Late]]&lt;=5,0.5,IF(MonthlyScoresTABLE[[#This Row],[Minutes Late]]&gt;5,1)))</f>
        <v>0</v>
      </c>
      <c r="N49" s="23">
        <f>MonthlyScoresTABLE[[#This Row],[Weight Subtotal]]-(MonthlyScoresTABLE[[#This Row],[Weight Subtotal]]*MonthlyScoresTABLE[[#This Row],[Late]])</f>
        <v>11.303848379629629</v>
      </c>
      <c r="O49" s="22">
        <f>IF(MonthlyScoresTABLE[[#This Row],[Weight Total]]&gt;0,COUNTIFS(MonthlyScoresTABLE[Month],MonthlyScoresTABLE[[#This Row],[Month]],MonthlyScoresTABLE[Weight Total],"&gt;"&amp;MonthlyScoresTABLE[[#This Row],[Weight Total]])+1,"")</f>
        <v>3</v>
      </c>
      <c r="P49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94.766761224566025</v>
      </c>
      <c r="Q49" s="20">
        <f>COUNT(MonthlyScoresTABLE[[#This Row],[Fish 1]:[Fish 5]])</f>
        <v>5</v>
      </c>
      <c r="R49" s="23">
        <f>MAX(MonthlyScoresTABLE[[#This Row],[Fish 1]:[Fish 5]])</f>
        <v>18.75</v>
      </c>
      <c r="S49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49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Jacob Boynton|Chris Kujawa</v>
      </c>
      <c r="U49" s="3">
        <f>IFERROR(VLOOKUP(MROUND(D49,0.25),Table4[],2,FALSE),0)</f>
        <v>2.44140625</v>
      </c>
      <c r="V49" s="3">
        <f>IFERROR(VLOOKUP(MROUND(E49,0.25),Table4[],2,FALSE),0)</f>
        <v>2.44140625</v>
      </c>
      <c r="W49" s="3">
        <f>IFERROR(VLOOKUP(MROUND(F49,0.25),Table4[],2,FALSE),0)</f>
        <v>2.44140625</v>
      </c>
      <c r="X49" s="3">
        <f>IFERROR(VLOOKUP(MROUND(G49,0.25),Table4[],2,FALSE),0)</f>
        <v>2.16</v>
      </c>
      <c r="Y49" s="3">
        <f>IFERROR(VLOOKUP(MROUND(H49,0.25),Table4[],2,FALSE),0)</f>
        <v>1.8196296296296297</v>
      </c>
    </row>
    <row r="50" spans="1:25" x14ac:dyDescent="0.3">
      <c r="A50" s="28" t="s">
        <v>56</v>
      </c>
      <c r="B50" s="28" t="s">
        <v>74</v>
      </c>
      <c r="C50" s="28" t="s">
        <v>47</v>
      </c>
      <c r="D50" s="29">
        <v>19</v>
      </c>
      <c r="E50" s="29">
        <v>16.75</v>
      </c>
      <c r="F50" s="29">
        <v>18.25</v>
      </c>
      <c r="G50" s="29">
        <v>15.75</v>
      </c>
      <c r="H50" s="29">
        <v>16</v>
      </c>
      <c r="I50" s="30"/>
      <c r="J50" s="23">
        <f>SUM(MonthlyScoresTABLE[[#This Row],[Fish 1 lbs.]:[Fish 5 lbs.]])</f>
        <v>9.4962210648148151</v>
      </c>
      <c r="K50" s="19">
        <f>IF(COUNTA(MonthlyScoresTABLE[[#This Row],[Angler 1]:[Angler 2]])=1,0.15,0)</f>
        <v>0</v>
      </c>
      <c r="L50" s="23">
        <f>MonthlyScoresTABLE[[#This Row],[Weight]]+(MonthlyScoresTABLE[[#This Row],[Weight]]*MonthlyScoresTABLE[[#This Row],[Alone]])</f>
        <v>9.4962210648148151</v>
      </c>
      <c r="M50" s="21">
        <f>IF(MonthlyScoresTABLE[[#This Row],[Minutes Late]]=0,0,IF(MonthlyScoresTABLE[[#This Row],[Minutes Late]]&lt;=5,0.5,IF(MonthlyScoresTABLE[[#This Row],[Minutes Late]]&gt;5,1)))</f>
        <v>0</v>
      </c>
      <c r="N50" s="23">
        <f>MonthlyScoresTABLE[[#This Row],[Weight Subtotal]]-(MonthlyScoresTABLE[[#This Row],[Weight Subtotal]]*MonthlyScoresTABLE[[#This Row],[Late]])</f>
        <v>9.4962210648148151</v>
      </c>
      <c r="O50" s="22">
        <f>IF(MonthlyScoresTABLE[[#This Row],[Weight Total]]&gt;0,COUNTIFS(MonthlyScoresTABLE[Month],MonthlyScoresTABLE[[#This Row],[Month]],MonthlyScoresTABLE[Weight Total],"&gt;"&amp;MonthlyScoresTABLE[[#This Row],[Weight Total]])+1,"")</f>
        <v>4</v>
      </c>
      <c r="P50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79.612365980309249</v>
      </c>
      <c r="Q50" s="20">
        <f>COUNT(MonthlyScoresTABLE[[#This Row],[Fish 1]:[Fish 5]])</f>
        <v>5</v>
      </c>
      <c r="R50" s="23">
        <f>MAX(MonthlyScoresTABLE[[#This Row],[Fish 1]:[Fish 5]])</f>
        <v>19</v>
      </c>
      <c r="S50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0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Peter Mart |Paul Kramer</v>
      </c>
      <c r="U50" s="3">
        <f>IFERROR(VLOOKUP(MROUND(D50,0.25),Table4[],2,FALSE),0)</f>
        <v>2.5403703703703702</v>
      </c>
      <c r="V50" s="3">
        <f>IFERROR(VLOOKUP(MROUND(E50,0.25),Table4[],2,FALSE),0)</f>
        <v>1.7405266203703704</v>
      </c>
      <c r="W50" s="3">
        <f>IFERROR(VLOOKUP(MROUND(F50,0.25),Table4[],2,FALSE),0)</f>
        <v>2.2512557870370369</v>
      </c>
      <c r="X50" s="3">
        <f>IFERROR(VLOOKUP(MROUND(G50,0.25),Table4[],2,FALSE),0)</f>
        <v>1.44703125</v>
      </c>
      <c r="Y50" s="3">
        <f>IFERROR(VLOOKUP(MROUND(H50,0.25),Table4[],2,FALSE),0)</f>
        <v>1.517037037037037</v>
      </c>
    </row>
    <row r="51" spans="1:25" x14ac:dyDescent="0.3">
      <c r="A51" s="28" t="s">
        <v>56</v>
      </c>
      <c r="C51" s="28" t="s">
        <v>38</v>
      </c>
      <c r="D51" s="29">
        <v>17.25</v>
      </c>
      <c r="E51" s="29"/>
      <c r="F51" s="29"/>
      <c r="G51" s="29"/>
      <c r="H51" s="29"/>
      <c r="I51" s="30"/>
      <c r="J51" s="23">
        <f>SUM(MonthlyScoresTABLE[[#This Row],[Fish 1 lbs.]:[Fish 5 lbs.]])</f>
        <v>1.90109375</v>
      </c>
      <c r="K51" s="19">
        <f>IF(COUNTA(MonthlyScoresTABLE[[#This Row],[Angler 1]:[Angler 2]])=1,0.15,0)</f>
        <v>0.15</v>
      </c>
      <c r="L51" s="23">
        <f>MonthlyScoresTABLE[[#This Row],[Weight]]+(MonthlyScoresTABLE[[#This Row],[Weight]]*MonthlyScoresTABLE[[#This Row],[Alone]])</f>
        <v>2.1862578125000001</v>
      </c>
      <c r="M51" s="21">
        <f>IF(MonthlyScoresTABLE[[#This Row],[Minutes Late]]=0,0,IF(MonthlyScoresTABLE[[#This Row],[Minutes Late]]&lt;=5,0.5,IF(MonthlyScoresTABLE[[#This Row],[Minutes Late]]&gt;5,1)))</f>
        <v>0</v>
      </c>
      <c r="N51" s="23">
        <f>MonthlyScoresTABLE[[#This Row],[Weight Subtotal]]-(MonthlyScoresTABLE[[#This Row],[Weight Subtotal]]*MonthlyScoresTABLE[[#This Row],[Late]])</f>
        <v>2.1862578125000001</v>
      </c>
      <c r="O51" s="22">
        <f>IF(MonthlyScoresTABLE[[#This Row],[Weight Total]]&gt;0,COUNTIFS(MonthlyScoresTABLE[Month],MonthlyScoresTABLE[[#This Row],[Month]],MonthlyScoresTABLE[Weight Total],"&gt;"&amp;MonthlyScoresTABLE[[#This Row],[Weight Total]])+1,"")</f>
        <v>5</v>
      </c>
      <c r="P51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18.328675786725121</v>
      </c>
      <c r="Q51" s="20">
        <f>COUNT(MonthlyScoresTABLE[[#This Row],[Fish 1]:[Fish 5]])</f>
        <v>1</v>
      </c>
      <c r="R51" s="23">
        <f>MAX(MonthlyScoresTABLE[[#This Row],[Fish 1]:[Fish 5]])</f>
        <v>17.25</v>
      </c>
      <c r="S51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1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51</v>
      </c>
      <c r="U51" s="3">
        <f>IFERROR(VLOOKUP(MROUND(D51,0.25),Table4[],2,FALSE),0)</f>
        <v>1.90109375</v>
      </c>
      <c r="V51" s="3">
        <f>IFERROR(VLOOKUP(MROUND(E51,0.25),Table4[],2,FALSE),0)</f>
        <v>0</v>
      </c>
      <c r="W51" s="3">
        <f>IFERROR(VLOOKUP(MROUND(F51,0.25),Table4[],2,FALSE),0)</f>
        <v>0</v>
      </c>
      <c r="X51" s="3">
        <f>IFERROR(VLOOKUP(MROUND(G51,0.25),Table4[],2,FALSE),0)</f>
        <v>0</v>
      </c>
      <c r="Y51" s="3">
        <f>IFERROR(VLOOKUP(MROUND(H51,0.25),Table4[],2,FALSE),0)</f>
        <v>0</v>
      </c>
    </row>
    <row r="52" spans="1:25" x14ac:dyDescent="0.3">
      <c r="A52" s="28" t="s">
        <v>56</v>
      </c>
      <c r="B52" s="28" t="s">
        <v>45</v>
      </c>
      <c r="C52" s="28" t="s">
        <v>36</v>
      </c>
      <c r="D52" s="29">
        <v>0</v>
      </c>
      <c r="E52" s="29"/>
      <c r="F52" s="29"/>
      <c r="G52" s="29"/>
      <c r="H52" s="29"/>
      <c r="I52" s="30"/>
      <c r="J52" s="23">
        <f>SUM(MonthlyScoresTABLE[[#This Row],[Fish 1 lbs.]:[Fish 5 lbs.]])</f>
        <v>0</v>
      </c>
      <c r="K52" s="19">
        <f>IF(COUNTA(MonthlyScoresTABLE[[#This Row],[Angler 1]:[Angler 2]])=1,0.15,0)</f>
        <v>0</v>
      </c>
      <c r="L52" s="23">
        <f>MonthlyScoresTABLE[[#This Row],[Weight]]+(MonthlyScoresTABLE[[#This Row],[Weight]]*MonthlyScoresTABLE[[#This Row],[Alone]])</f>
        <v>0</v>
      </c>
      <c r="M52" s="21">
        <f>IF(MonthlyScoresTABLE[[#This Row],[Minutes Late]]=0,0,IF(MonthlyScoresTABLE[[#This Row],[Minutes Late]]&lt;=5,0.5,IF(MonthlyScoresTABLE[[#This Row],[Minutes Late]]&gt;5,1)))</f>
        <v>0</v>
      </c>
      <c r="N52" s="23">
        <f>MonthlyScoresTABLE[[#This Row],[Weight Subtotal]]-(MonthlyScoresTABLE[[#This Row],[Weight Subtotal]]*MonthlyScoresTABLE[[#This Row],[Late]])</f>
        <v>0</v>
      </c>
      <c r="O52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52" s="18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</v>
      </c>
      <c r="Q52" s="20">
        <f>COUNT(MonthlyScoresTABLE[[#This Row],[Fish 1]:[Fish 5]])</f>
        <v>1</v>
      </c>
      <c r="R52" s="23">
        <f>MAX(MonthlyScoresTABLE[[#This Row],[Fish 1]:[Fish 5]])</f>
        <v>0</v>
      </c>
      <c r="S52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2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Tom Crowe|Gabe Kuettner</v>
      </c>
      <c r="U52" s="3">
        <f>IFERROR(VLOOKUP(MROUND(D52,0.25),Table4[],2,FALSE),0)</f>
        <v>0</v>
      </c>
      <c r="V52" s="3">
        <f>IFERROR(VLOOKUP(MROUND(E52,0.25),Table4[],2,FALSE),0)</f>
        <v>0</v>
      </c>
      <c r="W52" s="3">
        <f>IFERROR(VLOOKUP(MROUND(F52,0.25),Table4[],2,FALSE),0)</f>
        <v>0</v>
      </c>
      <c r="X52" s="3">
        <f>IFERROR(VLOOKUP(MROUND(G52,0.25),Table4[],2,FALSE),0)</f>
        <v>0</v>
      </c>
      <c r="Y52" s="3">
        <f>IFERROR(VLOOKUP(MROUND(H52,0.25),Table4[],2,FALSE),0)</f>
        <v>0</v>
      </c>
    </row>
    <row r="53" spans="1:25" x14ac:dyDescent="0.3">
      <c r="A53" s="28" t="s">
        <v>56</v>
      </c>
      <c r="B53" s="28" t="s">
        <v>24</v>
      </c>
      <c r="D53" s="29">
        <v>0</v>
      </c>
      <c r="E53" s="29"/>
      <c r="F53" s="29"/>
      <c r="G53" s="29"/>
      <c r="H53" s="29"/>
      <c r="I53" s="31"/>
      <c r="J53" s="23">
        <f>SUM(MonthlyScoresTABLE[[#This Row],[Fish 1 lbs.]:[Fish 5 lbs.]])</f>
        <v>0</v>
      </c>
      <c r="K53" s="19">
        <f>IF(COUNTA(MonthlyScoresTABLE[[#This Row],[Angler 1]:[Angler 2]])=1,0.15,0)</f>
        <v>0.15</v>
      </c>
      <c r="L53" s="23">
        <f>MonthlyScoresTABLE[[#This Row],[Weight]]+(MonthlyScoresTABLE[[#This Row],[Weight]]*MonthlyScoresTABLE[[#This Row],[Alone]])</f>
        <v>0</v>
      </c>
      <c r="M53" s="21">
        <f>IF(MonthlyScoresTABLE[[#This Row],[Minutes Late]]=0,0,IF(MonthlyScoresTABLE[[#This Row],[Minutes Late]]&lt;=5,0.5,IF(MonthlyScoresTABLE[[#This Row],[Minutes Late]]&gt;5,1)))</f>
        <v>0</v>
      </c>
      <c r="N53" s="23">
        <f>MonthlyScoresTABLE[[#This Row],[Weight Subtotal]]-(MonthlyScoresTABLE[[#This Row],[Weight Subtotal]]*MonthlyScoresTABLE[[#This Row],[Late]])</f>
        <v>0</v>
      </c>
      <c r="O53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53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1</v>
      </c>
      <c r="Q53" s="20">
        <f>COUNT(MonthlyScoresTABLE[[#This Row],[Fish 1]:[Fish 5]])</f>
        <v>1</v>
      </c>
      <c r="R53" s="23">
        <f>MAX(MonthlyScoresTABLE[[#This Row],[Fish 1]:[Fish 5]])</f>
        <v>0</v>
      </c>
      <c r="S53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3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Dale Rueber Row 53</v>
      </c>
      <c r="U53" s="3">
        <f>IFERROR(VLOOKUP(MROUND(D53,0.25),Table4[],2,FALSE),0)</f>
        <v>0</v>
      </c>
      <c r="V53" s="3">
        <f>IFERROR(VLOOKUP(MROUND(E53,0.25),Table4[],2,FALSE),0)</f>
        <v>0</v>
      </c>
      <c r="W53" s="3">
        <f>IFERROR(VLOOKUP(MROUND(F53,0.25),Table4[],2,FALSE),0)</f>
        <v>0</v>
      </c>
      <c r="X53" s="3">
        <f>IFERROR(VLOOKUP(MROUND(G53,0.25),Table4[],2,FALSE),0)</f>
        <v>0</v>
      </c>
      <c r="Y53" s="3">
        <f>IFERROR(VLOOKUP(MROUND(H53,0.25),Table4[],2,FALSE),0)</f>
        <v>0</v>
      </c>
    </row>
    <row r="54" spans="1:25" x14ac:dyDescent="0.3">
      <c r="A54" s="28" t="s">
        <v>56</v>
      </c>
      <c r="D54" s="29"/>
      <c r="E54" s="29"/>
      <c r="F54" s="29"/>
      <c r="G54" s="29"/>
      <c r="H54" s="29"/>
      <c r="I54" s="31"/>
      <c r="J54" s="23">
        <f>SUM(MonthlyScoresTABLE[[#This Row],[Fish 1 lbs.]:[Fish 5 lbs.]])</f>
        <v>0</v>
      </c>
      <c r="K54" s="19">
        <f>IF(COUNTA(MonthlyScoresTABLE[[#This Row],[Angler 1]:[Angler 2]])=1,0.15,0)</f>
        <v>0</v>
      </c>
      <c r="L54" s="23">
        <f>MonthlyScoresTABLE[[#This Row],[Weight]]+(MonthlyScoresTABLE[[#This Row],[Weight]]*MonthlyScoresTABLE[[#This Row],[Alone]])</f>
        <v>0</v>
      </c>
      <c r="M54" s="21">
        <f>IF(MonthlyScoresTABLE[[#This Row],[Minutes Late]]=0,0,IF(MonthlyScoresTABLE[[#This Row],[Minutes Late]]&lt;=5,0.5,IF(MonthlyScoresTABLE[[#This Row],[Minutes Late]]&gt;5,1)))</f>
        <v>0</v>
      </c>
      <c r="N54" s="23">
        <f>MonthlyScoresTABLE[[#This Row],[Weight Subtotal]]-(MonthlyScoresTABLE[[#This Row],[Weight Subtotal]]*MonthlyScoresTABLE[[#This Row],[Late]])</f>
        <v>0</v>
      </c>
      <c r="O54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54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54" s="20">
        <f>COUNT(MonthlyScoresTABLE[[#This Row],[Fish 1]:[Fish 5]])</f>
        <v>0</v>
      </c>
      <c r="R54" s="23">
        <f>MAX(MonthlyScoresTABLE[[#This Row],[Fish 1]:[Fish 5]])</f>
        <v>0</v>
      </c>
      <c r="S54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4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54</v>
      </c>
      <c r="U54" s="3">
        <f>IFERROR(VLOOKUP(MROUND(D54,0.25),Table4[],2,FALSE),0)</f>
        <v>0</v>
      </c>
      <c r="V54" s="3">
        <f>IFERROR(VLOOKUP(MROUND(E54,0.25),Table4[],2,FALSE),0)</f>
        <v>0</v>
      </c>
      <c r="W54" s="3">
        <f>IFERROR(VLOOKUP(MROUND(F54,0.25),Table4[],2,FALSE),0)</f>
        <v>0</v>
      </c>
      <c r="X54" s="3">
        <f>IFERROR(VLOOKUP(MROUND(G54,0.25),Table4[],2,FALSE),0)</f>
        <v>0</v>
      </c>
      <c r="Y54" s="3">
        <f>IFERROR(VLOOKUP(MROUND(H54,0.25),Table4[],2,FALSE),0)</f>
        <v>0</v>
      </c>
    </row>
    <row r="55" spans="1:25" x14ac:dyDescent="0.3">
      <c r="A55" s="28" t="s">
        <v>56</v>
      </c>
      <c r="D55" s="29"/>
      <c r="E55" s="29"/>
      <c r="F55" s="29"/>
      <c r="G55" s="29"/>
      <c r="H55" s="29"/>
      <c r="I55" s="31"/>
      <c r="J55" s="23">
        <f>SUM(MonthlyScoresTABLE[[#This Row],[Fish 1 lbs.]:[Fish 5 lbs.]])</f>
        <v>0</v>
      </c>
      <c r="K55" s="19">
        <f>IF(COUNTA(MonthlyScoresTABLE[[#This Row],[Angler 1]:[Angler 2]])=1,0.15,0)</f>
        <v>0</v>
      </c>
      <c r="L55" s="23">
        <f>MonthlyScoresTABLE[[#This Row],[Weight]]+(MonthlyScoresTABLE[[#This Row],[Weight]]*MonthlyScoresTABLE[[#This Row],[Alone]])</f>
        <v>0</v>
      </c>
      <c r="M55" s="21">
        <f>IF(MonthlyScoresTABLE[[#This Row],[Minutes Late]]=0,0,IF(MonthlyScoresTABLE[[#This Row],[Minutes Late]]&lt;=5,0.5,IF(MonthlyScoresTABLE[[#This Row],[Minutes Late]]&gt;5,1)))</f>
        <v>0</v>
      </c>
      <c r="N55" s="23">
        <f>MonthlyScoresTABLE[[#This Row],[Weight Subtotal]]-(MonthlyScoresTABLE[[#This Row],[Weight Subtotal]]*MonthlyScoresTABLE[[#This Row],[Late]])</f>
        <v>0</v>
      </c>
      <c r="O55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55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55" s="20">
        <f>COUNT(MonthlyScoresTABLE[[#This Row],[Fish 1]:[Fish 5]])</f>
        <v>0</v>
      </c>
      <c r="R55" s="23">
        <f>MAX(MonthlyScoresTABLE[[#This Row],[Fish 1]:[Fish 5]])</f>
        <v>0</v>
      </c>
      <c r="S55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5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55</v>
      </c>
      <c r="U55" s="3">
        <f>IFERROR(VLOOKUP(MROUND(D55,0.25),Table4[],2,FALSE),0)</f>
        <v>0</v>
      </c>
      <c r="V55" s="3">
        <f>IFERROR(VLOOKUP(MROUND(E55,0.25),Table4[],2,FALSE),0)</f>
        <v>0</v>
      </c>
      <c r="W55" s="3">
        <f>IFERROR(VLOOKUP(MROUND(F55,0.25),Table4[],2,FALSE),0)</f>
        <v>0</v>
      </c>
      <c r="X55" s="3">
        <f>IFERROR(VLOOKUP(MROUND(G55,0.25),Table4[],2,FALSE),0)</f>
        <v>0</v>
      </c>
      <c r="Y55" s="3">
        <f>IFERROR(VLOOKUP(MROUND(H55,0.25),Table4[],2,FALSE),0)</f>
        <v>0</v>
      </c>
    </row>
    <row r="56" spans="1:25" hidden="1" x14ac:dyDescent="0.3">
      <c r="D56" s="29"/>
      <c r="E56" s="29"/>
      <c r="F56" s="29"/>
      <c r="G56" s="29"/>
      <c r="H56" s="29"/>
      <c r="I56" s="31"/>
      <c r="J56" s="23">
        <f>SUM(MonthlyScoresTABLE[[#This Row],[Fish 1 lbs.]:[Fish 5 lbs.]])</f>
        <v>0</v>
      </c>
      <c r="K56" s="19">
        <f>IF(COUNTA(MonthlyScoresTABLE[[#This Row],[Angler 1]:[Angler 2]])=1,0.15,0)</f>
        <v>0</v>
      </c>
      <c r="L56" s="23">
        <f>MonthlyScoresTABLE[[#This Row],[Weight]]+(MonthlyScoresTABLE[[#This Row],[Weight]]*MonthlyScoresTABLE[[#This Row],[Alone]])</f>
        <v>0</v>
      </c>
      <c r="M56" s="21">
        <f>IF(MonthlyScoresTABLE[[#This Row],[Minutes Late]]=0,0,IF(MonthlyScoresTABLE[[#This Row],[Minutes Late]]&lt;=5,0.5,IF(MonthlyScoresTABLE[[#This Row],[Minutes Late]]&gt;5,1)))</f>
        <v>0</v>
      </c>
      <c r="N56" s="23">
        <f>MonthlyScoresTABLE[[#This Row],[Weight Subtotal]]-(MonthlyScoresTABLE[[#This Row],[Weight Subtotal]]*MonthlyScoresTABLE[[#This Row],[Late]])</f>
        <v>0</v>
      </c>
      <c r="O56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56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56" s="20">
        <f>COUNT(MonthlyScoresTABLE[[#This Row],[Fish 1]:[Fish 5]])</f>
        <v>0</v>
      </c>
      <c r="R56" s="23">
        <f>MAX(MonthlyScoresTABLE[[#This Row],[Fish 1]:[Fish 5]])</f>
        <v>0</v>
      </c>
      <c r="S56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6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56</v>
      </c>
      <c r="U56" s="3">
        <f>IFERROR(VLOOKUP(MROUND(D56,0.25),Table4[],2,FALSE),0)</f>
        <v>0</v>
      </c>
      <c r="V56" s="3">
        <f>IFERROR(VLOOKUP(MROUND(E56,0.25),Table4[],2,FALSE),0)</f>
        <v>0</v>
      </c>
      <c r="W56" s="3">
        <f>IFERROR(VLOOKUP(MROUND(F56,0.25),Table4[],2,FALSE),0)</f>
        <v>0</v>
      </c>
      <c r="X56" s="3">
        <f>IFERROR(VLOOKUP(MROUND(G56,0.25),Table4[],2,FALSE),0)</f>
        <v>0</v>
      </c>
      <c r="Y56" s="3">
        <f>IFERROR(VLOOKUP(MROUND(H56,0.25),Table4[],2,FALSE),0)</f>
        <v>0</v>
      </c>
    </row>
    <row r="57" spans="1:25" hidden="1" x14ac:dyDescent="0.3">
      <c r="D57" s="29"/>
      <c r="E57" s="29"/>
      <c r="F57" s="29"/>
      <c r="G57" s="29"/>
      <c r="H57" s="29"/>
      <c r="I57" s="31"/>
      <c r="J57" s="23">
        <f>SUM(MonthlyScoresTABLE[[#This Row],[Fish 1 lbs.]:[Fish 5 lbs.]])</f>
        <v>0</v>
      </c>
      <c r="K57" s="19">
        <f>IF(COUNTA(MonthlyScoresTABLE[[#This Row],[Angler 1]:[Angler 2]])=1,0.15,0)</f>
        <v>0</v>
      </c>
      <c r="L57" s="23">
        <f>MonthlyScoresTABLE[[#This Row],[Weight]]+(MonthlyScoresTABLE[[#This Row],[Weight]]*MonthlyScoresTABLE[[#This Row],[Alone]])</f>
        <v>0</v>
      </c>
      <c r="M57" s="21">
        <f>IF(MonthlyScoresTABLE[[#This Row],[Minutes Late]]=0,0,IF(MonthlyScoresTABLE[[#This Row],[Minutes Late]]&lt;=5,0.5,IF(MonthlyScoresTABLE[[#This Row],[Minutes Late]]&gt;5,1)))</f>
        <v>0</v>
      </c>
      <c r="N57" s="23">
        <f>MonthlyScoresTABLE[[#This Row],[Weight Subtotal]]-(MonthlyScoresTABLE[[#This Row],[Weight Subtotal]]*MonthlyScoresTABLE[[#This Row],[Late]])</f>
        <v>0</v>
      </c>
      <c r="O57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57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57" s="20">
        <f>COUNT(MonthlyScoresTABLE[[#This Row],[Fish 1]:[Fish 5]])</f>
        <v>0</v>
      </c>
      <c r="R57" s="23">
        <f>MAX(MonthlyScoresTABLE[[#This Row],[Fish 1]:[Fish 5]])</f>
        <v>0</v>
      </c>
      <c r="S57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7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57</v>
      </c>
      <c r="U57" s="3">
        <f>IFERROR(VLOOKUP(MROUND(D57,0.25),Table4[],2,FALSE),0)</f>
        <v>0</v>
      </c>
      <c r="V57" s="3">
        <f>IFERROR(VLOOKUP(MROUND(E57,0.25),Table4[],2,FALSE),0)</f>
        <v>0</v>
      </c>
      <c r="W57" s="3">
        <f>IFERROR(VLOOKUP(MROUND(F57,0.25),Table4[],2,FALSE),0)</f>
        <v>0</v>
      </c>
      <c r="X57" s="3">
        <f>IFERROR(VLOOKUP(MROUND(G57,0.25),Table4[],2,FALSE),0)</f>
        <v>0</v>
      </c>
      <c r="Y57" s="3">
        <f>IFERROR(VLOOKUP(MROUND(H57,0.25),Table4[],2,FALSE),0)</f>
        <v>0</v>
      </c>
    </row>
    <row r="58" spans="1:25" hidden="1" x14ac:dyDescent="0.3">
      <c r="D58" s="29"/>
      <c r="E58" s="29"/>
      <c r="F58" s="29"/>
      <c r="G58" s="29"/>
      <c r="H58" s="29"/>
      <c r="I58" s="31"/>
      <c r="J58" s="23">
        <f>SUM(MonthlyScoresTABLE[[#This Row],[Fish 1 lbs.]:[Fish 5 lbs.]])</f>
        <v>0</v>
      </c>
      <c r="K58" s="19">
        <f>IF(COUNTA(MonthlyScoresTABLE[[#This Row],[Angler 1]:[Angler 2]])=1,0.15,0)</f>
        <v>0</v>
      </c>
      <c r="L58" s="23">
        <f>MonthlyScoresTABLE[[#This Row],[Weight]]+(MonthlyScoresTABLE[[#This Row],[Weight]]*MonthlyScoresTABLE[[#This Row],[Alone]])</f>
        <v>0</v>
      </c>
      <c r="M58" s="21">
        <f>IF(MonthlyScoresTABLE[[#This Row],[Minutes Late]]=0,0,IF(MonthlyScoresTABLE[[#This Row],[Minutes Late]]&lt;=5,0.5,IF(MonthlyScoresTABLE[[#This Row],[Minutes Late]]&gt;5,1)))</f>
        <v>0</v>
      </c>
      <c r="N58" s="23">
        <f>MonthlyScoresTABLE[[#This Row],[Weight Subtotal]]-(MonthlyScoresTABLE[[#This Row],[Weight Subtotal]]*MonthlyScoresTABLE[[#This Row],[Late]])</f>
        <v>0</v>
      </c>
      <c r="O58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58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58" s="20">
        <f>COUNT(MonthlyScoresTABLE[[#This Row],[Fish 1]:[Fish 5]])</f>
        <v>0</v>
      </c>
      <c r="R58" s="23">
        <f>MAX(MonthlyScoresTABLE[[#This Row],[Fish 1]:[Fish 5]])</f>
        <v>0</v>
      </c>
      <c r="S58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8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58</v>
      </c>
      <c r="U58" s="3">
        <f>IFERROR(VLOOKUP(MROUND(D58,0.25),Table4[],2,FALSE),0)</f>
        <v>0</v>
      </c>
      <c r="V58" s="3">
        <f>IFERROR(VLOOKUP(MROUND(E58,0.25),Table4[],2,FALSE),0)</f>
        <v>0</v>
      </c>
      <c r="W58" s="3">
        <f>IFERROR(VLOOKUP(MROUND(F58,0.25),Table4[],2,FALSE),0)</f>
        <v>0</v>
      </c>
      <c r="X58" s="3">
        <f>IFERROR(VLOOKUP(MROUND(G58,0.25),Table4[],2,FALSE),0)</f>
        <v>0</v>
      </c>
      <c r="Y58" s="3">
        <f>IFERROR(VLOOKUP(MROUND(H58,0.25),Table4[],2,FALSE),0)</f>
        <v>0</v>
      </c>
    </row>
    <row r="59" spans="1:25" hidden="1" x14ac:dyDescent="0.3">
      <c r="D59" s="29"/>
      <c r="E59" s="29"/>
      <c r="F59" s="29"/>
      <c r="G59" s="29"/>
      <c r="H59" s="29"/>
      <c r="I59" s="31"/>
      <c r="J59" s="23">
        <f>SUM(MonthlyScoresTABLE[[#This Row],[Fish 1 lbs.]:[Fish 5 lbs.]])</f>
        <v>0</v>
      </c>
      <c r="K59" s="19">
        <f>IF(COUNTA(MonthlyScoresTABLE[[#This Row],[Angler 1]:[Angler 2]])=1,0.15,0)</f>
        <v>0</v>
      </c>
      <c r="L59" s="23">
        <f>MonthlyScoresTABLE[[#This Row],[Weight]]+(MonthlyScoresTABLE[[#This Row],[Weight]]*MonthlyScoresTABLE[[#This Row],[Alone]])</f>
        <v>0</v>
      </c>
      <c r="M59" s="21">
        <f>IF(MonthlyScoresTABLE[[#This Row],[Minutes Late]]=0,0,IF(MonthlyScoresTABLE[[#This Row],[Minutes Late]]&lt;=5,0.5,IF(MonthlyScoresTABLE[[#This Row],[Minutes Late]]&gt;5,1)))</f>
        <v>0</v>
      </c>
      <c r="N59" s="23">
        <f>MonthlyScoresTABLE[[#This Row],[Weight Subtotal]]-(MonthlyScoresTABLE[[#This Row],[Weight Subtotal]]*MonthlyScoresTABLE[[#This Row],[Late]])</f>
        <v>0</v>
      </c>
      <c r="O59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59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59" s="20">
        <f>COUNT(MonthlyScoresTABLE[[#This Row],[Fish 1]:[Fish 5]])</f>
        <v>0</v>
      </c>
      <c r="R59" s="23">
        <f>MAX(MonthlyScoresTABLE[[#This Row],[Fish 1]:[Fish 5]])</f>
        <v>0</v>
      </c>
      <c r="S59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59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59</v>
      </c>
      <c r="U59" s="3">
        <f>IFERROR(VLOOKUP(MROUND(D59,0.25),Table4[],2,FALSE),0)</f>
        <v>0</v>
      </c>
      <c r="V59" s="3">
        <f>IFERROR(VLOOKUP(MROUND(E59,0.25),Table4[],2,FALSE),0)</f>
        <v>0</v>
      </c>
      <c r="W59" s="3">
        <f>IFERROR(VLOOKUP(MROUND(F59,0.25),Table4[],2,FALSE),0)</f>
        <v>0</v>
      </c>
      <c r="X59" s="3">
        <f>IFERROR(VLOOKUP(MROUND(G59,0.25),Table4[],2,FALSE),0)</f>
        <v>0</v>
      </c>
      <c r="Y59" s="3">
        <f>IFERROR(VLOOKUP(MROUND(H59,0.25),Table4[],2,FALSE),0)</f>
        <v>0</v>
      </c>
    </row>
    <row r="60" spans="1:25" hidden="1" x14ac:dyDescent="0.3">
      <c r="D60" s="29"/>
      <c r="E60" s="29"/>
      <c r="F60" s="29"/>
      <c r="G60" s="29"/>
      <c r="H60" s="29"/>
      <c r="I60" s="31"/>
      <c r="J60" s="23">
        <f>SUM(MonthlyScoresTABLE[[#This Row],[Fish 1 lbs.]:[Fish 5 lbs.]])</f>
        <v>0</v>
      </c>
      <c r="K60" s="19">
        <f>IF(COUNTA(MonthlyScoresTABLE[[#This Row],[Angler 1]:[Angler 2]])=1,0.15,0)</f>
        <v>0</v>
      </c>
      <c r="L60" s="23">
        <f>MonthlyScoresTABLE[[#This Row],[Weight]]+(MonthlyScoresTABLE[[#This Row],[Weight]]*MonthlyScoresTABLE[[#This Row],[Alone]])</f>
        <v>0</v>
      </c>
      <c r="M60" s="21">
        <f>IF(MonthlyScoresTABLE[[#This Row],[Minutes Late]]=0,0,IF(MonthlyScoresTABLE[[#This Row],[Minutes Late]]&lt;=5,0.5,IF(MonthlyScoresTABLE[[#This Row],[Minutes Late]]&gt;5,1)))</f>
        <v>0</v>
      </c>
      <c r="N60" s="23">
        <f>MonthlyScoresTABLE[[#This Row],[Weight Subtotal]]-(MonthlyScoresTABLE[[#This Row],[Weight Subtotal]]*MonthlyScoresTABLE[[#This Row],[Late]])</f>
        <v>0</v>
      </c>
      <c r="O60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60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60" s="20">
        <f>COUNT(MonthlyScoresTABLE[[#This Row],[Fish 1]:[Fish 5]])</f>
        <v>0</v>
      </c>
      <c r="R60" s="23">
        <f>MAX(MonthlyScoresTABLE[[#This Row],[Fish 1]:[Fish 5]])</f>
        <v>0</v>
      </c>
      <c r="S60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60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60</v>
      </c>
      <c r="U60" s="3">
        <f>IFERROR(VLOOKUP(MROUND(D60,0.25),Table4[],2,FALSE),0)</f>
        <v>0</v>
      </c>
      <c r="V60" s="3">
        <f>IFERROR(VLOOKUP(MROUND(E60,0.25),Table4[],2,FALSE),0)</f>
        <v>0</v>
      </c>
      <c r="W60" s="3">
        <f>IFERROR(VLOOKUP(MROUND(F60,0.25),Table4[],2,FALSE),0)</f>
        <v>0</v>
      </c>
      <c r="X60" s="3">
        <f>IFERROR(VLOOKUP(MROUND(G60,0.25),Table4[],2,FALSE),0)</f>
        <v>0</v>
      </c>
      <c r="Y60" s="3">
        <f>IFERROR(VLOOKUP(MROUND(H60,0.25),Table4[],2,FALSE),0)</f>
        <v>0</v>
      </c>
    </row>
    <row r="61" spans="1:25" hidden="1" x14ac:dyDescent="0.3">
      <c r="D61" s="29"/>
      <c r="E61" s="29"/>
      <c r="F61" s="29"/>
      <c r="G61" s="29"/>
      <c r="H61" s="29"/>
      <c r="I61" s="31"/>
      <c r="J61" s="23">
        <f>SUM(MonthlyScoresTABLE[[#This Row],[Fish 1 lbs.]:[Fish 5 lbs.]])</f>
        <v>0</v>
      </c>
      <c r="K61" s="19">
        <f>IF(COUNTA(MonthlyScoresTABLE[[#This Row],[Angler 1]:[Angler 2]])=1,0.15,0)</f>
        <v>0</v>
      </c>
      <c r="L61" s="23">
        <f>MonthlyScoresTABLE[[#This Row],[Weight]]+(MonthlyScoresTABLE[[#This Row],[Weight]]*MonthlyScoresTABLE[[#This Row],[Alone]])</f>
        <v>0</v>
      </c>
      <c r="M61" s="21">
        <f>IF(MonthlyScoresTABLE[[#This Row],[Minutes Late]]=0,0,IF(MonthlyScoresTABLE[[#This Row],[Minutes Late]]&lt;=5,0.5,IF(MonthlyScoresTABLE[[#This Row],[Minutes Late]]&gt;5,1)))</f>
        <v>0</v>
      </c>
      <c r="N61" s="23">
        <f>MonthlyScoresTABLE[[#This Row],[Weight Subtotal]]-(MonthlyScoresTABLE[[#This Row],[Weight Subtotal]]*MonthlyScoresTABLE[[#This Row],[Late]])</f>
        <v>0</v>
      </c>
      <c r="O61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61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61" s="20">
        <f>COUNT(MonthlyScoresTABLE[[#This Row],[Fish 1]:[Fish 5]])</f>
        <v>0</v>
      </c>
      <c r="R61" s="23">
        <f>MAX(MonthlyScoresTABLE[[#This Row],[Fish 1]:[Fish 5]])</f>
        <v>0</v>
      </c>
      <c r="S61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61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61</v>
      </c>
      <c r="U61" s="3">
        <f>IFERROR(VLOOKUP(MROUND(D61,0.25),Table4[],2,FALSE),0)</f>
        <v>0</v>
      </c>
      <c r="V61" s="3">
        <f>IFERROR(VLOOKUP(MROUND(E61,0.25),Table4[],2,FALSE),0)</f>
        <v>0</v>
      </c>
      <c r="W61" s="3">
        <f>IFERROR(VLOOKUP(MROUND(F61,0.25),Table4[],2,FALSE),0)</f>
        <v>0</v>
      </c>
      <c r="X61" s="3">
        <f>IFERROR(VLOOKUP(MROUND(G61,0.25),Table4[],2,FALSE),0)</f>
        <v>0</v>
      </c>
      <c r="Y61" s="3">
        <f>IFERROR(VLOOKUP(MROUND(H61,0.25),Table4[],2,FALSE),0)</f>
        <v>0</v>
      </c>
    </row>
    <row r="62" spans="1:25" hidden="1" x14ac:dyDescent="0.3">
      <c r="D62" s="29"/>
      <c r="E62" s="29"/>
      <c r="F62" s="29"/>
      <c r="G62" s="29"/>
      <c r="H62" s="29"/>
      <c r="I62" s="31"/>
      <c r="J62" s="23">
        <f>SUM(MonthlyScoresTABLE[[#This Row],[Fish 1 lbs.]:[Fish 5 lbs.]])</f>
        <v>0</v>
      </c>
      <c r="K62" s="19">
        <f>IF(COUNTA(MonthlyScoresTABLE[[#This Row],[Angler 1]:[Angler 2]])=1,0.15,0)</f>
        <v>0</v>
      </c>
      <c r="L62" s="23">
        <f>MonthlyScoresTABLE[[#This Row],[Weight]]+(MonthlyScoresTABLE[[#This Row],[Weight]]*MonthlyScoresTABLE[[#This Row],[Alone]])</f>
        <v>0</v>
      </c>
      <c r="M62" s="21">
        <f>IF(MonthlyScoresTABLE[[#This Row],[Minutes Late]]=0,0,IF(MonthlyScoresTABLE[[#This Row],[Minutes Late]]&lt;=5,0.5,IF(MonthlyScoresTABLE[[#This Row],[Minutes Late]]&gt;5,1)))</f>
        <v>0</v>
      </c>
      <c r="N62" s="23">
        <f>MonthlyScoresTABLE[[#This Row],[Weight Subtotal]]-(MonthlyScoresTABLE[[#This Row],[Weight Subtotal]]*MonthlyScoresTABLE[[#This Row],[Late]])</f>
        <v>0</v>
      </c>
      <c r="O62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62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62" s="20">
        <f>COUNT(MonthlyScoresTABLE[[#This Row],[Fish 1]:[Fish 5]])</f>
        <v>0</v>
      </c>
      <c r="R62" s="23">
        <f>MAX(MonthlyScoresTABLE[[#This Row],[Fish 1]:[Fish 5]])</f>
        <v>0</v>
      </c>
      <c r="S62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62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62</v>
      </c>
      <c r="U62" s="3">
        <f>IFERROR(VLOOKUP(MROUND(D62,0.25),Table4[],2,FALSE),0)</f>
        <v>0</v>
      </c>
      <c r="V62" s="3">
        <f>IFERROR(VLOOKUP(MROUND(E62,0.25),Table4[],2,FALSE),0)</f>
        <v>0</v>
      </c>
      <c r="W62" s="3">
        <f>IFERROR(VLOOKUP(MROUND(F62,0.25),Table4[],2,FALSE),0)</f>
        <v>0</v>
      </c>
      <c r="X62" s="3">
        <f>IFERROR(VLOOKUP(MROUND(G62,0.25),Table4[],2,FALSE),0)</f>
        <v>0</v>
      </c>
      <c r="Y62" s="3">
        <f>IFERROR(VLOOKUP(MROUND(H62,0.25),Table4[],2,FALSE),0)</f>
        <v>0</v>
      </c>
    </row>
    <row r="63" spans="1:25" hidden="1" x14ac:dyDescent="0.3">
      <c r="D63" s="29"/>
      <c r="E63" s="29"/>
      <c r="F63" s="29"/>
      <c r="G63" s="29"/>
      <c r="H63" s="29"/>
      <c r="I63" s="31"/>
      <c r="J63" s="23">
        <f>SUM(MonthlyScoresTABLE[[#This Row],[Fish 1 lbs.]:[Fish 5 lbs.]])</f>
        <v>0</v>
      </c>
      <c r="K63" s="19">
        <f>IF(COUNTA(MonthlyScoresTABLE[[#This Row],[Angler 1]:[Angler 2]])=1,0.15,0)</f>
        <v>0</v>
      </c>
      <c r="L63" s="23">
        <f>MonthlyScoresTABLE[[#This Row],[Weight]]+(MonthlyScoresTABLE[[#This Row],[Weight]]*MonthlyScoresTABLE[[#This Row],[Alone]])</f>
        <v>0</v>
      </c>
      <c r="M63" s="21">
        <f>IF(MonthlyScoresTABLE[[#This Row],[Minutes Late]]=0,0,IF(MonthlyScoresTABLE[[#This Row],[Minutes Late]]&lt;=5,0.5,IF(MonthlyScoresTABLE[[#This Row],[Minutes Late]]&gt;5,1)))</f>
        <v>0</v>
      </c>
      <c r="N63" s="23">
        <f>MonthlyScoresTABLE[[#This Row],[Weight Subtotal]]-(MonthlyScoresTABLE[[#This Row],[Weight Subtotal]]*MonthlyScoresTABLE[[#This Row],[Late]])</f>
        <v>0</v>
      </c>
      <c r="O63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63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63" s="20">
        <f>COUNT(MonthlyScoresTABLE[[#This Row],[Fish 1]:[Fish 5]])</f>
        <v>0</v>
      </c>
      <c r="R63" s="23">
        <f>MAX(MonthlyScoresTABLE[[#This Row],[Fish 1]:[Fish 5]])</f>
        <v>0</v>
      </c>
      <c r="S63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63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63</v>
      </c>
      <c r="U63" s="3">
        <f>IFERROR(VLOOKUP(MROUND(D63,0.25),Table4[],2,FALSE),0)</f>
        <v>0</v>
      </c>
      <c r="V63" s="3">
        <f>IFERROR(VLOOKUP(MROUND(E63,0.25),Table4[],2,FALSE),0)</f>
        <v>0</v>
      </c>
      <c r="W63" s="3">
        <f>IFERROR(VLOOKUP(MROUND(F63,0.25),Table4[],2,FALSE),0)</f>
        <v>0</v>
      </c>
      <c r="X63" s="3">
        <f>IFERROR(VLOOKUP(MROUND(G63,0.25),Table4[],2,FALSE),0)</f>
        <v>0</v>
      </c>
      <c r="Y63" s="3">
        <f>IFERROR(VLOOKUP(MROUND(H63,0.25),Table4[],2,FALSE),0)</f>
        <v>0</v>
      </c>
    </row>
    <row r="64" spans="1:25" hidden="1" x14ac:dyDescent="0.3">
      <c r="D64" s="29"/>
      <c r="E64" s="29"/>
      <c r="F64" s="29"/>
      <c r="G64" s="29"/>
      <c r="H64" s="29"/>
      <c r="I64" s="31"/>
      <c r="J64" s="23">
        <f>SUM(MonthlyScoresTABLE[[#This Row],[Fish 1 lbs.]:[Fish 5 lbs.]])</f>
        <v>0</v>
      </c>
      <c r="K64" s="19">
        <f>IF(COUNTA(MonthlyScoresTABLE[[#This Row],[Angler 1]:[Angler 2]])=1,0.15,0)</f>
        <v>0</v>
      </c>
      <c r="L64" s="23">
        <f>MonthlyScoresTABLE[[#This Row],[Weight]]+(MonthlyScoresTABLE[[#This Row],[Weight]]*MonthlyScoresTABLE[[#This Row],[Alone]])</f>
        <v>0</v>
      </c>
      <c r="M64" s="21">
        <f>IF(MonthlyScoresTABLE[[#This Row],[Minutes Late]]=0,0,IF(MonthlyScoresTABLE[[#This Row],[Minutes Late]]&lt;=5,0.5,IF(MonthlyScoresTABLE[[#This Row],[Minutes Late]]&gt;5,1)))</f>
        <v>0</v>
      </c>
      <c r="N64" s="23">
        <f>MonthlyScoresTABLE[[#This Row],[Weight Subtotal]]-(MonthlyScoresTABLE[[#This Row],[Weight Subtotal]]*MonthlyScoresTABLE[[#This Row],[Late]])</f>
        <v>0</v>
      </c>
      <c r="O64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64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64" s="20">
        <f>COUNT(MonthlyScoresTABLE[[#This Row],[Fish 1]:[Fish 5]])</f>
        <v>0</v>
      </c>
      <c r="R64" s="23">
        <f>MAX(MonthlyScoresTABLE[[#This Row],[Fish 1]:[Fish 5]])</f>
        <v>0</v>
      </c>
      <c r="S64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64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64</v>
      </c>
      <c r="U64" s="3">
        <f>IFERROR(VLOOKUP(MROUND(D64,0.25),Table4[],2,FALSE),0)</f>
        <v>0</v>
      </c>
      <c r="V64" s="3">
        <f>IFERROR(VLOOKUP(MROUND(E64,0.25),Table4[],2,FALSE),0)</f>
        <v>0</v>
      </c>
      <c r="W64" s="3">
        <f>IFERROR(VLOOKUP(MROUND(F64,0.25),Table4[],2,FALSE),0)</f>
        <v>0</v>
      </c>
      <c r="X64" s="3">
        <f>IFERROR(VLOOKUP(MROUND(G64,0.25),Table4[],2,FALSE),0)</f>
        <v>0</v>
      </c>
      <c r="Y64" s="3">
        <f>IFERROR(VLOOKUP(MROUND(H64,0.25),Table4[],2,FALSE),0)</f>
        <v>0</v>
      </c>
    </row>
    <row r="65" spans="4:25" hidden="1" x14ac:dyDescent="0.3">
      <c r="D65" s="29"/>
      <c r="E65" s="29"/>
      <c r="F65" s="29"/>
      <c r="G65" s="29"/>
      <c r="H65" s="29"/>
      <c r="I65" s="31"/>
      <c r="J65" s="23">
        <f>SUM(MonthlyScoresTABLE[[#This Row],[Fish 1 lbs.]:[Fish 5 lbs.]])</f>
        <v>0</v>
      </c>
      <c r="K65" s="19">
        <f>IF(COUNTA(MonthlyScoresTABLE[[#This Row],[Angler 1]:[Angler 2]])=1,0.15,0)</f>
        <v>0</v>
      </c>
      <c r="L65" s="23">
        <f>MonthlyScoresTABLE[[#This Row],[Weight]]+(MonthlyScoresTABLE[[#This Row],[Weight]]*MonthlyScoresTABLE[[#This Row],[Alone]])</f>
        <v>0</v>
      </c>
      <c r="M65" s="21">
        <f>IF(MonthlyScoresTABLE[[#This Row],[Minutes Late]]=0,0,IF(MonthlyScoresTABLE[[#This Row],[Minutes Late]]&lt;=5,0.5,IF(MonthlyScoresTABLE[[#This Row],[Minutes Late]]&gt;5,1)))</f>
        <v>0</v>
      </c>
      <c r="N65" s="23">
        <f>MonthlyScoresTABLE[[#This Row],[Weight Subtotal]]-(MonthlyScoresTABLE[[#This Row],[Weight Subtotal]]*MonthlyScoresTABLE[[#This Row],[Late]])</f>
        <v>0</v>
      </c>
      <c r="O65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65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65" s="20">
        <f>COUNT(MonthlyScoresTABLE[[#This Row],[Fish 1]:[Fish 5]])</f>
        <v>0</v>
      </c>
      <c r="R65" s="23">
        <f>MAX(MonthlyScoresTABLE[[#This Row],[Fish 1]:[Fish 5]])</f>
        <v>0</v>
      </c>
      <c r="S65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65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65</v>
      </c>
      <c r="U65" s="3">
        <f>IFERROR(VLOOKUP(MROUND(D65,0.25),Table4[],2,FALSE),0)</f>
        <v>0</v>
      </c>
      <c r="V65" s="3">
        <f>IFERROR(VLOOKUP(MROUND(E65,0.25),Table4[],2,FALSE),0)</f>
        <v>0</v>
      </c>
      <c r="W65" s="3">
        <f>IFERROR(VLOOKUP(MROUND(F65,0.25),Table4[],2,FALSE),0)</f>
        <v>0</v>
      </c>
      <c r="X65" s="3">
        <f>IFERROR(VLOOKUP(MROUND(G65,0.25),Table4[],2,FALSE),0)</f>
        <v>0</v>
      </c>
      <c r="Y65" s="3">
        <f>IFERROR(VLOOKUP(MROUND(H65,0.25),Table4[],2,FALSE),0)</f>
        <v>0</v>
      </c>
    </row>
    <row r="66" spans="4:25" hidden="1" x14ac:dyDescent="0.3">
      <c r="D66" s="29"/>
      <c r="E66" s="29"/>
      <c r="F66" s="29"/>
      <c r="G66" s="29"/>
      <c r="H66" s="29"/>
      <c r="I66" s="31"/>
      <c r="J66" s="23">
        <f>SUM(MonthlyScoresTABLE[[#This Row],[Fish 1 lbs.]:[Fish 5 lbs.]])</f>
        <v>0</v>
      </c>
      <c r="K66" s="19">
        <f>IF(COUNTA(MonthlyScoresTABLE[[#This Row],[Angler 1]:[Angler 2]])=1,0.15,0)</f>
        <v>0</v>
      </c>
      <c r="L66" s="23">
        <f>MonthlyScoresTABLE[[#This Row],[Weight]]+(MonthlyScoresTABLE[[#This Row],[Weight]]*MonthlyScoresTABLE[[#This Row],[Alone]])</f>
        <v>0</v>
      </c>
      <c r="M66" s="21">
        <f>IF(MonthlyScoresTABLE[[#This Row],[Minutes Late]]=0,0,IF(MonthlyScoresTABLE[[#This Row],[Minutes Late]]&lt;=5,0.5,IF(MonthlyScoresTABLE[[#This Row],[Minutes Late]]&gt;5,1)))</f>
        <v>0</v>
      </c>
      <c r="N66" s="23">
        <f>MonthlyScoresTABLE[[#This Row],[Weight Subtotal]]-(MonthlyScoresTABLE[[#This Row],[Weight Subtotal]]*MonthlyScoresTABLE[[#This Row],[Late]])</f>
        <v>0</v>
      </c>
      <c r="O66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66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66" s="20">
        <f>COUNT(MonthlyScoresTABLE[[#This Row],[Fish 1]:[Fish 5]])</f>
        <v>0</v>
      </c>
      <c r="R66" s="23">
        <f>MAX(MonthlyScoresTABLE[[#This Row],[Fish 1]:[Fish 5]])</f>
        <v>0</v>
      </c>
      <c r="S66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66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66</v>
      </c>
      <c r="U66" s="3">
        <f>IFERROR(VLOOKUP(MROUND(D66,0.25),Table4[],2,FALSE),0)</f>
        <v>0</v>
      </c>
      <c r="V66" s="3">
        <f>IFERROR(VLOOKUP(MROUND(E66,0.25),Table4[],2,FALSE),0)</f>
        <v>0</v>
      </c>
      <c r="W66" s="3">
        <f>IFERROR(VLOOKUP(MROUND(F66,0.25),Table4[],2,FALSE),0)</f>
        <v>0</v>
      </c>
      <c r="X66" s="3">
        <f>IFERROR(VLOOKUP(MROUND(G66,0.25),Table4[],2,FALSE),0)</f>
        <v>0</v>
      </c>
      <c r="Y66" s="3">
        <f>IFERROR(VLOOKUP(MROUND(H66,0.25),Table4[],2,FALSE),0)</f>
        <v>0</v>
      </c>
    </row>
    <row r="67" spans="4:25" hidden="1" x14ac:dyDescent="0.3">
      <c r="D67" s="29"/>
      <c r="E67" s="29"/>
      <c r="F67" s="29"/>
      <c r="G67" s="29"/>
      <c r="H67" s="29"/>
      <c r="I67" s="31"/>
      <c r="J67" s="23">
        <f>SUM(MonthlyScoresTABLE[[#This Row],[Fish 1 lbs.]:[Fish 5 lbs.]])</f>
        <v>0</v>
      </c>
      <c r="K67" s="19">
        <f>IF(COUNTA(MonthlyScoresTABLE[[#This Row],[Angler 1]:[Angler 2]])=1,0.15,0)</f>
        <v>0</v>
      </c>
      <c r="L67" s="23">
        <f>MonthlyScoresTABLE[[#This Row],[Weight]]+(MonthlyScoresTABLE[[#This Row],[Weight]]*MonthlyScoresTABLE[[#This Row],[Alone]])</f>
        <v>0</v>
      </c>
      <c r="M67" s="21">
        <f>IF(MonthlyScoresTABLE[[#This Row],[Minutes Late]]=0,0,IF(MonthlyScoresTABLE[[#This Row],[Minutes Late]]&lt;=5,0.5,IF(MonthlyScoresTABLE[[#This Row],[Minutes Late]]&gt;5,1)))</f>
        <v>0</v>
      </c>
      <c r="N67" s="23">
        <f>MonthlyScoresTABLE[[#This Row],[Weight Subtotal]]-(MonthlyScoresTABLE[[#This Row],[Weight Subtotal]]*MonthlyScoresTABLE[[#This Row],[Late]])</f>
        <v>0</v>
      </c>
      <c r="O67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67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67" s="20">
        <f>COUNT(MonthlyScoresTABLE[[#This Row],[Fish 1]:[Fish 5]])</f>
        <v>0</v>
      </c>
      <c r="R67" s="23">
        <f>MAX(MonthlyScoresTABLE[[#This Row],[Fish 1]:[Fish 5]])</f>
        <v>0</v>
      </c>
      <c r="S67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67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67</v>
      </c>
      <c r="U67" s="3">
        <f>IFERROR(VLOOKUP(MROUND(D67,0.25),Table4[],2,FALSE),0)</f>
        <v>0</v>
      </c>
      <c r="V67" s="3">
        <f>IFERROR(VLOOKUP(MROUND(E67,0.25),Table4[],2,FALSE),0)</f>
        <v>0</v>
      </c>
      <c r="W67" s="3">
        <f>IFERROR(VLOOKUP(MROUND(F67,0.25),Table4[],2,FALSE),0)</f>
        <v>0</v>
      </c>
      <c r="X67" s="3">
        <f>IFERROR(VLOOKUP(MROUND(G67,0.25),Table4[],2,FALSE),0)</f>
        <v>0</v>
      </c>
      <c r="Y67" s="3">
        <f>IFERROR(VLOOKUP(MROUND(H67,0.25),Table4[],2,FALSE),0)</f>
        <v>0</v>
      </c>
    </row>
    <row r="68" spans="4:25" hidden="1" x14ac:dyDescent="0.3">
      <c r="D68" s="29"/>
      <c r="E68" s="29"/>
      <c r="F68" s="29"/>
      <c r="G68" s="29"/>
      <c r="H68" s="29"/>
      <c r="I68" s="31"/>
      <c r="J68" s="23">
        <f>SUM(MonthlyScoresTABLE[[#This Row],[Fish 1 lbs.]:[Fish 5 lbs.]])</f>
        <v>0</v>
      </c>
      <c r="K68" s="19">
        <f>IF(COUNTA(MonthlyScoresTABLE[[#This Row],[Angler 1]:[Angler 2]])=1,0.15,0)</f>
        <v>0</v>
      </c>
      <c r="L68" s="23">
        <f>MonthlyScoresTABLE[[#This Row],[Weight]]+(MonthlyScoresTABLE[[#This Row],[Weight]]*MonthlyScoresTABLE[[#This Row],[Alone]])</f>
        <v>0</v>
      </c>
      <c r="M68" s="21">
        <f>IF(MonthlyScoresTABLE[[#This Row],[Minutes Late]]=0,0,IF(MonthlyScoresTABLE[[#This Row],[Minutes Late]]&lt;=5,0.5,IF(MonthlyScoresTABLE[[#This Row],[Minutes Late]]&gt;5,1)))</f>
        <v>0</v>
      </c>
      <c r="N68" s="23">
        <f>MonthlyScoresTABLE[[#This Row],[Weight Subtotal]]-(MonthlyScoresTABLE[[#This Row],[Weight Subtotal]]*MonthlyScoresTABLE[[#This Row],[Late]])</f>
        <v>0</v>
      </c>
      <c r="O68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68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68" s="20">
        <f>COUNT(MonthlyScoresTABLE[[#This Row],[Fish 1]:[Fish 5]])</f>
        <v>0</v>
      </c>
      <c r="R68" s="23">
        <f>MAX(MonthlyScoresTABLE[[#This Row],[Fish 1]:[Fish 5]])</f>
        <v>0</v>
      </c>
      <c r="S68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68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68</v>
      </c>
      <c r="U68" s="3">
        <f>IFERROR(VLOOKUP(MROUND(D68,0.25),Table4[],2,FALSE),0)</f>
        <v>0</v>
      </c>
      <c r="V68" s="3">
        <f>IFERROR(VLOOKUP(MROUND(E68,0.25),Table4[],2,FALSE),0)</f>
        <v>0</v>
      </c>
      <c r="W68" s="3">
        <f>IFERROR(VLOOKUP(MROUND(F68,0.25),Table4[],2,FALSE),0)</f>
        <v>0</v>
      </c>
      <c r="X68" s="3">
        <f>IFERROR(VLOOKUP(MROUND(G68,0.25),Table4[],2,FALSE),0)</f>
        <v>0</v>
      </c>
      <c r="Y68" s="3">
        <f>IFERROR(VLOOKUP(MROUND(H68,0.25),Table4[],2,FALSE),0)</f>
        <v>0</v>
      </c>
    </row>
    <row r="69" spans="4:25" hidden="1" x14ac:dyDescent="0.3">
      <c r="D69" s="29"/>
      <c r="E69" s="29"/>
      <c r="F69" s="29"/>
      <c r="G69" s="29"/>
      <c r="H69" s="29"/>
      <c r="I69" s="31"/>
      <c r="J69" s="23">
        <f>SUM(MonthlyScoresTABLE[[#This Row],[Fish 1 lbs.]:[Fish 5 lbs.]])</f>
        <v>0</v>
      </c>
      <c r="K69" s="19">
        <f>IF(COUNTA(MonthlyScoresTABLE[[#This Row],[Angler 1]:[Angler 2]])=1,0.15,0)</f>
        <v>0</v>
      </c>
      <c r="L69" s="23">
        <f>MonthlyScoresTABLE[[#This Row],[Weight]]+(MonthlyScoresTABLE[[#This Row],[Weight]]*MonthlyScoresTABLE[[#This Row],[Alone]])</f>
        <v>0</v>
      </c>
      <c r="M69" s="21">
        <f>IF(MonthlyScoresTABLE[[#This Row],[Minutes Late]]=0,0,IF(MonthlyScoresTABLE[[#This Row],[Minutes Late]]&lt;=5,0.5,IF(MonthlyScoresTABLE[[#This Row],[Minutes Late]]&gt;5,1)))</f>
        <v>0</v>
      </c>
      <c r="N69" s="23">
        <f>MonthlyScoresTABLE[[#This Row],[Weight Subtotal]]-(MonthlyScoresTABLE[[#This Row],[Weight Subtotal]]*MonthlyScoresTABLE[[#This Row],[Late]])</f>
        <v>0</v>
      </c>
      <c r="O69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69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69" s="20">
        <f>COUNT(MonthlyScoresTABLE[[#This Row],[Fish 1]:[Fish 5]])</f>
        <v>0</v>
      </c>
      <c r="R69" s="23">
        <f>MAX(MonthlyScoresTABLE[[#This Row],[Fish 1]:[Fish 5]])</f>
        <v>0</v>
      </c>
      <c r="S69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69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69</v>
      </c>
      <c r="U69" s="3">
        <f>IFERROR(VLOOKUP(MROUND(D69,0.25),Table4[],2,FALSE),0)</f>
        <v>0</v>
      </c>
      <c r="V69" s="3">
        <f>IFERROR(VLOOKUP(MROUND(E69,0.25),Table4[],2,FALSE),0)</f>
        <v>0</v>
      </c>
      <c r="W69" s="3">
        <f>IFERROR(VLOOKUP(MROUND(F69,0.25),Table4[],2,FALSE),0)</f>
        <v>0</v>
      </c>
      <c r="X69" s="3">
        <f>IFERROR(VLOOKUP(MROUND(G69,0.25),Table4[],2,FALSE),0)</f>
        <v>0</v>
      </c>
      <c r="Y69" s="3">
        <f>IFERROR(VLOOKUP(MROUND(H69,0.25),Table4[],2,FALSE),0)</f>
        <v>0</v>
      </c>
    </row>
    <row r="70" spans="4:25" hidden="1" x14ac:dyDescent="0.3">
      <c r="D70" s="29"/>
      <c r="E70" s="29"/>
      <c r="F70" s="29"/>
      <c r="G70" s="29"/>
      <c r="H70" s="29"/>
      <c r="I70" s="31"/>
      <c r="J70" s="23">
        <f>SUM(MonthlyScoresTABLE[[#This Row],[Fish 1 lbs.]:[Fish 5 lbs.]])</f>
        <v>0</v>
      </c>
      <c r="K70" s="19">
        <f>IF(COUNTA(MonthlyScoresTABLE[[#This Row],[Angler 1]:[Angler 2]])=1,0.15,0)</f>
        <v>0</v>
      </c>
      <c r="L70" s="23">
        <f>MonthlyScoresTABLE[[#This Row],[Weight]]+(MonthlyScoresTABLE[[#This Row],[Weight]]*MonthlyScoresTABLE[[#This Row],[Alone]])</f>
        <v>0</v>
      </c>
      <c r="M70" s="21">
        <f>IF(MonthlyScoresTABLE[[#This Row],[Minutes Late]]=0,0,IF(MonthlyScoresTABLE[[#This Row],[Minutes Late]]&lt;=5,0.5,IF(MonthlyScoresTABLE[[#This Row],[Minutes Late]]&gt;5,1)))</f>
        <v>0</v>
      </c>
      <c r="N70" s="23">
        <f>MonthlyScoresTABLE[[#This Row],[Weight Subtotal]]-(MonthlyScoresTABLE[[#This Row],[Weight Subtotal]]*MonthlyScoresTABLE[[#This Row],[Late]])</f>
        <v>0</v>
      </c>
      <c r="O70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70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70" s="20">
        <f>COUNT(MonthlyScoresTABLE[[#This Row],[Fish 1]:[Fish 5]])</f>
        <v>0</v>
      </c>
      <c r="R70" s="23">
        <f>MAX(MonthlyScoresTABLE[[#This Row],[Fish 1]:[Fish 5]])</f>
        <v>0</v>
      </c>
      <c r="S70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70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70</v>
      </c>
      <c r="U70" s="3">
        <f>IFERROR(VLOOKUP(MROUND(D70,0.25),Table4[],2,FALSE),0)</f>
        <v>0</v>
      </c>
      <c r="V70" s="3">
        <f>IFERROR(VLOOKUP(MROUND(E70,0.25),Table4[],2,FALSE),0)</f>
        <v>0</v>
      </c>
      <c r="W70" s="3">
        <f>IFERROR(VLOOKUP(MROUND(F70,0.25),Table4[],2,FALSE),0)</f>
        <v>0</v>
      </c>
      <c r="X70" s="3">
        <f>IFERROR(VLOOKUP(MROUND(G70,0.25),Table4[],2,FALSE),0)</f>
        <v>0</v>
      </c>
      <c r="Y70" s="3">
        <f>IFERROR(VLOOKUP(MROUND(H70,0.25),Table4[],2,FALSE),0)</f>
        <v>0</v>
      </c>
    </row>
    <row r="71" spans="4:25" hidden="1" x14ac:dyDescent="0.3">
      <c r="D71" s="29"/>
      <c r="E71" s="29"/>
      <c r="F71" s="29"/>
      <c r="G71" s="29"/>
      <c r="H71" s="29"/>
      <c r="I71" s="31"/>
      <c r="J71" s="23">
        <f>SUM(MonthlyScoresTABLE[[#This Row],[Fish 1 lbs.]:[Fish 5 lbs.]])</f>
        <v>0</v>
      </c>
      <c r="K71" s="19">
        <f>IF(COUNTA(MonthlyScoresTABLE[[#This Row],[Angler 1]:[Angler 2]])=1,0.15,0)</f>
        <v>0</v>
      </c>
      <c r="L71" s="23">
        <f>MonthlyScoresTABLE[[#This Row],[Weight]]+(MonthlyScoresTABLE[[#This Row],[Weight]]*MonthlyScoresTABLE[[#This Row],[Alone]])</f>
        <v>0</v>
      </c>
      <c r="M71" s="21">
        <f>IF(MonthlyScoresTABLE[[#This Row],[Minutes Late]]=0,0,IF(MonthlyScoresTABLE[[#This Row],[Minutes Late]]&lt;=5,0.5,IF(MonthlyScoresTABLE[[#This Row],[Minutes Late]]&gt;5,1)))</f>
        <v>0</v>
      </c>
      <c r="N71" s="23">
        <f>MonthlyScoresTABLE[[#This Row],[Weight Subtotal]]-(MonthlyScoresTABLE[[#This Row],[Weight Subtotal]]*MonthlyScoresTABLE[[#This Row],[Late]])</f>
        <v>0</v>
      </c>
      <c r="O71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71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71" s="20">
        <f>COUNT(MonthlyScoresTABLE[[#This Row],[Fish 1]:[Fish 5]])</f>
        <v>0</v>
      </c>
      <c r="R71" s="23">
        <f>MAX(MonthlyScoresTABLE[[#This Row],[Fish 1]:[Fish 5]])</f>
        <v>0</v>
      </c>
      <c r="S71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71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71</v>
      </c>
      <c r="U71" s="3">
        <f>IFERROR(VLOOKUP(MROUND(D71,0.25),Table4[],2,FALSE),0)</f>
        <v>0</v>
      </c>
      <c r="V71" s="3">
        <f>IFERROR(VLOOKUP(MROUND(E71,0.25),Table4[],2,FALSE),0)</f>
        <v>0</v>
      </c>
      <c r="W71" s="3">
        <f>IFERROR(VLOOKUP(MROUND(F71,0.25),Table4[],2,FALSE),0)</f>
        <v>0</v>
      </c>
      <c r="X71" s="3">
        <f>IFERROR(VLOOKUP(MROUND(G71,0.25),Table4[],2,FALSE),0)</f>
        <v>0</v>
      </c>
      <c r="Y71" s="3">
        <f>IFERROR(VLOOKUP(MROUND(H71,0.25),Table4[],2,FALSE),0)</f>
        <v>0</v>
      </c>
    </row>
    <row r="72" spans="4:25" hidden="1" x14ac:dyDescent="0.3">
      <c r="D72" s="29"/>
      <c r="E72" s="29"/>
      <c r="F72" s="29"/>
      <c r="G72" s="29"/>
      <c r="H72" s="29"/>
      <c r="I72" s="31"/>
      <c r="J72" s="23">
        <f>SUM(MonthlyScoresTABLE[[#This Row],[Fish 1 lbs.]:[Fish 5 lbs.]])</f>
        <v>0</v>
      </c>
      <c r="K72" s="19">
        <f>IF(COUNTA(MonthlyScoresTABLE[[#This Row],[Angler 1]:[Angler 2]])=1,0.15,0)</f>
        <v>0</v>
      </c>
      <c r="L72" s="23">
        <f>MonthlyScoresTABLE[[#This Row],[Weight]]+(MonthlyScoresTABLE[[#This Row],[Weight]]*MonthlyScoresTABLE[[#This Row],[Alone]])</f>
        <v>0</v>
      </c>
      <c r="M72" s="21">
        <f>IF(MonthlyScoresTABLE[[#This Row],[Minutes Late]]=0,0,IF(MonthlyScoresTABLE[[#This Row],[Minutes Late]]&lt;=5,0.5,IF(MonthlyScoresTABLE[[#This Row],[Minutes Late]]&gt;5,1)))</f>
        <v>0</v>
      </c>
      <c r="N72" s="23">
        <f>MonthlyScoresTABLE[[#This Row],[Weight Subtotal]]-(MonthlyScoresTABLE[[#This Row],[Weight Subtotal]]*MonthlyScoresTABLE[[#This Row],[Late]])</f>
        <v>0</v>
      </c>
      <c r="O72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72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72" s="20">
        <f>COUNT(MonthlyScoresTABLE[[#This Row],[Fish 1]:[Fish 5]])</f>
        <v>0</v>
      </c>
      <c r="R72" s="23">
        <f>MAX(MonthlyScoresTABLE[[#This Row],[Fish 1]:[Fish 5]])</f>
        <v>0</v>
      </c>
      <c r="S72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72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72</v>
      </c>
      <c r="U72" s="3">
        <f>IFERROR(VLOOKUP(MROUND(D72,0.25),Table4[],2,FALSE),0)</f>
        <v>0</v>
      </c>
      <c r="V72" s="3">
        <f>IFERROR(VLOOKUP(MROUND(E72,0.25),Table4[],2,FALSE),0)</f>
        <v>0</v>
      </c>
      <c r="W72" s="3">
        <f>IFERROR(VLOOKUP(MROUND(F72,0.25),Table4[],2,FALSE),0)</f>
        <v>0</v>
      </c>
      <c r="X72" s="3">
        <f>IFERROR(VLOOKUP(MROUND(G72,0.25),Table4[],2,FALSE),0)</f>
        <v>0</v>
      </c>
      <c r="Y72" s="3">
        <f>IFERROR(VLOOKUP(MROUND(H72,0.25),Table4[],2,FALSE),0)</f>
        <v>0</v>
      </c>
    </row>
    <row r="73" spans="4:25" hidden="1" x14ac:dyDescent="0.3">
      <c r="D73" s="29"/>
      <c r="E73" s="29"/>
      <c r="F73" s="29"/>
      <c r="G73" s="29"/>
      <c r="H73" s="29"/>
      <c r="I73" s="31"/>
      <c r="J73" s="23">
        <f>SUM(MonthlyScoresTABLE[[#This Row],[Fish 1 lbs.]:[Fish 5 lbs.]])</f>
        <v>0</v>
      </c>
      <c r="K73" s="19">
        <f>IF(COUNTA(MonthlyScoresTABLE[[#This Row],[Angler 1]:[Angler 2]])=1,0.15,0)</f>
        <v>0</v>
      </c>
      <c r="L73" s="23">
        <f>MonthlyScoresTABLE[[#This Row],[Weight]]+(MonthlyScoresTABLE[[#This Row],[Weight]]*MonthlyScoresTABLE[[#This Row],[Alone]])</f>
        <v>0</v>
      </c>
      <c r="M73" s="21">
        <f>IF(MonthlyScoresTABLE[[#This Row],[Minutes Late]]=0,0,IF(MonthlyScoresTABLE[[#This Row],[Minutes Late]]&lt;=5,0.5,IF(MonthlyScoresTABLE[[#This Row],[Minutes Late]]&gt;5,1)))</f>
        <v>0</v>
      </c>
      <c r="N73" s="23">
        <f>MonthlyScoresTABLE[[#This Row],[Weight Subtotal]]-(MonthlyScoresTABLE[[#This Row],[Weight Subtotal]]*MonthlyScoresTABLE[[#This Row],[Late]])</f>
        <v>0</v>
      </c>
      <c r="O73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73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73" s="20">
        <f>COUNT(MonthlyScoresTABLE[[#This Row],[Fish 1]:[Fish 5]])</f>
        <v>0</v>
      </c>
      <c r="R73" s="23">
        <f>MAX(MonthlyScoresTABLE[[#This Row],[Fish 1]:[Fish 5]])</f>
        <v>0</v>
      </c>
      <c r="S73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73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73</v>
      </c>
      <c r="U73" s="3">
        <f>IFERROR(VLOOKUP(MROUND(D73,0.25),Table4[],2,FALSE),0)</f>
        <v>0</v>
      </c>
      <c r="V73" s="3">
        <f>IFERROR(VLOOKUP(MROUND(E73,0.25),Table4[],2,FALSE),0)</f>
        <v>0</v>
      </c>
      <c r="W73" s="3">
        <f>IFERROR(VLOOKUP(MROUND(F73,0.25),Table4[],2,FALSE),0)</f>
        <v>0</v>
      </c>
      <c r="X73" s="3">
        <f>IFERROR(VLOOKUP(MROUND(G73,0.25),Table4[],2,FALSE),0)</f>
        <v>0</v>
      </c>
      <c r="Y73" s="3">
        <f>IFERROR(VLOOKUP(MROUND(H73,0.25),Table4[],2,FALSE),0)</f>
        <v>0</v>
      </c>
    </row>
    <row r="74" spans="4:25" hidden="1" x14ac:dyDescent="0.3">
      <c r="D74" s="29"/>
      <c r="E74" s="29"/>
      <c r="F74" s="29"/>
      <c r="G74" s="29"/>
      <c r="H74" s="29"/>
      <c r="I74" s="31"/>
      <c r="J74" s="23">
        <f>SUM(MonthlyScoresTABLE[[#This Row],[Fish 1 lbs.]:[Fish 5 lbs.]])</f>
        <v>0</v>
      </c>
      <c r="K74" s="19">
        <f>IF(COUNTA(MonthlyScoresTABLE[[#This Row],[Angler 1]:[Angler 2]])=1,0.15,0)</f>
        <v>0</v>
      </c>
      <c r="L74" s="23">
        <f>MonthlyScoresTABLE[[#This Row],[Weight]]+(MonthlyScoresTABLE[[#This Row],[Weight]]*MonthlyScoresTABLE[[#This Row],[Alone]])</f>
        <v>0</v>
      </c>
      <c r="M74" s="21">
        <f>IF(MonthlyScoresTABLE[[#This Row],[Minutes Late]]=0,0,IF(MonthlyScoresTABLE[[#This Row],[Minutes Late]]&lt;=5,0.5,IF(MonthlyScoresTABLE[[#This Row],[Minutes Late]]&gt;5,1)))</f>
        <v>0</v>
      </c>
      <c r="N74" s="23">
        <f>MonthlyScoresTABLE[[#This Row],[Weight Subtotal]]-(MonthlyScoresTABLE[[#This Row],[Weight Subtotal]]*MonthlyScoresTABLE[[#This Row],[Late]])</f>
        <v>0</v>
      </c>
      <c r="O74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74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74" s="20">
        <f>COUNT(MonthlyScoresTABLE[[#This Row],[Fish 1]:[Fish 5]])</f>
        <v>0</v>
      </c>
      <c r="R74" s="23">
        <f>MAX(MonthlyScoresTABLE[[#This Row],[Fish 1]:[Fish 5]])</f>
        <v>0</v>
      </c>
      <c r="S74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74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74</v>
      </c>
      <c r="U74" s="3">
        <f>IFERROR(VLOOKUP(MROUND(D74,0.25),Table4[],2,FALSE),0)</f>
        <v>0</v>
      </c>
      <c r="V74" s="3">
        <f>IFERROR(VLOOKUP(MROUND(E74,0.25),Table4[],2,FALSE),0)</f>
        <v>0</v>
      </c>
      <c r="W74" s="3">
        <f>IFERROR(VLOOKUP(MROUND(F74,0.25),Table4[],2,FALSE),0)</f>
        <v>0</v>
      </c>
      <c r="X74" s="3">
        <f>IFERROR(VLOOKUP(MROUND(G74,0.25),Table4[],2,FALSE),0)</f>
        <v>0</v>
      </c>
      <c r="Y74" s="3">
        <f>IFERROR(VLOOKUP(MROUND(H74,0.25),Table4[],2,FALSE),0)</f>
        <v>0</v>
      </c>
    </row>
    <row r="75" spans="4:25" hidden="1" x14ac:dyDescent="0.3">
      <c r="D75" s="29"/>
      <c r="E75" s="29"/>
      <c r="F75" s="29"/>
      <c r="G75" s="29"/>
      <c r="H75" s="29"/>
      <c r="I75" s="31"/>
      <c r="J75" s="23">
        <f>SUM(MonthlyScoresTABLE[[#This Row],[Fish 1 lbs.]:[Fish 5 lbs.]])</f>
        <v>0</v>
      </c>
      <c r="K75" s="19">
        <f>IF(COUNTA(MonthlyScoresTABLE[[#This Row],[Angler 1]:[Angler 2]])=1,0.15,0)</f>
        <v>0</v>
      </c>
      <c r="L75" s="23">
        <f>MonthlyScoresTABLE[[#This Row],[Weight]]+(MonthlyScoresTABLE[[#This Row],[Weight]]*MonthlyScoresTABLE[[#This Row],[Alone]])</f>
        <v>0</v>
      </c>
      <c r="M75" s="21">
        <f>IF(MonthlyScoresTABLE[[#This Row],[Minutes Late]]=0,0,IF(MonthlyScoresTABLE[[#This Row],[Minutes Late]]&lt;=5,0.5,IF(MonthlyScoresTABLE[[#This Row],[Minutes Late]]&gt;5,1)))</f>
        <v>0</v>
      </c>
      <c r="N75" s="23">
        <f>MonthlyScoresTABLE[[#This Row],[Weight Subtotal]]-(MonthlyScoresTABLE[[#This Row],[Weight Subtotal]]*MonthlyScoresTABLE[[#This Row],[Late]])</f>
        <v>0</v>
      </c>
      <c r="O75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75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75" s="20">
        <f>COUNT(MonthlyScoresTABLE[[#This Row],[Fish 1]:[Fish 5]])</f>
        <v>0</v>
      </c>
      <c r="R75" s="23">
        <f>MAX(MonthlyScoresTABLE[[#This Row],[Fish 1]:[Fish 5]])</f>
        <v>0</v>
      </c>
      <c r="S75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75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75</v>
      </c>
      <c r="U75" s="3">
        <f>IFERROR(VLOOKUP(MROUND(D75,0.25),Table4[],2,FALSE),0)</f>
        <v>0</v>
      </c>
      <c r="V75" s="3">
        <f>IFERROR(VLOOKUP(MROUND(E75,0.25),Table4[],2,FALSE),0)</f>
        <v>0</v>
      </c>
      <c r="W75" s="3">
        <f>IFERROR(VLOOKUP(MROUND(F75,0.25),Table4[],2,FALSE),0)</f>
        <v>0</v>
      </c>
      <c r="X75" s="3">
        <f>IFERROR(VLOOKUP(MROUND(G75,0.25),Table4[],2,FALSE),0)</f>
        <v>0</v>
      </c>
      <c r="Y75" s="3">
        <f>IFERROR(VLOOKUP(MROUND(H75,0.25),Table4[],2,FALSE),0)</f>
        <v>0</v>
      </c>
    </row>
    <row r="76" spans="4:25" hidden="1" x14ac:dyDescent="0.3">
      <c r="D76" s="29"/>
      <c r="E76" s="29"/>
      <c r="F76" s="29"/>
      <c r="G76" s="29"/>
      <c r="H76" s="29"/>
      <c r="I76" s="31"/>
      <c r="J76" s="23">
        <f>SUM(MonthlyScoresTABLE[[#This Row],[Fish 1 lbs.]:[Fish 5 lbs.]])</f>
        <v>0</v>
      </c>
      <c r="K76" s="19">
        <f>IF(COUNTA(MonthlyScoresTABLE[[#This Row],[Angler 1]:[Angler 2]])=1,0.15,0)</f>
        <v>0</v>
      </c>
      <c r="L76" s="23">
        <f>MonthlyScoresTABLE[[#This Row],[Weight]]+(MonthlyScoresTABLE[[#This Row],[Weight]]*MonthlyScoresTABLE[[#This Row],[Alone]])</f>
        <v>0</v>
      </c>
      <c r="M76" s="21">
        <f>IF(MonthlyScoresTABLE[[#This Row],[Minutes Late]]=0,0,IF(MonthlyScoresTABLE[[#This Row],[Minutes Late]]&lt;=5,0.5,IF(MonthlyScoresTABLE[[#This Row],[Minutes Late]]&gt;5,1)))</f>
        <v>0</v>
      </c>
      <c r="N76" s="23">
        <f>MonthlyScoresTABLE[[#This Row],[Weight Subtotal]]-(MonthlyScoresTABLE[[#This Row],[Weight Subtotal]]*MonthlyScoresTABLE[[#This Row],[Late]])</f>
        <v>0</v>
      </c>
      <c r="O76" s="22" t="str">
        <f>IF(MonthlyScoresTABLE[[#This Row],[Weight Total]]&gt;0,COUNTIFS(MonthlyScoresTABLE[Month],MonthlyScoresTABLE[[#This Row],[Month]],MonthlyScoresTABLE[Weight Total],"&gt;"&amp;MonthlyScoresTABLE[[#This Row],[Weight Total]])+1,"")</f>
        <v/>
      </c>
      <c r="P76" s="27">
        <f>IF(MonthlyScoresTABLE[[#This Row],[Weight Total]]&gt;0,IF(MonthlyScoresTABLE[[#This Row],[Place]]=1,100,MonthlyScoresTABLE[[#This Row],[Weight Total]]/_xlfn.MAXIFS(MonthlyScoresTABLE[Weight Total],MonthlyScoresTABLE[Month],MonthlyScoresTABLE[[#This Row],[Month]])*100),IF(AND(ISTEXT(MonthlyScoresTABLE[[#This Row],[Angler 1]]),MonthlyScoresTABLE[[#This Row],[Weight]]=0),1,0))</f>
        <v>0</v>
      </c>
      <c r="Q76" s="20">
        <f>COUNT(MonthlyScoresTABLE[[#This Row],[Fish 1]:[Fish 5]])</f>
        <v>0</v>
      </c>
      <c r="R76" s="23">
        <f>MAX(MonthlyScoresTABLE[[#This Row],[Fish 1]:[Fish 5]])</f>
        <v>0</v>
      </c>
      <c r="S76" s="22" t="str">
        <f>IF(AND(MonthlyScoresTABLE[[#This Row],[Largest Fish]]&gt;0,_xlfn.MAXIFS(MonthlyScoresTABLE[Largest Fish],MonthlyScoresTABLE[Month],MonthlyScoresTABLE[[#This Row],[Month]])=MonthlyScoresTABLE[[#This Row],[Largest Fish]]),TRUE,"")</f>
        <v/>
      </c>
      <c r="T76" s="22" t="str">
        <f>IF(ISBLANK(MonthlyScoresTABLE[[#This Row],[Angler 1]]),"Row " &amp;ROW(),IF(ISBLANK(MonthlyScoresTABLE[[#This Row],[Angler 2]]),MonthlyScoresTABLE[[#This Row],[Angler 1]] &amp; " Row " &amp; ROW(), IF(MonthlyScoresTABLE[[#This Row],[Angler 1]]&gt;MonthlyScoresTABLE[[#This Row],[Angler 2]],CONCATENATE(MonthlyScoresTABLE[[#This Row],[Angler 1]],"|",MonthlyScoresTABLE[[#This Row],[Angler 2]]),IF(MonthlyScoresTABLE[[#This Row],[Angler 1]]&lt;MonthlyScoresTABLE[[#This Row],[Angler 2]],CONCATENATE(MonthlyScoresTABLE[[#This Row],[Angler 2]],"|",MonthlyScoresTABLE[[#This Row],[Angler 1]])))))</f>
        <v>Row 76</v>
      </c>
      <c r="U76" s="3">
        <f>IFERROR(VLOOKUP(MROUND(D76,0.25),Table4[],2,FALSE),0)</f>
        <v>0</v>
      </c>
      <c r="V76" s="3">
        <f>IFERROR(VLOOKUP(MROUND(E76,0.25),Table4[],2,FALSE),0)</f>
        <v>0</v>
      </c>
      <c r="W76" s="3">
        <f>IFERROR(VLOOKUP(MROUND(F76,0.25),Table4[],2,FALSE),0)</f>
        <v>0</v>
      </c>
      <c r="X76" s="3">
        <f>IFERROR(VLOOKUP(MROUND(G76,0.25),Table4[],2,FALSE),0)</f>
        <v>0</v>
      </c>
      <c r="Y76" s="3">
        <f>IFERROR(VLOOKUP(MROUND(H76,0.25),Table4[],2,FALSE),0)</f>
        <v>0</v>
      </c>
    </row>
  </sheetData>
  <sheetProtection formatColumns="0" formatRows="0" insertRows="0" deleteRows="0" sort="0" autoFilter="0" pivotTables="0"/>
  <conditionalFormatting sqref="T2:T76">
    <cfRule type="duplicateValues" dxfId="44" priority="24"/>
  </conditionalFormatting>
  <conditionalFormatting sqref="B2">
    <cfRule type="duplicateValues" dxfId="43" priority="16"/>
  </conditionalFormatting>
  <conditionalFormatting sqref="C2">
    <cfRule type="duplicateValues" dxfId="42" priority="15"/>
  </conditionalFormatting>
  <conditionalFormatting sqref="B3">
    <cfRule type="duplicateValues" dxfId="41" priority="14"/>
  </conditionalFormatting>
  <conditionalFormatting sqref="C3">
    <cfRule type="duplicateValues" dxfId="40" priority="13"/>
  </conditionalFormatting>
  <conditionalFormatting sqref="B4">
    <cfRule type="duplicateValues" dxfId="39" priority="12"/>
  </conditionalFormatting>
  <conditionalFormatting sqref="C4">
    <cfRule type="duplicateValues" dxfId="38" priority="11"/>
  </conditionalFormatting>
  <conditionalFormatting sqref="B5">
    <cfRule type="duplicateValues" dxfId="37" priority="10"/>
  </conditionalFormatting>
  <conditionalFormatting sqref="C5">
    <cfRule type="duplicateValues" dxfId="36" priority="9"/>
  </conditionalFormatting>
  <conditionalFormatting sqref="B6">
    <cfRule type="duplicateValues" dxfId="35" priority="8"/>
  </conditionalFormatting>
  <conditionalFormatting sqref="C6">
    <cfRule type="duplicateValues" dxfId="34" priority="7"/>
  </conditionalFormatting>
  <conditionalFormatting sqref="B7">
    <cfRule type="duplicateValues" dxfId="33" priority="6"/>
  </conditionalFormatting>
  <conditionalFormatting sqref="C7">
    <cfRule type="duplicateValues" dxfId="32" priority="5"/>
  </conditionalFormatting>
  <conditionalFormatting sqref="B8">
    <cfRule type="duplicateValues" dxfId="31" priority="4"/>
  </conditionalFormatting>
  <conditionalFormatting sqref="C8">
    <cfRule type="duplicateValues" dxfId="30" priority="3"/>
  </conditionalFormatting>
  <conditionalFormatting sqref="B9:B10">
    <cfRule type="duplicateValues" dxfId="29" priority="2"/>
  </conditionalFormatting>
  <conditionalFormatting sqref="C9:C10">
    <cfRule type="duplicateValues" dxfId="28" priority="1"/>
  </conditionalFormatting>
  <dataValidations count="1">
    <dataValidation type="list" allowBlank="1" showInputMessage="1" showErrorMessage="1" sqref="B2:C76" xr:uid="{48EF19AD-C66D-4967-995A-4F7BEC49C4B3}">
      <formula1>RosterLIST</formula1>
    </dataValidation>
  </dataValidations>
  <pageMargins left="0.7" right="0.7" top="0.75" bottom="0.75" header="0.3" footer="0.3"/>
  <pageSetup orientation="portrait" horizontalDpi="4294967295" verticalDpi="4294967295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Month" error="Use the drop-down menu to select the month." xr:uid="{9A223CC2-9CBB-4EC3-8495-E32798A01967}">
          <x14:formula1>
            <xm:f>Data!$A$2:$A$10</xm:f>
          </x14:formula1>
          <xm:sqref>A2:A76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2AACC-11F8-47D7-9E0A-A3641B08EB23}">
  <sheetPr>
    <tabColor theme="1" tint="0.34998626667073579"/>
  </sheetPr>
  <dimension ref="A1:D102"/>
  <sheetViews>
    <sheetView showGridLines="0" workbookViewId="0">
      <selection activeCell="G37" sqref="G37"/>
    </sheetView>
  </sheetViews>
  <sheetFormatPr defaultRowHeight="14.4" x14ac:dyDescent="0.3"/>
  <cols>
    <col min="1" max="1" width="10.88671875" bestFit="1" customWidth="1"/>
    <col min="4" max="4" width="9.6640625" customWidth="1"/>
  </cols>
  <sheetData>
    <row r="1" spans="1:4" x14ac:dyDescent="0.3">
      <c r="A1" t="s">
        <v>52</v>
      </c>
      <c r="C1" t="s">
        <v>17</v>
      </c>
      <c r="D1" t="s">
        <v>18</v>
      </c>
    </row>
    <row r="2" spans="1:4" x14ac:dyDescent="0.3">
      <c r="A2" t="s">
        <v>1</v>
      </c>
      <c r="C2" s="3">
        <v>15</v>
      </c>
      <c r="D2" s="3">
        <f>Table4[[#This Row],[Length]]^3/2700</f>
        <v>1.25</v>
      </c>
    </row>
    <row r="3" spans="1:4" x14ac:dyDescent="0.3">
      <c r="A3" t="s">
        <v>2</v>
      </c>
      <c r="C3" s="3">
        <v>15.25</v>
      </c>
      <c r="D3" s="3">
        <f>Table4[[#This Row],[Length]]^3/2700</f>
        <v>1.3135474537037037</v>
      </c>
    </row>
    <row r="4" spans="1:4" x14ac:dyDescent="0.3">
      <c r="A4" t="s">
        <v>3</v>
      </c>
      <c r="C4" s="3">
        <v>15.5</v>
      </c>
      <c r="D4" s="3">
        <f>Table4[[#This Row],[Length]]^3/2700</f>
        <v>1.379212962962963</v>
      </c>
    </row>
    <row r="5" spans="1:4" x14ac:dyDescent="0.3">
      <c r="A5" t="s">
        <v>4</v>
      </c>
      <c r="C5" s="3">
        <v>15.75</v>
      </c>
      <c r="D5" s="3">
        <f>Table4[[#This Row],[Length]]^3/2700</f>
        <v>1.44703125</v>
      </c>
    </row>
    <row r="6" spans="1:4" x14ac:dyDescent="0.3">
      <c r="A6" t="s">
        <v>53</v>
      </c>
      <c r="C6" s="3">
        <v>16</v>
      </c>
      <c r="D6" s="3">
        <f>Table4[[#This Row],[Length]]^3/2700</f>
        <v>1.517037037037037</v>
      </c>
    </row>
    <row r="7" spans="1:4" x14ac:dyDescent="0.3">
      <c r="A7" t="s">
        <v>54</v>
      </c>
      <c r="C7" s="3">
        <v>16.25</v>
      </c>
      <c r="D7" s="3">
        <f>Table4[[#This Row],[Length]]^3/2700</f>
        <v>1.5892650462962963</v>
      </c>
    </row>
    <row r="8" spans="1:4" x14ac:dyDescent="0.3">
      <c r="A8" t="s">
        <v>55</v>
      </c>
      <c r="C8" s="3">
        <v>16.5</v>
      </c>
      <c r="D8" s="3">
        <f>Table4[[#This Row],[Length]]^3/2700</f>
        <v>1.6637500000000001</v>
      </c>
    </row>
    <row r="9" spans="1:4" x14ac:dyDescent="0.3">
      <c r="A9" t="s">
        <v>56</v>
      </c>
      <c r="C9" s="3">
        <v>16.75</v>
      </c>
      <c r="D9" s="3">
        <f>Table4[[#This Row],[Length]]^3/2700</f>
        <v>1.7405266203703704</v>
      </c>
    </row>
    <row r="10" spans="1:4" x14ac:dyDescent="0.3">
      <c r="A10" t="s">
        <v>57</v>
      </c>
      <c r="C10" s="3">
        <v>17</v>
      </c>
      <c r="D10" s="3">
        <f>Table4[[#This Row],[Length]]^3/2700</f>
        <v>1.8196296296296297</v>
      </c>
    </row>
    <row r="11" spans="1:4" x14ac:dyDescent="0.3">
      <c r="C11" s="3">
        <v>17.25</v>
      </c>
      <c r="D11" s="3">
        <f>Table4[[#This Row],[Length]]^3/2700</f>
        <v>1.90109375</v>
      </c>
    </row>
    <row r="12" spans="1:4" x14ac:dyDescent="0.3">
      <c r="C12" s="3">
        <v>17.5</v>
      </c>
      <c r="D12" s="3">
        <f>Table4[[#This Row],[Length]]^3/2700</f>
        <v>1.9849537037037037</v>
      </c>
    </row>
    <row r="13" spans="1:4" x14ac:dyDescent="0.3">
      <c r="C13" s="3">
        <v>17.75</v>
      </c>
      <c r="D13" s="3">
        <f>Table4[[#This Row],[Length]]^3/2700</f>
        <v>2.0712442129629629</v>
      </c>
    </row>
    <row r="14" spans="1:4" x14ac:dyDescent="0.3">
      <c r="C14" s="3">
        <v>18</v>
      </c>
      <c r="D14" s="3">
        <f>Table4[[#This Row],[Length]]^3/2700</f>
        <v>2.16</v>
      </c>
    </row>
    <row r="15" spans="1:4" x14ac:dyDescent="0.3">
      <c r="C15" s="3">
        <v>18.25</v>
      </c>
      <c r="D15" s="3">
        <f>Table4[[#This Row],[Length]]^3/2700</f>
        <v>2.2512557870370369</v>
      </c>
    </row>
    <row r="16" spans="1:4" x14ac:dyDescent="0.3">
      <c r="C16" s="3">
        <v>18.5</v>
      </c>
      <c r="D16" s="3">
        <f>Table4[[#This Row],[Length]]^3/2700</f>
        <v>2.3450462962962964</v>
      </c>
    </row>
    <row r="17" spans="3:4" x14ac:dyDescent="0.3">
      <c r="C17" s="3">
        <v>18.75</v>
      </c>
      <c r="D17" s="3">
        <f>Table4[[#This Row],[Length]]^3/2700</f>
        <v>2.44140625</v>
      </c>
    </row>
    <row r="18" spans="3:4" x14ac:dyDescent="0.3">
      <c r="C18" s="3">
        <v>19</v>
      </c>
      <c r="D18" s="3">
        <f>Table4[[#This Row],[Length]]^3/2700</f>
        <v>2.5403703703703702</v>
      </c>
    </row>
    <row r="19" spans="3:4" x14ac:dyDescent="0.3">
      <c r="C19" s="3">
        <v>19.25</v>
      </c>
      <c r="D19" s="3">
        <f>Table4[[#This Row],[Length]]^3/2700</f>
        <v>2.6419733796296296</v>
      </c>
    </row>
    <row r="20" spans="3:4" x14ac:dyDescent="0.3">
      <c r="C20" s="3">
        <v>19.5</v>
      </c>
      <c r="D20" s="3">
        <f>Table4[[#This Row],[Length]]^3/2700</f>
        <v>2.7462499999999999</v>
      </c>
    </row>
    <row r="21" spans="3:4" x14ac:dyDescent="0.3">
      <c r="C21" s="3">
        <v>19.75</v>
      </c>
      <c r="D21" s="3">
        <f>Table4[[#This Row],[Length]]^3/2700</f>
        <v>2.8532349537037036</v>
      </c>
    </row>
    <row r="22" spans="3:4" x14ac:dyDescent="0.3">
      <c r="C22" s="3">
        <v>20</v>
      </c>
      <c r="D22" s="3">
        <f>Table4[[#This Row],[Length]]^3/2700</f>
        <v>2.9629629629629628</v>
      </c>
    </row>
    <row r="23" spans="3:4" x14ac:dyDescent="0.3">
      <c r="C23" s="3">
        <v>20.25</v>
      </c>
      <c r="D23" s="3">
        <f>Table4[[#This Row],[Length]]^3/2700</f>
        <v>3.0754687500000002</v>
      </c>
    </row>
    <row r="24" spans="3:4" x14ac:dyDescent="0.3">
      <c r="C24" s="3">
        <v>20.5</v>
      </c>
      <c r="D24" s="3">
        <f>Table4[[#This Row],[Length]]^3/2700</f>
        <v>3.1907870370370373</v>
      </c>
    </row>
    <row r="25" spans="3:4" x14ac:dyDescent="0.3">
      <c r="C25" s="3">
        <v>20.75</v>
      </c>
      <c r="D25" s="3">
        <f>Table4[[#This Row],[Length]]^3/2700</f>
        <v>3.3089525462962963</v>
      </c>
    </row>
    <row r="26" spans="3:4" x14ac:dyDescent="0.3">
      <c r="C26" s="3">
        <v>21</v>
      </c>
      <c r="D26" s="3">
        <f>Table4[[#This Row],[Length]]^3/2700</f>
        <v>3.43</v>
      </c>
    </row>
    <row r="27" spans="3:4" x14ac:dyDescent="0.3">
      <c r="C27" s="3">
        <v>21.25</v>
      </c>
      <c r="D27" s="3">
        <f>Table4[[#This Row],[Length]]^3/2700</f>
        <v>3.5539641203703702</v>
      </c>
    </row>
    <row r="28" spans="3:4" x14ac:dyDescent="0.3">
      <c r="C28" s="3">
        <v>21.5</v>
      </c>
      <c r="D28" s="3">
        <f>Table4[[#This Row],[Length]]^3/2700</f>
        <v>3.6808796296296298</v>
      </c>
    </row>
    <row r="29" spans="3:4" x14ac:dyDescent="0.3">
      <c r="C29" s="3">
        <v>21.75</v>
      </c>
      <c r="D29" s="3">
        <f>Table4[[#This Row],[Length]]^3/2700</f>
        <v>3.8107812499999998</v>
      </c>
    </row>
    <row r="30" spans="3:4" x14ac:dyDescent="0.3">
      <c r="C30" s="3">
        <v>22</v>
      </c>
      <c r="D30" s="3">
        <f>Table4[[#This Row],[Length]]^3/2700</f>
        <v>3.9437037037037035</v>
      </c>
    </row>
    <row r="31" spans="3:4" x14ac:dyDescent="0.3">
      <c r="C31" s="3">
        <v>22.25</v>
      </c>
      <c r="D31" s="3">
        <f>Table4[[#This Row],[Length]]^3/2700</f>
        <v>4.0796817129629632</v>
      </c>
    </row>
    <row r="32" spans="3:4" x14ac:dyDescent="0.3">
      <c r="C32" s="3">
        <v>22.5</v>
      </c>
      <c r="D32" s="3">
        <f>Table4[[#This Row],[Length]]^3/2700</f>
        <v>4.21875</v>
      </c>
    </row>
    <row r="33" spans="3:4" x14ac:dyDescent="0.3">
      <c r="C33" s="3">
        <v>22.75</v>
      </c>
      <c r="D33" s="3">
        <f>Table4[[#This Row],[Length]]^3/2700</f>
        <v>4.3609432870370366</v>
      </c>
    </row>
    <row r="34" spans="3:4" x14ac:dyDescent="0.3">
      <c r="C34" s="3">
        <v>23</v>
      </c>
      <c r="D34" s="3">
        <f>Table4[[#This Row],[Length]]^3/2700</f>
        <v>4.5062962962962967</v>
      </c>
    </row>
    <row r="35" spans="3:4" x14ac:dyDescent="0.3">
      <c r="C35" s="3">
        <v>23.25</v>
      </c>
      <c r="D35" s="3">
        <f>Table4[[#This Row],[Length]]^3/2700</f>
        <v>4.6548437500000004</v>
      </c>
    </row>
    <row r="36" spans="3:4" x14ac:dyDescent="0.3">
      <c r="C36" s="3">
        <v>23.5</v>
      </c>
      <c r="D36" s="3">
        <f>Table4[[#This Row],[Length]]^3/2700</f>
        <v>4.8066203703703705</v>
      </c>
    </row>
    <row r="37" spans="3:4" x14ac:dyDescent="0.3">
      <c r="C37" s="3">
        <v>23.75</v>
      </c>
      <c r="D37" s="3">
        <f>Table4[[#This Row],[Length]]^3/2700</f>
        <v>4.9616608796296298</v>
      </c>
    </row>
    <row r="38" spans="3:4" x14ac:dyDescent="0.3">
      <c r="C38" s="3">
        <v>24</v>
      </c>
      <c r="D38" s="3">
        <f>Table4[[#This Row],[Length]]^3/2700</f>
        <v>5.12</v>
      </c>
    </row>
    <row r="39" spans="3:4" x14ac:dyDescent="0.3">
      <c r="C39" s="3">
        <v>24.25</v>
      </c>
      <c r="D39" s="3">
        <f>Table4[[#This Row],[Length]]^3/2700</f>
        <v>5.2816724537037034</v>
      </c>
    </row>
    <row r="40" spans="3:4" x14ac:dyDescent="0.3">
      <c r="C40" s="3">
        <v>24.5</v>
      </c>
      <c r="D40" s="3">
        <f>Table4[[#This Row],[Length]]^3/2700</f>
        <v>5.4467129629629634</v>
      </c>
    </row>
    <row r="41" spans="3:4" x14ac:dyDescent="0.3">
      <c r="C41" s="3">
        <v>24.75</v>
      </c>
      <c r="D41" s="3">
        <f>Table4[[#This Row],[Length]]^3/2700</f>
        <v>5.6151562500000001</v>
      </c>
    </row>
    <row r="42" spans="3:4" x14ac:dyDescent="0.3">
      <c r="C42" s="3">
        <v>25</v>
      </c>
      <c r="D42" s="3">
        <f>Table4[[#This Row],[Length]]^3/2700</f>
        <v>5.7870370370370372</v>
      </c>
    </row>
    <row r="43" spans="3:4" x14ac:dyDescent="0.3">
      <c r="C43" s="3">
        <v>25.25</v>
      </c>
      <c r="D43" s="3">
        <f>Table4[[#This Row],[Length]]^3/2700</f>
        <v>5.9623900462962967</v>
      </c>
    </row>
    <row r="44" spans="3:4" x14ac:dyDescent="0.3">
      <c r="C44" s="3">
        <v>25.5</v>
      </c>
      <c r="D44" s="3">
        <f>Table4[[#This Row],[Length]]^3/2700</f>
        <v>6.1412500000000003</v>
      </c>
    </row>
    <row r="45" spans="3:4" x14ac:dyDescent="0.3">
      <c r="C45" s="3">
        <v>25.75</v>
      </c>
      <c r="D45" s="3">
        <f>Table4[[#This Row],[Length]]^3/2700</f>
        <v>6.3236516203703701</v>
      </c>
    </row>
    <row r="46" spans="3:4" x14ac:dyDescent="0.3">
      <c r="C46" s="3">
        <v>26</v>
      </c>
      <c r="D46" s="3">
        <f>Table4[[#This Row],[Length]]^3/2700</f>
        <v>6.5096296296296297</v>
      </c>
    </row>
    <row r="47" spans="3:4" x14ac:dyDescent="0.3">
      <c r="C47" s="3">
        <v>26.25</v>
      </c>
      <c r="D47" s="3">
        <f>Table4[[#This Row],[Length]]^3/2700</f>
        <v>6.69921875</v>
      </c>
    </row>
    <row r="48" spans="3:4" x14ac:dyDescent="0.3">
      <c r="C48" s="3">
        <v>26.5</v>
      </c>
      <c r="D48" s="3">
        <f>Table4[[#This Row],[Length]]^3/2700</f>
        <v>6.8924537037037039</v>
      </c>
    </row>
    <row r="49" spans="3:4" x14ac:dyDescent="0.3">
      <c r="C49" s="3">
        <v>26.75</v>
      </c>
      <c r="D49" s="3">
        <f>Table4[[#This Row],[Length]]^3/2700</f>
        <v>7.0893692129629633</v>
      </c>
    </row>
    <row r="50" spans="3:4" x14ac:dyDescent="0.3">
      <c r="C50" s="3">
        <v>27</v>
      </c>
      <c r="D50" s="3">
        <f>Table4[[#This Row],[Length]]^3/2700</f>
        <v>7.29</v>
      </c>
    </row>
    <row r="51" spans="3:4" x14ac:dyDescent="0.3">
      <c r="C51" s="3">
        <v>27.25</v>
      </c>
      <c r="D51" s="3">
        <f>Table4[[#This Row],[Length]]^3/2700</f>
        <v>7.4943807870370369</v>
      </c>
    </row>
    <row r="52" spans="3:4" x14ac:dyDescent="0.3">
      <c r="C52" s="3">
        <v>27.5</v>
      </c>
      <c r="D52" s="3">
        <f>Table4[[#This Row],[Length]]^3/2700</f>
        <v>7.7025462962962967</v>
      </c>
    </row>
    <row r="53" spans="3:4" x14ac:dyDescent="0.3">
      <c r="C53" s="3">
        <v>27.75</v>
      </c>
      <c r="D53" s="3">
        <f>Table4[[#This Row],[Length]]^3/2700</f>
        <v>7.9145312499999996</v>
      </c>
    </row>
    <row r="54" spans="3:4" x14ac:dyDescent="0.3">
      <c r="C54" s="3">
        <v>28</v>
      </c>
      <c r="D54" s="3">
        <f>Table4[[#This Row],[Length]]^3/2700</f>
        <v>8.13037037037037</v>
      </c>
    </row>
    <row r="55" spans="3:4" x14ac:dyDescent="0.3">
      <c r="C55" s="3">
        <v>28.25</v>
      </c>
      <c r="D55" s="3">
        <f>Table4[[#This Row],[Length]]^3/2700</f>
        <v>8.35009837962963</v>
      </c>
    </row>
    <row r="56" spans="3:4" x14ac:dyDescent="0.3">
      <c r="C56" s="3">
        <v>28.5</v>
      </c>
      <c r="D56" s="3">
        <f>Table4[[#This Row],[Length]]^3/2700</f>
        <v>8.5737500000000004</v>
      </c>
    </row>
    <row r="57" spans="3:4" x14ac:dyDescent="0.3">
      <c r="C57" s="3">
        <v>28.75</v>
      </c>
      <c r="D57" s="3">
        <f>Table4[[#This Row],[Length]]^3/2700</f>
        <v>8.8013599537037042</v>
      </c>
    </row>
    <row r="58" spans="3:4" x14ac:dyDescent="0.3">
      <c r="C58" s="3">
        <v>29</v>
      </c>
      <c r="D58" s="3">
        <f>Table4[[#This Row],[Length]]^3/2700</f>
        <v>9.0329629629629622</v>
      </c>
    </row>
    <row r="59" spans="3:4" x14ac:dyDescent="0.3">
      <c r="C59" s="3">
        <v>29.25</v>
      </c>
      <c r="D59" s="3">
        <f>Table4[[#This Row],[Length]]^3/2700</f>
        <v>9.2685937500000009</v>
      </c>
    </row>
    <row r="60" spans="3:4" x14ac:dyDescent="0.3">
      <c r="C60" s="3">
        <v>29.5</v>
      </c>
      <c r="D60" s="3">
        <f>Table4[[#This Row],[Length]]^3/2700</f>
        <v>9.5082870370370376</v>
      </c>
    </row>
    <row r="61" spans="3:4" x14ac:dyDescent="0.3">
      <c r="C61" s="3">
        <v>29.75</v>
      </c>
      <c r="D61" s="3">
        <f>Table4[[#This Row],[Length]]^3/2700</f>
        <v>9.752077546296297</v>
      </c>
    </row>
    <row r="62" spans="3:4" x14ac:dyDescent="0.3">
      <c r="C62" s="3">
        <v>30</v>
      </c>
      <c r="D62" s="3">
        <f>Table4[[#This Row],[Length]]^3/2700</f>
        <v>10</v>
      </c>
    </row>
    <row r="63" spans="3:4" x14ac:dyDescent="0.3">
      <c r="C63" s="3">
        <v>30.25</v>
      </c>
      <c r="D63" s="3">
        <f>Table4[[#This Row],[Length]]^3/2700</f>
        <v>10.252089120370371</v>
      </c>
    </row>
    <row r="64" spans="3:4" x14ac:dyDescent="0.3">
      <c r="C64" s="3">
        <v>30.5</v>
      </c>
      <c r="D64" s="3">
        <f>Table4[[#This Row],[Length]]^3/2700</f>
        <v>10.50837962962963</v>
      </c>
    </row>
    <row r="65" spans="3:4" x14ac:dyDescent="0.3">
      <c r="C65" s="3">
        <v>30.75</v>
      </c>
      <c r="D65" s="3">
        <f>Table4[[#This Row],[Length]]^3/2700</f>
        <v>10.768906250000001</v>
      </c>
    </row>
    <row r="66" spans="3:4" x14ac:dyDescent="0.3">
      <c r="C66" s="3">
        <v>31</v>
      </c>
      <c r="D66" s="3">
        <f>Table4[[#This Row],[Length]]^3/2700</f>
        <v>11.033703703703704</v>
      </c>
    </row>
    <row r="67" spans="3:4" x14ac:dyDescent="0.3">
      <c r="C67" s="3">
        <v>31.25</v>
      </c>
      <c r="D67" s="3">
        <f>Table4[[#This Row],[Length]]^3/2700</f>
        <v>11.302806712962964</v>
      </c>
    </row>
    <row r="68" spans="3:4" x14ac:dyDescent="0.3">
      <c r="C68" s="3">
        <v>31.5</v>
      </c>
      <c r="D68" s="3">
        <f>Table4[[#This Row],[Length]]^3/2700</f>
        <v>11.57625</v>
      </c>
    </row>
    <row r="69" spans="3:4" x14ac:dyDescent="0.3">
      <c r="C69" s="3">
        <v>31.75</v>
      </c>
      <c r="D69" s="3">
        <f>Table4[[#This Row],[Length]]^3/2700</f>
        <v>11.854068287037038</v>
      </c>
    </row>
    <row r="70" spans="3:4" x14ac:dyDescent="0.3">
      <c r="C70" s="3">
        <v>32</v>
      </c>
      <c r="D70" s="3">
        <f>Table4[[#This Row],[Length]]^3/2700</f>
        <v>12.136296296296296</v>
      </c>
    </row>
    <row r="71" spans="3:4" x14ac:dyDescent="0.3">
      <c r="C71" s="3">
        <v>32.25</v>
      </c>
      <c r="D71" s="3">
        <f>Table4[[#This Row],[Length]]^3/2700</f>
        <v>12.422968750000001</v>
      </c>
    </row>
    <row r="72" spans="3:4" x14ac:dyDescent="0.3">
      <c r="C72" s="3">
        <v>32.5</v>
      </c>
      <c r="D72" s="3">
        <f>Table4[[#This Row],[Length]]^3/2700</f>
        <v>12.71412037037037</v>
      </c>
    </row>
    <row r="73" spans="3:4" x14ac:dyDescent="0.3">
      <c r="C73" s="3">
        <v>32.75</v>
      </c>
      <c r="D73" s="3">
        <f>Table4[[#This Row],[Length]]^3/2700</f>
        <v>13.00978587962963</v>
      </c>
    </row>
    <row r="74" spans="3:4" x14ac:dyDescent="0.3">
      <c r="C74" s="3">
        <v>33</v>
      </c>
      <c r="D74" s="3">
        <f>Table4[[#This Row],[Length]]^3/2700</f>
        <v>13.31</v>
      </c>
    </row>
    <row r="75" spans="3:4" x14ac:dyDescent="0.3">
      <c r="C75" s="3">
        <v>33.25</v>
      </c>
      <c r="D75" s="3">
        <f>Table4[[#This Row],[Length]]^3/2700</f>
        <v>13.614797453703703</v>
      </c>
    </row>
    <row r="76" spans="3:4" x14ac:dyDescent="0.3">
      <c r="C76" s="3">
        <v>33.5</v>
      </c>
      <c r="D76" s="3">
        <f>Table4[[#This Row],[Length]]^3/2700</f>
        <v>13.924212962962963</v>
      </c>
    </row>
    <row r="77" spans="3:4" x14ac:dyDescent="0.3">
      <c r="C77" s="3">
        <v>33.75</v>
      </c>
      <c r="D77" s="3">
        <f>Table4[[#This Row],[Length]]^3/2700</f>
        <v>14.23828125</v>
      </c>
    </row>
    <row r="78" spans="3:4" x14ac:dyDescent="0.3">
      <c r="C78" s="3">
        <v>34</v>
      </c>
      <c r="D78" s="3">
        <f>Table4[[#This Row],[Length]]^3/2700</f>
        <v>14.557037037037038</v>
      </c>
    </row>
    <row r="79" spans="3:4" x14ac:dyDescent="0.3">
      <c r="C79" s="3">
        <v>34.25</v>
      </c>
      <c r="D79" s="3">
        <f>Table4[[#This Row],[Length]]^3/2700</f>
        <v>14.880515046296296</v>
      </c>
    </row>
    <row r="80" spans="3:4" x14ac:dyDescent="0.3">
      <c r="C80" s="3">
        <v>34.5</v>
      </c>
      <c r="D80" s="3">
        <f>Table4[[#This Row],[Length]]^3/2700</f>
        <v>15.20875</v>
      </c>
    </row>
    <row r="81" spans="3:4" x14ac:dyDescent="0.3">
      <c r="C81" s="3">
        <v>34.75</v>
      </c>
      <c r="D81" s="3">
        <f>Table4[[#This Row],[Length]]^3/2700</f>
        <v>15.541776620370371</v>
      </c>
    </row>
    <row r="82" spans="3:4" x14ac:dyDescent="0.3">
      <c r="C82" s="3">
        <v>35</v>
      </c>
      <c r="D82" s="3">
        <f>Table4[[#This Row],[Length]]^3/2700</f>
        <v>15.87962962962963</v>
      </c>
    </row>
    <row r="83" spans="3:4" x14ac:dyDescent="0.3">
      <c r="C83" s="3">
        <v>35.25</v>
      </c>
      <c r="D83" s="3">
        <f>Table4[[#This Row],[Length]]^3/2700</f>
        <v>16.22234375</v>
      </c>
    </row>
    <row r="84" spans="3:4" x14ac:dyDescent="0.3">
      <c r="C84" s="3">
        <v>35.5</v>
      </c>
      <c r="D84" s="3">
        <f>Table4[[#This Row],[Length]]^3/2700</f>
        <v>16.569953703703703</v>
      </c>
    </row>
    <row r="85" spans="3:4" x14ac:dyDescent="0.3">
      <c r="C85" s="3">
        <v>35.75</v>
      </c>
      <c r="D85" s="3">
        <f>Table4[[#This Row],[Length]]^3/2700</f>
        <v>16.922494212962963</v>
      </c>
    </row>
    <row r="86" spans="3:4" x14ac:dyDescent="0.3">
      <c r="C86" s="3">
        <v>36</v>
      </c>
      <c r="D86" s="3">
        <f>Table4[[#This Row],[Length]]^3/2700</f>
        <v>17.28</v>
      </c>
    </row>
    <row r="87" spans="3:4" x14ac:dyDescent="0.3">
      <c r="C87" s="3">
        <v>36.25</v>
      </c>
      <c r="D87" s="3">
        <f>Table4[[#This Row],[Length]]^3/2700</f>
        <v>17.642505787037038</v>
      </c>
    </row>
    <row r="88" spans="3:4" x14ac:dyDescent="0.3">
      <c r="C88" s="3">
        <v>36.5</v>
      </c>
      <c r="D88" s="3">
        <f>Table4[[#This Row],[Length]]^3/2700</f>
        <v>18.010046296296295</v>
      </c>
    </row>
    <row r="89" spans="3:4" x14ac:dyDescent="0.3">
      <c r="C89" s="3">
        <v>36.75</v>
      </c>
      <c r="D89" s="3">
        <f>Table4[[#This Row],[Length]]^3/2700</f>
        <v>18.38265625</v>
      </c>
    </row>
    <row r="90" spans="3:4" x14ac:dyDescent="0.3">
      <c r="C90" s="3">
        <v>37</v>
      </c>
      <c r="D90" s="3">
        <f>Table4[[#This Row],[Length]]^3/2700</f>
        <v>18.760370370370371</v>
      </c>
    </row>
    <row r="91" spans="3:4" x14ac:dyDescent="0.3">
      <c r="C91" s="3">
        <v>37.25</v>
      </c>
      <c r="D91" s="3">
        <f>Table4[[#This Row],[Length]]^3/2700</f>
        <v>19.143223379629628</v>
      </c>
    </row>
    <row r="92" spans="3:4" x14ac:dyDescent="0.3">
      <c r="C92" s="3">
        <v>37.5</v>
      </c>
      <c r="D92" s="3">
        <f>Table4[[#This Row],[Length]]^3/2700</f>
        <v>19.53125</v>
      </c>
    </row>
    <row r="93" spans="3:4" x14ac:dyDescent="0.3">
      <c r="C93" s="3">
        <v>37.75</v>
      </c>
      <c r="D93" s="3">
        <f>Table4[[#This Row],[Length]]^3/2700</f>
        <v>19.924484953703704</v>
      </c>
    </row>
    <row r="94" spans="3:4" x14ac:dyDescent="0.3">
      <c r="C94" s="3">
        <v>38</v>
      </c>
      <c r="D94" s="3">
        <f>Table4[[#This Row],[Length]]^3/2700</f>
        <v>20.322962962962961</v>
      </c>
    </row>
    <row r="95" spans="3:4" x14ac:dyDescent="0.3">
      <c r="C95" s="3">
        <v>38.25</v>
      </c>
      <c r="D95" s="3">
        <f>Table4[[#This Row],[Length]]^3/2700</f>
        <v>20.72671875</v>
      </c>
    </row>
    <row r="96" spans="3:4" x14ac:dyDescent="0.3">
      <c r="C96" s="3">
        <v>38.5</v>
      </c>
      <c r="D96" s="3">
        <f>Table4[[#This Row],[Length]]^3/2700</f>
        <v>21.135787037037037</v>
      </c>
    </row>
    <row r="97" spans="3:4" x14ac:dyDescent="0.3">
      <c r="C97" s="3">
        <v>38.75</v>
      </c>
      <c r="D97" s="3">
        <f>Table4[[#This Row],[Length]]^3/2700</f>
        <v>21.550202546296298</v>
      </c>
    </row>
    <row r="98" spans="3:4" x14ac:dyDescent="0.3">
      <c r="C98" s="3">
        <v>39</v>
      </c>
      <c r="D98" s="3">
        <f>Table4[[#This Row],[Length]]^3/2700</f>
        <v>21.97</v>
      </c>
    </row>
    <row r="99" spans="3:4" x14ac:dyDescent="0.3">
      <c r="C99" s="3">
        <v>39.25</v>
      </c>
      <c r="D99" s="3">
        <f>Table4[[#This Row],[Length]]^3/2700</f>
        <v>22.395214120370369</v>
      </c>
    </row>
    <row r="100" spans="3:4" x14ac:dyDescent="0.3">
      <c r="C100" s="3">
        <v>39.5</v>
      </c>
      <c r="D100" s="3">
        <f>Table4[[#This Row],[Length]]^3/2700</f>
        <v>22.825879629629629</v>
      </c>
    </row>
    <row r="101" spans="3:4" x14ac:dyDescent="0.3">
      <c r="C101" s="3">
        <v>39.75</v>
      </c>
      <c r="D101" s="3">
        <f>Table4[[#This Row],[Length]]^3/2700</f>
        <v>23.26203125</v>
      </c>
    </row>
    <row r="102" spans="3:4" x14ac:dyDescent="0.3">
      <c r="C102" s="3">
        <v>40</v>
      </c>
      <c r="D102" s="3">
        <f>Table4[[#This Row],[Length]]^3/2700</f>
        <v>23.703703703703702</v>
      </c>
    </row>
  </sheetData>
  <sheetProtection algorithmName="SHA-512" hashValue="dPFNYZgBp52nDmEHITRJ1IbGObhepbMnn+Fu6yqR/+EypOpsxdp1OqeUuu3y4xqmmRX8xc346oji4m6Ld1iyfw==" saltValue="Y/rEqEcW9HE+0R9UA9GTuw==" spinCount="100000" sheet="1" objects="1" scenarios="1"/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3CFE9-5CDC-4DA7-A2CA-FFB6938D89A3}">
  <sheetPr>
    <pageSetUpPr fitToPage="1"/>
  </sheetPr>
  <dimension ref="A1:U27"/>
  <sheetViews>
    <sheetView showGridLines="0" showRowColHeaders="0" zoomScaleNormal="100" workbookViewId="0">
      <selection activeCell="F14" sqref="F14"/>
    </sheetView>
  </sheetViews>
  <sheetFormatPr defaultRowHeight="14.4" x14ac:dyDescent="0.3"/>
  <cols>
    <col min="1" max="1" width="21.88671875" customWidth="1"/>
    <col min="2" max="6" width="7.33203125" customWidth="1"/>
    <col min="11" max="12" width="8.33203125" customWidth="1"/>
    <col min="13" max="13" width="1.109375" customWidth="1"/>
    <col min="14" max="15" width="8.33203125" customWidth="1"/>
    <col min="16" max="16" width="1.109375" customWidth="1"/>
    <col min="17" max="18" width="8.33203125" customWidth="1"/>
    <col min="19" max="19" width="1.109375" customWidth="1"/>
    <col min="20" max="21" width="8.33203125" customWidth="1"/>
  </cols>
  <sheetData>
    <row r="1" spans="1:21" x14ac:dyDescent="0.3">
      <c r="A1" t="s">
        <v>21</v>
      </c>
    </row>
    <row r="2" spans="1:21" ht="19.5" customHeight="1" x14ac:dyDescent="0.3">
      <c r="A2" s="5" t="s">
        <v>22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5</v>
      </c>
      <c r="H2" s="5" t="s">
        <v>6</v>
      </c>
      <c r="I2" s="5" t="s">
        <v>14</v>
      </c>
      <c r="J2" s="5" t="s">
        <v>15</v>
      </c>
      <c r="K2" s="7" t="s">
        <v>17</v>
      </c>
      <c r="L2" s="7" t="s">
        <v>18</v>
      </c>
      <c r="M2" s="9"/>
      <c r="N2" s="7" t="s">
        <v>17</v>
      </c>
      <c r="O2" s="7" t="s">
        <v>18</v>
      </c>
      <c r="P2" s="8"/>
      <c r="Q2" s="7" t="s">
        <v>17</v>
      </c>
      <c r="R2" s="7" t="s">
        <v>18</v>
      </c>
      <c r="S2" s="13"/>
      <c r="T2" s="7" t="s">
        <v>17</v>
      </c>
      <c r="U2" s="7" t="s">
        <v>18</v>
      </c>
    </row>
    <row r="3" spans="1:21" ht="19.5" customHeight="1" x14ac:dyDescent="0.3">
      <c r="A3" s="2"/>
      <c r="B3" s="4"/>
      <c r="C3" s="2"/>
      <c r="D3" s="2"/>
      <c r="E3" s="2"/>
      <c r="F3" s="2"/>
      <c r="G3" s="6"/>
      <c r="H3" s="1"/>
      <c r="I3" s="1"/>
      <c r="J3" s="1"/>
      <c r="K3" s="7" t="s">
        <v>19</v>
      </c>
      <c r="L3" s="7" t="s">
        <v>20</v>
      </c>
      <c r="M3" s="9"/>
      <c r="N3" s="7" t="s">
        <v>19</v>
      </c>
      <c r="O3" s="7" t="s">
        <v>20</v>
      </c>
      <c r="P3" s="8"/>
      <c r="Q3" s="7" t="s">
        <v>19</v>
      </c>
      <c r="R3" s="7" t="s">
        <v>20</v>
      </c>
      <c r="S3" s="13"/>
      <c r="T3" s="7" t="s">
        <v>19</v>
      </c>
      <c r="U3" s="7" t="s">
        <v>20</v>
      </c>
    </row>
    <row r="4" spans="1:21" ht="19.5" customHeight="1" x14ac:dyDescent="0.3">
      <c r="A4" s="2"/>
      <c r="B4" s="4"/>
      <c r="C4" s="2"/>
      <c r="D4" s="2"/>
      <c r="E4" s="2"/>
      <c r="F4" s="2"/>
      <c r="G4" s="6"/>
      <c r="H4" s="1"/>
      <c r="I4" s="1"/>
      <c r="J4" s="1"/>
      <c r="K4" s="10">
        <v>15</v>
      </c>
      <c r="L4" s="11">
        <f>(K4*K4*K4)/2700</f>
        <v>1.25</v>
      </c>
      <c r="M4" s="12"/>
      <c r="N4" s="10">
        <f>+K27+0.25</f>
        <v>20</v>
      </c>
      <c r="O4" s="11">
        <f>(N4*N4*N4)/2700</f>
        <v>2.9629629629629628</v>
      </c>
      <c r="P4" s="12"/>
      <c r="Q4" s="10">
        <f>+N27+0.25</f>
        <v>25</v>
      </c>
      <c r="R4" s="11">
        <f>(Q4*Q4*Q4)/2700</f>
        <v>5.7870370370370372</v>
      </c>
      <c r="S4" s="13"/>
      <c r="T4" s="10">
        <f>+Q27+0.25</f>
        <v>30</v>
      </c>
      <c r="U4" s="11">
        <f>(T4*T4*T4)/2700</f>
        <v>10</v>
      </c>
    </row>
    <row r="5" spans="1:21" ht="19.5" customHeight="1" x14ac:dyDescent="0.3">
      <c r="A5" s="2"/>
      <c r="B5" s="4"/>
      <c r="C5" s="2"/>
      <c r="D5" s="2"/>
      <c r="E5" s="2"/>
      <c r="F5" s="2"/>
      <c r="G5" s="6"/>
      <c r="H5" s="1"/>
      <c r="I5" s="1"/>
      <c r="J5" s="1"/>
      <c r="K5" s="10">
        <f>K4+0.25</f>
        <v>15.25</v>
      </c>
      <c r="L5" s="11">
        <f>(K5*K5*K5)/2700</f>
        <v>1.3135474537037037</v>
      </c>
      <c r="M5" s="12"/>
      <c r="N5" s="10">
        <f>N4+0.25</f>
        <v>20.25</v>
      </c>
      <c r="O5" s="11">
        <f>(N5*N5*N5)/2700</f>
        <v>3.0754687500000002</v>
      </c>
      <c r="P5" s="12"/>
      <c r="Q5" s="10">
        <f>Q4+0.25</f>
        <v>25.25</v>
      </c>
      <c r="R5" s="11">
        <f>(Q5*Q5*Q5)/2700</f>
        <v>5.9623900462962967</v>
      </c>
      <c r="S5" s="13"/>
      <c r="T5" s="10">
        <f>T4+0.25</f>
        <v>30.25</v>
      </c>
      <c r="U5" s="11">
        <f>(T5*T5*T5)/2700</f>
        <v>10.252089120370371</v>
      </c>
    </row>
    <row r="6" spans="1:21" ht="19.5" customHeight="1" x14ac:dyDescent="0.3">
      <c r="A6" s="2"/>
      <c r="B6" s="4"/>
      <c r="C6" s="2"/>
      <c r="D6" s="2"/>
      <c r="E6" s="2"/>
      <c r="F6" s="2"/>
      <c r="G6" s="6"/>
      <c r="H6" s="1"/>
      <c r="I6" s="1"/>
      <c r="J6" s="1"/>
      <c r="K6" s="10">
        <f>K5+0.25</f>
        <v>15.5</v>
      </c>
      <c r="L6" s="11">
        <f>(K6*K6*K6)/2700</f>
        <v>1.379212962962963</v>
      </c>
      <c r="M6" s="12"/>
      <c r="N6" s="10">
        <f>N5+0.25</f>
        <v>20.5</v>
      </c>
      <c r="O6" s="11">
        <f>(N6*N6*N6)/2700</f>
        <v>3.1907870370370373</v>
      </c>
      <c r="P6" s="12"/>
      <c r="Q6" s="10">
        <f>Q5+0.25</f>
        <v>25.5</v>
      </c>
      <c r="R6" s="11">
        <f>(Q6*Q6*Q6)/2700</f>
        <v>6.1412500000000003</v>
      </c>
      <c r="S6" s="13"/>
      <c r="T6" s="10">
        <f>T5+0.25</f>
        <v>30.5</v>
      </c>
      <c r="U6" s="11">
        <f>(T6*T6*T6)/2700</f>
        <v>10.50837962962963</v>
      </c>
    </row>
    <row r="7" spans="1:21" ht="19.5" customHeight="1" x14ac:dyDescent="0.3">
      <c r="A7" s="2"/>
      <c r="B7" s="4"/>
      <c r="C7" s="2"/>
      <c r="D7" s="2"/>
      <c r="E7" s="2"/>
      <c r="F7" s="2"/>
      <c r="G7" s="6"/>
      <c r="H7" s="1"/>
      <c r="I7" s="1"/>
      <c r="J7" s="1"/>
      <c r="K7" s="10">
        <f>K6+0.25</f>
        <v>15.75</v>
      </c>
      <c r="L7" s="11">
        <f>(K7*K7*K7)/2700</f>
        <v>1.44703125</v>
      </c>
      <c r="M7" s="12"/>
      <c r="N7" s="10">
        <f>N6+0.25</f>
        <v>20.75</v>
      </c>
      <c r="O7" s="11">
        <f>(N7*N7*N7)/2700</f>
        <v>3.3089525462962963</v>
      </c>
      <c r="P7" s="12"/>
      <c r="Q7" s="10">
        <f>Q6+0.25</f>
        <v>25.75</v>
      </c>
      <c r="R7" s="11">
        <f>(Q7*Q7*Q7)/2700</f>
        <v>6.3236516203703701</v>
      </c>
      <c r="S7" s="13"/>
      <c r="T7" s="10">
        <f>T6+0.25</f>
        <v>30.75</v>
      </c>
      <c r="U7" s="11">
        <f>(T7*T7*T7)/2700</f>
        <v>10.768906250000001</v>
      </c>
    </row>
    <row r="8" spans="1:21" ht="19.5" customHeight="1" x14ac:dyDescent="0.3">
      <c r="A8" s="2"/>
      <c r="B8" s="4"/>
      <c r="C8" s="2"/>
      <c r="D8" s="2"/>
      <c r="E8" s="2"/>
      <c r="F8" s="2"/>
      <c r="G8" s="6"/>
      <c r="H8" s="1"/>
      <c r="I8" s="1"/>
      <c r="J8" s="1"/>
      <c r="K8" s="14"/>
      <c r="L8" s="13"/>
      <c r="M8" s="12"/>
      <c r="N8" s="14"/>
      <c r="O8" s="13"/>
      <c r="P8" s="13"/>
      <c r="Q8" s="14"/>
      <c r="R8" s="13"/>
      <c r="S8" s="13"/>
      <c r="T8" s="14"/>
      <c r="U8" s="13"/>
    </row>
    <row r="9" spans="1:21" ht="19.5" customHeight="1" x14ac:dyDescent="0.3">
      <c r="A9" s="2"/>
      <c r="B9" s="4"/>
      <c r="C9" s="2"/>
      <c r="D9" s="2"/>
      <c r="E9" s="2"/>
      <c r="F9" s="2"/>
      <c r="G9" s="6"/>
      <c r="H9" s="1"/>
      <c r="I9" s="1"/>
      <c r="J9" s="1"/>
      <c r="K9" s="10">
        <f>K7+0.25</f>
        <v>16</v>
      </c>
      <c r="L9" s="11">
        <f>(K9*K9*K9)/2700</f>
        <v>1.517037037037037</v>
      </c>
      <c r="M9" s="12"/>
      <c r="N9" s="10">
        <f>N7+0.25</f>
        <v>21</v>
      </c>
      <c r="O9" s="11">
        <f>(N9*N9*N9)/2700</f>
        <v>3.43</v>
      </c>
      <c r="P9" s="13"/>
      <c r="Q9" s="10">
        <f>Q7+0.25</f>
        <v>26</v>
      </c>
      <c r="R9" s="11">
        <f>(Q9*Q9*Q9)/2700</f>
        <v>6.5096296296296297</v>
      </c>
      <c r="S9" s="13"/>
      <c r="T9" s="10">
        <f>T7+0.25</f>
        <v>31</v>
      </c>
      <c r="U9" s="11">
        <f>(T9*T9*T9)/2700</f>
        <v>11.033703703703704</v>
      </c>
    </row>
    <row r="10" spans="1:21" ht="19.5" customHeight="1" x14ac:dyDescent="0.3">
      <c r="A10" s="2"/>
      <c r="B10" s="4"/>
      <c r="C10" s="2"/>
      <c r="D10" s="2"/>
      <c r="E10" s="2"/>
      <c r="F10" s="2"/>
      <c r="G10" s="6"/>
      <c r="H10" s="1"/>
      <c r="I10" s="1"/>
      <c r="J10" s="1"/>
      <c r="K10" s="10">
        <f>K9+0.25</f>
        <v>16.25</v>
      </c>
      <c r="L10" s="11">
        <f>(K10*K10*K10)/2700</f>
        <v>1.5892650462962963</v>
      </c>
      <c r="M10" s="12"/>
      <c r="N10" s="10">
        <f>N9+0.25</f>
        <v>21.25</v>
      </c>
      <c r="O10" s="11">
        <f>(N10*N10*N10)/2700</f>
        <v>3.5539641203703702</v>
      </c>
      <c r="P10" s="13"/>
      <c r="Q10" s="10">
        <f>Q9+0.25</f>
        <v>26.25</v>
      </c>
      <c r="R10" s="11">
        <f>(Q10*Q10*Q10)/2700</f>
        <v>6.69921875</v>
      </c>
      <c r="S10" s="13"/>
      <c r="T10" s="10">
        <f>T9+0.25</f>
        <v>31.25</v>
      </c>
      <c r="U10" s="11">
        <f>(T10*T10*T10)/2700</f>
        <v>11.302806712962964</v>
      </c>
    </row>
    <row r="11" spans="1:21" ht="19.5" customHeight="1" x14ac:dyDescent="0.3">
      <c r="A11" s="2"/>
      <c r="B11" s="4"/>
      <c r="C11" s="2"/>
      <c r="D11" s="2"/>
      <c r="E11" s="2"/>
      <c r="F11" s="2"/>
      <c r="G11" s="6"/>
      <c r="H11" s="1"/>
      <c r="I11" s="1"/>
      <c r="J11" s="1"/>
      <c r="K11" s="10">
        <f>K10+0.25</f>
        <v>16.5</v>
      </c>
      <c r="L11" s="11">
        <f>(K11*K11*K11)/2700</f>
        <v>1.6637500000000001</v>
      </c>
      <c r="M11" s="12"/>
      <c r="N11" s="10">
        <f>N10+0.25</f>
        <v>21.5</v>
      </c>
      <c r="O11" s="11">
        <f>(N11*N11*N11)/2700</f>
        <v>3.6808796296296298</v>
      </c>
      <c r="P11" s="13"/>
      <c r="Q11" s="10">
        <f>Q10+0.25</f>
        <v>26.5</v>
      </c>
      <c r="R11" s="11">
        <f>(Q11*Q11*Q11)/2700</f>
        <v>6.8924537037037039</v>
      </c>
      <c r="S11" s="13"/>
      <c r="T11" s="10">
        <f>T10+0.25</f>
        <v>31.5</v>
      </c>
      <c r="U11" s="11">
        <f>(T11*T11*T11)/2700</f>
        <v>11.57625</v>
      </c>
    </row>
    <row r="12" spans="1:21" ht="19.5" customHeight="1" x14ac:dyDescent="0.3">
      <c r="A12" s="2"/>
      <c r="B12" s="4"/>
      <c r="C12" s="2"/>
      <c r="D12" s="2"/>
      <c r="E12" s="2"/>
      <c r="F12" s="2"/>
      <c r="G12" s="6"/>
      <c r="H12" s="1"/>
      <c r="I12" s="1"/>
      <c r="J12" s="1"/>
      <c r="K12" s="10">
        <f>K11+0.25</f>
        <v>16.75</v>
      </c>
      <c r="L12" s="11">
        <f>(K12*K12*K12)/2700</f>
        <v>1.7405266203703704</v>
      </c>
      <c r="M12" s="12"/>
      <c r="N12" s="10">
        <f>N11+0.25</f>
        <v>21.75</v>
      </c>
      <c r="O12" s="11">
        <f>(N12*N12*N12)/2700</f>
        <v>3.8107812499999998</v>
      </c>
      <c r="P12" s="13"/>
      <c r="Q12" s="10">
        <f>Q11+0.25</f>
        <v>26.75</v>
      </c>
      <c r="R12" s="11">
        <f>(Q12*Q12*Q12)/2700</f>
        <v>7.0893692129629633</v>
      </c>
      <c r="S12" s="13"/>
      <c r="T12" s="10">
        <f>T11+0.25</f>
        <v>31.75</v>
      </c>
      <c r="U12" s="11">
        <f>(T12*T12*T12)/2700</f>
        <v>11.854068287037038</v>
      </c>
    </row>
    <row r="13" spans="1:21" ht="19.5" customHeight="1" x14ac:dyDescent="0.3">
      <c r="A13" s="2"/>
      <c r="B13" s="4"/>
      <c r="C13" s="2"/>
      <c r="D13" s="2"/>
      <c r="E13" s="2"/>
      <c r="F13" s="2"/>
      <c r="G13" s="6"/>
      <c r="H13" s="1"/>
      <c r="I13" s="1"/>
      <c r="J13" s="1"/>
      <c r="K13" s="14"/>
      <c r="L13" s="13"/>
      <c r="M13" s="12"/>
      <c r="N13" s="14"/>
      <c r="O13" s="13"/>
      <c r="P13" s="13"/>
      <c r="Q13" s="14"/>
      <c r="R13" s="13"/>
      <c r="S13" s="13"/>
      <c r="T13" s="14"/>
      <c r="U13" s="13"/>
    </row>
    <row r="14" spans="1:21" ht="19.5" customHeight="1" x14ac:dyDescent="0.3">
      <c r="A14" s="2"/>
      <c r="B14" s="4"/>
      <c r="C14" s="2"/>
      <c r="D14" s="2"/>
      <c r="E14" s="2"/>
      <c r="F14" s="2"/>
      <c r="G14" s="6"/>
      <c r="H14" s="1"/>
      <c r="I14" s="1"/>
      <c r="J14" s="1"/>
      <c r="K14" s="10">
        <f>K12+0.25</f>
        <v>17</v>
      </c>
      <c r="L14" s="11">
        <f>(K14*K14*K14)/2700</f>
        <v>1.8196296296296297</v>
      </c>
      <c r="M14" s="12"/>
      <c r="N14" s="10">
        <v>22</v>
      </c>
      <c r="O14" s="11">
        <f>(N14*N14*N14)/2700</f>
        <v>3.9437037037037035</v>
      </c>
      <c r="P14" s="13"/>
      <c r="Q14" s="10">
        <f>Q12+0.25</f>
        <v>27</v>
      </c>
      <c r="R14" s="11">
        <f>(Q14*Q14*Q14)/2700</f>
        <v>7.29</v>
      </c>
      <c r="S14" s="13"/>
      <c r="T14" s="10">
        <f>T12+0.25</f>
        <v>32</v>
      </c>
      <c r="U14" s="11">
        <f>(T14*T14*T14)/2700</f>
        <v>12.136296296296296</v>
      </c>
    </row>
    <row r="15" spans="1:21" ht="19.5" customHeight="1" x14ac:dyDescent="0.3">
      <c r="A15" s="2"/>
      <c r="B15" s="4"/>
      <c r="C15" s="2"/>
      <c r="D15" s="2"/>
      <c r="E15" s="2"/>
      <c r="F15" s="2"/>
      <c r="G15" s="6"/>
      <c r="H15" s="1"/>
      <c r="I15" s="1"/>
      <c r="J15" s="1"/>
      <c r="K15" s="10">
        <f t="shared" ref="K15:K22" si="0">K14+0.25</f>
        <v>17.25</v>
      </c>
      <c r="L15" s="11">
        <f>(K15*K15*K15)/2700</f>
        <v>1.90109375</v>
      </c>
      <c r="M15" s="12"/>
      <c r="N15" s="10">
        <f>N14+0.25</f>
        <v>22.25</v>
      </c>
      <c r="O15" s="11">
        <f>(N15*N15*N15)/2700</f>
        <v>4.0796817129629632</v>
      </c>
      <c r="P15" s="13"/>
      <c r="Q15" s="10">
        <f>Q14+0.25</f>
        <v>27.25</v>
      </c>
      <c r="R15" s="11">
        <f>(Q15*Q15*Q15)/2700</f>
        <v>7.4943807870370369</v>
      </c>
      <c r="S15" s="13"/>
      <c r="T15" s="10">
        <f>T14+0.25</f>
        <v>32.25</v>
      </c>
      <c r="U15" s="11">
        <f>(T15*T15*T15)/2700</f>
        <v>12.422968750000001</v>
      </c>
    </row>
    <row r="16" spans="1:21" ht="19.5" customHeight="1" x14ac:dyDescent="0.3">
      <c r="A16" s="2"/>
      <c r="B16" s="4"/>
      <c r="C16" s="2"/>
      <c r="D16" s="2"/>
      <c r="E16" s="2"/>
      <c r="F16" s="2"/>
      <c r="G16" s="6"/>
      <c r="H16" s="1"/>
      <c r="I16" s="1"/>
      <c r="J16" s="1"/>
      <c r="K16" s="10">
        <f t="shared" si="0"/>
        <v>17.5</v>
      </c>
      <c r="L16" s="11">
        <f>(K16*K16*K16)/2700</f>
        <v>1.9849537037037037</v>
      </c>
      <c r="M16" s="12"/>
      <c r="N16" s="10">
        <f>N15+0.25</f>
        <v>22.5</v>
      </c>
      <c r="O16" s="11">
        <f>(N16*N16*N16)/2700</f>
        <v>4.21875</v>
      </c>
      <c r="P16" s="13"/>
      <c r="Q16" s="10">
        <f>Q15+0.25</f>
        <v>27.5</v>
      </c>
      <c r="R16" s="11">
        <f>(Q16*Q16*Q16)/2700</f>
        <v>7.7025462962962967</v>
      </c>
      <c r="S16" s="13"/>
      <c r="T16" s="10">
        <f>T15+0.25</f>
        <v>32.5</v>
      </c>
      <c r="U16" s="11">
        <f>(T16*T16*T16)/2700</f>
        <v>12.71412037037037</v>
      </c>
    </row>
    <row r="17" spans="1:21" ht="19.5" customHeight="1" x14ac:dyDescent="0.3">
      <c r="A17" s="2"/>
      <c r="B17" s="4"/>
      <c r="C17" s="2"/>
      <c r="D17" s="2"/>
      <c r="E17" s="2"/>
      <c r="F17" s="2"/>
      <c r="G17" s="6"/>
      <c r="H17" s="1"/>
      <c r="I17" s="1"/>
      <c r="J17" s="1"/>
      <c r="K17" s="10">
        <f t="shared" si="0"/>
        <v>17.75</v>
      </c>
      <c r="L17" s="11">
        <f>(K17*K17*K17)/2700</f>
        <v>2.0712442129629629</v>
      </c>
      <c r="M17" s="12"/>
      <c r="N17" s="10">
        <f>N16+0.25</f>
        <v>22.75</v>
      </c>
      <c r="O17" s="11">
        <f>(N17*N17*N17)/2700</f>
        <v>4.3609432870370366</v>
      </c>
      <c r="P17" s="13"/>
      <c r="Q17" s="10">
        <f>Q16+0.25</f>
        <v>27.75</v>
      </c>
      <c r="R17" s="11">
        <f>(Q17*Q17*Q17)/2700</f>
        <v>7.9145312499999996</v>
      </c>
      <c r="S17" s="13"/>
      <c r="T17" s="10">
        <f>T16+0.25</f>
        <v>32.75</v>
      </c>
      <c r="U17" s="11">
        <f>(T17*T17*T17)/2700</f>
        <v>13.00978587962963</v>
      </c>
    </row>
    <row r="18" spans="1:21" ht="19.5" customHeight="1" x14ac:dyDescent="0.3">
      <c r="A18" s="2"/>
      <c r="B18" s="4"/>
      <c r="C18" s="2"/>
      <c r="D18" s="2"/>
      <c r="E18" s="2"/>
      <c r="F18" s="2"/>
      <c r="G18" s="6"/>
      <c r="H18" s="1"/>
      <c r="I18" s="1"/>
      <c r="J18" s="1"/>
      <c r="K18" s="14"/>
      <c r="L18" s="13"/>
      <c r="M18" s="12"/>
      <c r="N18" s="14"/>
      <c r="O18" s="13"/>
      <c r="P18" s="13"/>
      <c r="Q18" s="14"/>
      <c r="R18" s="13"/>
      <c r="S18" s="13"/>
      <c r="T18" s="14"/>
      <c r="U18" s="13"/>
    </row>
    <row r="19" spans="1:21" ht="19.5" customHeight="1" x14ac:dyDescent="0.3">
      <c r="A19" s="2"/>
      <c r="B19" s="4"/>
      <c r="C19" s="2"/>
      <c r="D19" s="2"/>
      <c r="E19" s="2"/>
      <c r="F19" s="2"/>
      <c r="G19" s="6"/>
      <c r="H19" s="1"/>
      <c r="I19" s="1"/>
      <c r="J19" s="1"/>
      <c r="K19" s="10">
        <f>K17+0.25</f>
        <v>18</v>
      </c>
      <c r="L19" s="11">
        <f>(K19*K19*K19)/2700</f>
        <v>2.16</v>
      </c>
      <c r="M19" s="12"/>
      <c r="N19" s="10">
        <f>N17+0.25</f>
        <v>23</v>
      </c>
      <c r="O19" s="11">
        <f>(N19*N19*N19)/2700</f>
        <v>4.5062962962962967</v>
      </c>
      <c r="P19" s="13"/>
      <c r="Q19" s="10">
        <f>Q17+0.25</f>
        <v>28</v>
      </c>
      <c r="R19" s="11">
        <f>(Q19*Q19*Q19)/2700</f>
        <v>8.13037037037037</v>
      </c>
      <c r="S19" s="13"/>
      <c r="T19" s="10">
        <f>T17+0.25</f>
        <v>33</v>
      </c>
      <c r="U19" s="11">
        <f>(T19*T19*T19)/2700</f>
        <v>13.31</v>
      </c>
    </row>
    <row r="20" spans="1:21" ht="19.5" customHeight="1" x14ac:dyDescent="0.3">
      <c r="A20" s="2"/>
      <c r="B20" s="4"/>
      <c r="C20" s="2"/>
      <c r="D20" s="2"/>
      <c r="E20" s="2"/>
      <c r="F20" s="2"/>
      <c r="G20" s="6"/>
      <c r="H20" s="1"/>
      <c r="I20" s="1"/>
      <c r="J20" s="1"/>
      <c r="K20" s="10">
        <f t="shared" si="0"/>
        <v>18.25</v>
      </c>
      <c r="L20" s="11">
        <f>(K20*K20*K20)/2700</f>
        <v>2.2512557870370369</v>
      </c>
      <c r="M20" s="12"/>
      <c r="N20" s="10">
        <f>N19+0.25</f>
        <v>23.25</v>
      </c>
      <c r="O20" s="11">
        <f>(N20*N20*N20)/2700</f>
        <v>4.6548437500000004</v>
      </c>
      <c r="P20" s="13"/>
      <c r="Q20" s="10">
        <f>Q19+0.25</f>
        <v>28.25</v>
      </c>
      <c r="R20" s="11">
        <f>(Q20*Q20*Q20)/2700</f>
        <v>8.35009837962963</v>
      </c>
      <c r="S20" s="13"/>
      <c r="T20" s="10">
        <f>T19+0.25</f>
        <v>33.25</v>
      </c>
      <c r="U20" s="11">
        <f>(T20*T20*T20)/2700</f>
        <v>13.614797453703703</v>
      </c>
    </row>
    <row r="21" spans="1:21" ht="19.5" customHeight="1" x14ac:dyDescent="0.3">
      <c r="A21" s="2"/>
      <c r="B21" s="4"/>
      <c r="C21" s="2"/>
      <c r="D21" s="2"/>
      <c r="E21" s="2"/>
      <c r="F21" s="2"/>
      <c r="G21" s="6"/>
      <c r="H21" s="1"/>
      <c r="I21" s="1"/>
      <c r="J21" s="1"/>
      <c r="K21" s="10">
        <f t="shared" si="0"/>
        <v>18.5</v>
      </c>
      <c r="L21" s="11">
        <f>(K21*K21*K21)/2700</f>
        <v>2.3450462962962964</v>
      </c>
      <c r="M21" s="12"/>
      <c r="N21" s="10">
        <f>N20+0.25</f>
        <v>23.5</v>
      </c>
      <c r="O21" s="11">
        <f>(N21*N21*N21)/2700</f>
        <v>4.8066203703703705</v>
      </c>
      <c r="P21" s="13"/>
      <c r="Q21" s="10">
        <f>Q20+0.25</f>
        <v>28.5</v>
      </c>
      <c r="R21" s="11">
        <f>(Q21*Q21*Q21)/2700</f>
        <v>8.5737500000000004</v>
      </c>
      <c r="S21" s="13"/>
      <c r="T21" s="10">
        <f>T20+0.25</f>
        <v>33.5</v>
      </c>
      <c r="U21" s="11">
        <f>(T21*T21*T21)/2700</f>
        <v>13.924212962962963</v>
      </c>
    </row>
    <row r="22" spans="1:21" ht="19.5" customHeight="1" x14ac:dyDescent="0.3">
      <c r="A22" s="2"/>
      <c r="B22" s="4"/>
      <c r="C22" s="2"/>
      <c r="D22" s="2"/>
      <c r="E22" s="2"/>
      <c r="F22" s="2"/>
      <c r="G22" s="6"/>
      <c r="H22" s="1"/>
      <c r="I22" s="1"/>
      <c r="J22" s="1"/>
      <c r="K22" s="10">
        <f t="shared" si="0"/>
        <v>18.75</v>
      </c>
      <c r="L22" s="11">
        <f>(K22*K22*K22)/2700</f>
        <v>2.44140625</v>
      </c>
      <c r="M22" s="12"/>
      <c r="N22" s="10">
        <f>N21+0.25</f>
        <v>23.75</v>
      </c>
      <c r="O22" s="11">
        <f>(N22*N22*N22)/2700</f>
        <v>4.9616608796296298</v>
      </c>
      <c r="P22" s="13"/>
      <c r="Q22" s="10">
        <f>Q21+0.25</f>
        <v>28.75</v>
      </c>
      <c r="R22" s="11">
        <f>(Q22*Q22*Q22)/2700</f>
        <v>8.8013599537037042</v>
      </c>
      <c r="S22" s="13"/>
      <c r="T22" s="10">
        <f>T21+0.25</f>
        <v>33.75</v>
      </c>
      <c r="U22" s="11">
        <f>(T22*T22*T22)/2700</f>
        <v>14.23828125</v>
      </c>
    </row>
    <row r="23" spans="1:21" ht="19.5" customHeight="1" x14ac:dyDescent="0.3">
      <c r="A23" s="2"/>
      <c r="B23" s="4"/>
      <c r="C23" s="2"/>
      <c r="D23" s="2"/>
      <c r="E23" s="2"/>
      <c r="F23" s="2"/>
      <c r="G23" s="6"/>
      <c r="H23" s="1"/>
      <c r="I23" s="1"/>
      <c r="J23" s="1"/>
      <c r="K23" s="14"/>
      <c r="L23" s="13"/>
      <c r="M23" s="12"/>
      <c r="N23" s="14"/>
      <c r="O23" s="13"/>
      <c r="P23" s="13"/>
      <c r="Q23" s="14"/>
      <c r="R23" s="13"/>
      <c r="S23" s="13"/>
      <c r="T23" s="14"/>
      <c r="U23" s="13"/>
    </row>
    <row r="24" spans="1:21" ht="19.5" customHeight="1" x14ac:dyDescent="0.3">
      <c r="A24" s="2"/>
      <c r="B24" s="4"/>
      <c r="C24" s="2"/>
      <c r="D24" s="2"/>
      <c r="E24" s="2"/>
      <c r="F24" s="2"/>
      <c r="G24" s="6"/>
      <c r="H24" s="1"/>
      <c r="I24" s="1"/>
      <c r="J24" s="1"/>
      <c r="K24" s="10">
        <f>K22+0.25</f>
        <v>19</v>
      </c>
      <c r="L24" s="11">
        <f>(K24*K24*K24)/2700</f>
        <v>2.5403703703703702</v>
      </c>
      <c r="M24" s="12"/>
      <c r="N24" s="10">
        <f>N22+0.25</f>
        <v>24</v>
      </c>
      <c r="O24" s="11">
        <f>(N24*N24*N24)/2700</f>
        <v>5.12</v>
      </c>
      <c r="P24" s="13"/>
      <c r="Q24" s="10">
        <f>Q22+0.25</f>
        <v>29</v>
      </c>
      <c r="R24" s="11">
        <f>(Q24*Q24*Q24)/2700</f>
        <v>9.0329629629629622</v>
      </c>
      <c r="S24" s="13"/>
      <c r="T24" s="10">
        <f>T22+0.25</f>
        <v>34</v>
      </c>
      <c r="U24" s="11">
        <f>(T24*T24*T24)/2700</f>
        <v>14.557037037037038</v>
      </c>
    </row>
    <row r="25" spans="1:21" ht="19.5" customHeight="1" x14ac:dyDescent="0.3">
      <c r="A25" s="2"/>
      <c r="B25" s="4"/>
      <c r="C25" s="2"/>
      <c r="D25" s="2"/>
      <c r="E25" s="2"/>
      <c r="F25" s="2"/>
      <c r="G25" s="6"/>
      <c r="H25" s="1"/>
      <c r="I25" s="1"/>
      <c r="J25" s="1"/>
      <c r="K25" s="10">
        <f>K24+0.25</f>
        <v>19.25</v>
      </c>
      <c r="L25" s="11">
        <f>(K25*K25*K25)/2700</f>
        <v>2.6419733796296296</v>
      </c>
      <c r="M25" s="12"/>
      <c r="N25" s="10">
        <f>N24+0.25</f>
        <v>24.25</v>
      </c>
      <c r="O25" s="11">
        <f>(N25*N25*N25)/2700</f>
        <v>5.2816724537037034</v>
      </c>
      <c r="P25" s="13"/>
      <c r="Q25" s="10">
        <f>Q24+0.25</f>
        <v>29.25</v>
      </c>
      <c r="R25" s="11">
        <f>(Q25*Q25*Q25)/2700</f>
        <v>9.2685937500000009</v>
      </c>
      <c r="S25" s="13"/>
      <c r="T25" s="10">
        <f>T24+0.25</f>
        <v>34.25</v>
      </c>
      <c r="U25" s="11">
        <f>(T25*T25*T25)/2700</f>
        <v>14.880515046296296</v>
      </c>
    </row>
    <row r="26" spans="1:21" ht="19.5" customHeight="1" x14ac:dyDescent="0.3">
      <c r="A26" s="2"/>
      <c r="B26" s="4"/>
      <c r="C26" s="2"/>
      <c r="D26" s="2"/>
      <c r="E26" s="2"/>
      <c r="F26" s="2"/>
      <c r="G26" s="6"/>
      <c r="H26" s="1"/>
      <c r="I26" s="1"/>
      <c r="J26" s="1"/>
      <c r="K26" s="10">
        <f>K25+0.25</f>
        <v>19.5</v>
      </c>
      <c r="L26" s="11">
        <f>(K26*K26*K26)/2700</f>
        <v>2.7462499999999999</v>
      </c>
      <c r="M26" s="12"/>
      <c r="N26" s="10">
        <f>N25+0.25</f>
        <v>24.5</v>
      </c>
      <c r="O26" s="11">
        <f>(N26*N26*N26)/2700</f>
        <v>5.4467129629629634</v>
      </c>
      <c r="P26" s="13"/>
      <c r="Q26" s="10">
        <f>Q25+0.25</f>
        <v>29.5</v>
      </c>
      <c r="R26" s="11">
        <f>(Q26*Q26*Q26)/2700</f>
        <v>9.5082870370370376</v>
      </c>
      <c r="S26" s="13"/>
      <c r="T26" s="10">
        <f>T25+0.25</f>
        <v>34.5</v>
      </c>
      <c r="U26" s="11">
        <f>(T26*T26*T26)/2700</f>
        <v>15.20875</v>
      </c>
    </row>
    <row r="27" spans="1:21" ht="19.5" customHeight="1" x14ac:dyDescent="0.3">
      <c r="A27" s="2"/>
      <c r="B27" s="4"/>
      <c r="C27" s="2"/>
      <c r="D27" s="2"/>
      <c r="E27" s="2"/>
      <c r="F27" s="2"/>
      <c r="G27" s="6"/>
      <c r="H27" s="1"/>
      <c r="I27" s="1"/>
      <c r="J27" s="1"/>
      <c r="K27" s="10">
        <f>K26+0.25</f>
        <v>19.75</v>
      </c>
      <c r="L27" s="11">
        <f>(K27*K27*K27)/2700</f>
        <v>2.8532349537037036</v>
      </c>
      <c r="M27" s="12"/>
      <c r="N27" s="10">
        <f>N26+0.25</f>
        <v>24.75</v>
      </c>
      <c r="O27" s="11">
        <f>(N27*N27*N27)/2700</f>
        <v>5.6151562500000001</v>
      </c>
      <c r="P27" s="13"/>
      <c r="Q27" s="10">
        <f>Q26+0.25</f>
        <v>29.75</v>
      </c>
      <c r="R27" s="11">
        <f>(Q27*Q27*Q27)/2700</f>
        <v>9.752077546296297</v>
      </c>
      <c r="S27" s="13"/>
      <c r="T27" s="10">
        <f>T26+0.25</f>
        <v>34.75</v>
      </c>
      <c r="U27" s="11">
        <f>(T27*T27*T27)/2700</f>
        <v>15.541776620370371</v>
      </c>
    </row>
  </sheetData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Individual Scores</vt:lpstr>
      <vt:lpstr>Monthly Scores</vt:lpstr>
      <vt:lpstr>Data</vt:lpstr>
      <vt:lpstr>Manual Scoring Sheet</vt:lpstr>
      <vt:lpstr>RosterLIST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R Rueber</dc:creator>
  <cp:lastModifiedBy>Dale Rueber</cp:lastModifiedBy>
  <cp:revision/>
  <cp:lastPrinted>2016-06-12T21:33:21Z</cp:lastPrinted>
  <dcterms:created xsi:type="dcterms:W3CDTF">2011-11-14T14:49:10Z</dcterms:created>
  <dcterms:modified xsi:type="dcterms:W3CDTF">2019-10-27T20:59:25Z</dcterms:modified>
</cp:coreProperties>
</file>