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72" windowWidth="10140" windowHeight="8040" tabRatio="692" firstSheet="4" activeTab="4"/>
  </bookViews>
  <sheets>
    <sheet name="Channel Reps" sheetId="10" state="hidden" r:id="rId1"/>
    <sheet name="Reflex Revenue Opportunity" sheetId="5" state="hidden" r:id="rId2"/>
    <sheet name="Reflex VSA TAM" sheetId="6" state="hidden" r:id="rId3"/>
    <sheet name="Base WW Servers &amp; Penetration" sheetId="7" state="hidden" r:id="rId4"/>
    <sheet name="P&amp;L Summary base case EXT" sheetId="43" r:id="rId5"/>
    <sheet name="Cash Burn" sheetId="44" r:id="rId6"/>
  </sheets>
  <externalReferences>
    <externalReference r:id="rId7"/>
  </externalReferences>
  <definedNames>
    <definedName name="Americas_annual_revenue_target_per_reseller_jumbo" localSheetId="4">#REF!</definedName>
    <definedName name="Americas_annual_revenue_target_per_reseller_jumbo">#REF!</definedName>
    <definedName name="Americas_annual_revenue_target_per_reseller_large" localSheetId="4">#REF!</definedName>
    <definedName name="Americas_annual_revenue_target_per_reseller_large">#REF!</definedName>
    <definedName name="Americas_Annual_revenue_target_per_reseller_medium" localSheetId="4">#REF!</definedName>
    <definedName name="Americas_Annual_revenue_target_per_reseller_medium">#REF!</definedName>
    <definedName name="americas_Base_Salary" localSheetId="4">#REF!</definedName>
    <definedName name="americas_Base_Salary">#REF!</definedName>
    <definedName name="americas_channel_sales_exec_Base_Salary" localSheetId="4">#REF!</definedName>
    <definedName name="americas_channel_sales_exec_Base_Salary">#REF!</definedName>
    <definedName name="americas_channel_sales_execs_quota" localSheetId="4">#REF!</definedName>
    <definedName name="americas_channel_sales_execs_quota">#REF!</definedName>
    <definedName name="Americas_Channel_Sales_Execs_to_resellers" localSheetId="4">#REF!</definedName>
    <definedName name="Americas_Channel_Sales_Execs_to_resellers">#REF!</definedName>
    <definedName name="Americas_Distribution_discount" localSheetId="4">#REF!</definedName>
    <definedName name="Americas_Distribution_discount">#REF!</definedName>
    <definedName name="americas_engineers_quota_attainment" localSheetId="4">#REF!</definedName>
    <definedName name="americas_engineers_quota_attainment">#REF!</definedName>
    <definedName name="americas_inside_sales_base_salary" localSheetId="4">#REF!</definedName>
    <definedName name="americas_inside_sales_base_salary">#REF!</definedName>
    <definedName name="americas_Inside_sales_quota" localSheetId="4">#REF!</definedName>
    <definedName name="americas_Inside_sales_quota">#REF!</definedName>
    <definedName name="Americas_Inside_sales_to_resellers" localSheetId="4">#REF!</definedName>
    <definedName name="Americas_Inside_sales_to_resellers">#REF!</definedName>
    <definedName name="Americas_market_as___of_revenue" localSheetId="4">#REF!</definedName>
    <definedName name="Americas_market_as___of_revenue">#REF!</definedName>
    <definedName name="Americas_market_as_percent_of_revenue" localSheetId="4">#REF!</definedName>
    <definedName name="Americas_market_as_percent_of_revenue">#REF!</definedName>
    <definedName name="Americas_Market_uplift" localSheetId="4">#REF!</definedName>
    <definedName name="Americas_Market_uplift">#REF!</definedName>
    <definedName name="Americas_MDF_COOP" localSheetId="4">#REF!</definedName>
    <definedName name="Americas_MDF_COOP">#REF!</definedName>
    <definedName name="Americas_Months_To_Reseller_Maturity" localSheetId="4">#REF!</definedName>
    <definedName name="Americas_Months_To_Reseller_Maturity">#REF!</definedName>
    <definedName name="Americas_Reseller_acquisition_costs_Jumbo" localSheetId="4">#REF!</definedName>
    <definedName name="Americas_Reseller_acquisition_costs_Jumbo">#REF!</definedName>
    <definedName name="Americas_Reseller_acquisition_costs_Large" localSheetId="4">#REF!</definedName>
    <definedName name="Americas_Reseller_acquisition_costs_Large">#REF!</definedName>
    <definedName name="Americas_Reseller_acquisition_costs_Medium" localSheetId="4">#REF!</definedName>
    <definedName name="Americas_Reseller_acquisition_costs_Medium">#REF!</definedName>
    <definedName name="Americas_Reseller_Annual_Target_Attainment" localSheetId="4">#REF!</definedName>
    <definedName name="Americas_Reseller_Annual_Target_Attainment">#REF!</definedName>
    <definedName name="Americas_Reseller_Mix_Jumbo" localSheetId="4">#REF!</definedName>
    <definedName name="Americas_Reseller_Mix_Jumbo">#REF!</definedName>
    <definedName name="Americas_Reseller_Mix_Large" localSheetId="4">#REF!</definedName>
    <definedName name="Americas_Reseller_Mix_Large">#REF!</definedName>
    <definedName name="Americas_Reseller_Mix_Medium" localSheetId="4">#REF!</definedName>
    <definedName name="Americas_Reseller_Mix_Medium">#REF!</definedName>
    <definedName name="Americas_revenue_split_year_1" localSheetId="4">#REF!</definedName>
    <definedName name="Americas_revenue_split_year_1">#REF!</definedName>
    <definedName name="Americas_revenue_split_year_2" localSheetId="4">#REF!</definedName>
    <definedName name="Americas_revenue_split_year_2">#REF!</definedName>
    <definedName name="Americas_revenue_split_year_3" localSheetId="4">#REF!</definedName>
    <definedName name="Americas_revenue_split_year_3">#REF!</definedName>
    <definedName name="Americas_revenue_split_year_4" localSheetId="4">#REF!</definedName>
    <definedName name="Americas_revenue_split_year_4">#REF!</definedName>
    <definedName name="Americas_revenue_split_year_5" localSheetId="4">#REF!</definedName>
    <definedName name="Americas_revenue_split_year_5">#REF!</definedName>
    <definedName name="americas_sales_engineer_base_salary" localSheetId="4">#REF!</definedName>
    <definedName name="americas_sales_engineer_base_salary">#REF!</definedName>
    <definedName name="americas_Sales_Engineers_quota" localSheetId="4">#REF!</definedName>
    <definedName name="americas_Sales_Engineers_quota">#REF!</definedName>
    <definedName name="Americas_Sales_Engineers_to_resellers" localSheetId="4">#REF!</definedName>
    <definedName name="Americas_Sales_Engineers_to_resellers">#REF!</definedName>
    <definedName name="americas_sales_exec_quota_attainment" localSheetId="4">#REF!</definedName>
    <definedName name="americas_sales_exec_quota_attainment">#REF!</definedName>
    <definedName name="americas_sales_quota_attainment" localSheetId="4">#REF!</definedName>
    <definedName name="americas_sales_quota_attainment">#REF!</definedName>
    <definedName name="Annual_linearity_Q1" localSheetId="4">#REF!</definedName>
    <definedName name="Annual_linearity_Q1">#REF!</definedName>
    <definedName name="Annual_linearity_Q2" localSheetId="4">#REF!</definedName>
    <definedName name="Annual_linearity_Q2">#REF!</definedName>
    <definedName name="Annual_linearity_Q3" localSheetId="4">#REF!</definedName>
    <definedName name="Annual_linearity_Q3">#REF!</definedName>
    <definedName name="Annual_linearity_Q4" localSheetId="4">#REF!</definedName>
    <definedName name="Annual_linearity_Q4">#REF!</definedName>
    <definedName name="Annual_revenue_target_per_reseller_jumbo" localSheetId="4">#REF!</definedName>
    <definedName name="Annual_revenue_target_per_reseller_jumbo">#REF!</definedName>
    <definedName name="Annual_revenue_target_per_reseller_large" localSheetId="4">#REF!</definedName>
    <definedName name="Annual_revenue_target_per_reseller_large">#REF!</definedName>
    <definedName name="Annual_revenue_target_per_reseller_medium" localSheetId="4">#REF!</definedName>
    <definedName name="Annual_revenue_target_per_reseller_medium">#REF!</definedName>
    <definedName name="APAC_Annual_revenue_target_per_reseller_jumbo" localSheetId="4">#REF!</definedName>
    <definedName name="APAC_Annual_revenue_target_per_reseller_jumbo">#REF!</definedName>
    <definedName name="APAC_Annual_revenue_target_per_reseller_large" localSheetId="4">#REF!</definedName>
    <definedName name="APAC_Annual_revenue_target_per_reseller_large">#REF!</definedName>
    <definedName name="APAC_Annual_revenue_target_per_reseller_medium" localSheetId="4">#REF!</definedName>
    <definedName name="APAC_Annual_revenue_target_per_reseller_medium">#REF!</definedName>
    <definedName name="apac_channel_sales_exec_base_salary" localSheetId="4">#REF!</definedName>
    <definedName name="apac_channel_sales_exec_base_salary">#REF!</definedName>
    <definedName name="apac_channel_sales_exec_quota" localSheetId="4">#REF!</definedName>
    <definedName name="apac_channel_sales_exec_quota">#REF!</definedName>
    <definedName name="APAC_Channel_Sales_Execs_to_resellers" localSheetId="4">#REF!</definedName>
    <definedName name="APAC_Channel_Sales_Execs_to_resellers">#REF!</definedName>
    <definedName name="apac_Distribution_discount" localSheetId="4">#REF!</definedName>
    <definedName name="apac_Distribution_discount">#REF!</definedName>
    <definedName name="APAC_Domestic_distribution_discount" localSheetId="4">#REF!</definedName>
    <definedName name="APAC_Domestic_distribution_discount">#REF!</definedName>
    <definedName name="apac_engineers_quota_attainment" localSheetId="4">#REF!</definedName>
    <definedName name="apac_engineers_quota_attainment">#REF!</definedName>
    <definedName name="apac_inside_sales_base_salary" localSheetId="4">#REF!</definedName>
    <definedName name="apac_inside_sales_base_salary">#REF!</definedName>
    <definedName name="apac_Inside_sales_quota" localSheetId="4">#REF!</definedName>
    <definedName name="apac_Inside_sales_quota">#REF!</definedName>
    <definedName name="APAC_Inside_sales_to_resellers" localSheetId="4">#REF!</definedName>
    <definedName name="APAC_Inside_sales_to_resellers">#REF!</definedName>
    <definedName name="APAC_market_as_percent_of_revenue" localSheetId="4">#REF!</definedName>
    <definedName name="APAC_market_as_percent_of_revenue">#REF!</definedName>
    <definedName name="APAC_Market_uplift" localSheetId="4">#REF!</definedName>
    <definedName name="APAC_Market_uplift">#REF!</definedName>
    <definedName name="APAC_MDF_COOP" localSheetId="4">#REF!</definedName>
    <definedName name="APAC_MDF_COOP">#REF!</definedName>
    <definedName name="APAC_Months_to_reseller_maturity" localSheetId="4">#REF!</definedName>
    <definedName name="APAC_Months_to_reseller_maturity">#REF!</definedName>
    <definedName name="APAC_Reseller_acquisition_costs_each_jumbo" localSheetId="4">#REF!</definedName>
    <definedName name="APAC_Reseller_acquisition_costs_each_jumbo">#REF!</definedName>
    <definedName name="APAC_Reseller_acquisition_costs_each_large" localSheetId="4">#REF!</definedName>
    <definedName name="APAC_Reseller_acquisition_costs_each_large">#REF!</definedName>
    <definedName name="APAC_Reseller_acquisition_costs_each_medium" localSheetId="4">#REF!</definedName>
    <definedName name="APAC_Reseller_acquisition_costs_each_medium">#REF!</definedName>
    <definedName name="APAC_Reseller_Mix_jumbo" localSheetId="4">#REF!</definedName>
    <definedName name="APAC_Reseller_Mix_jumbo">#REF!</definedName>
    <definedName name="APAC_Reseller_Mix_large" localSheetId="4">#REF!</definedName>
    <definedName name="APAC_Reseller_Mix_large">#REF!</definedName>
    <definedName name="APAC_Reseller_Mix_medium" localSheetId="4">#REF!</definedName>
    <definedName name="APAC_Reseller_Mix_medium">#REF!</definedName>
    <definedName name="APAC_Resller_annual_target_attainment" localSheetId="4">#REF!</definedName>
    <definedName name="APAC_Resller_annual_target_attainment">#REF!</definedName>
    <definedName name="APAC_revenue_split_year_1" localSheetId="4">#REF!</definedName>
    <definedName name="APAC_revenue_split_year_1">#REF!</definedName>
    <definedName name="APAC_revenue_split_year_2" localSheetId="4">#REF!</definedName>
    <definedName name="APAC_revenue_split_year_2">#REF!</definedName>
    <definedName name="APAC_revenue_split_year_3" localSheetId="4">#REF!</definedName>
    <definedName name="APAC_revenue_split_year_3">#REF!</definedName>
    <definedName name="APAC_revenue_split_year_4" localSheetId="4">#REF!</definedName>
    <definedName name="APAC_revenue_split_year_4">#REF!</definedName>
    <definedName name="APAC_revenue_split_year_5" localSheetId="4">#REF!</definedName>
    <definedName name="APAC_revenue_split_year_5">#REF!</definedName>
    <definedName name="apac_sales_engineer_base_salary" localSheetId="4">#REF!</definedName>
    <definedName name="apac_sales_engineer_base_salary">#REF!</definedName>
    <definedName name="apac_Sales_Engineers_quota" localSheetId="4">#REF!</definedName>
    <definedName name="apac_Sales_Engineers_quota">#REF!</definedName>
    <definedName name="APAC_Sales_Engineers_to_resellers" localSheetId="4">#REF!</definedName>
    <definedName name="APAC_Sales_Engineers_to_resellers">#REF!</definedName>
    <definedName name="apac_sales_exec_quota_attainment" localSheetId="4">#REF!</definedName>
    <definedName name="apac_sales_exec_quota_attainment">#REF!</definedName>
    <definedName name="apac_sales_quota_attainment" localSheetId="4">#REF!</definedName>
    <definedName name="apac_sales_quota_attainment">#REF!</definedName>
    <definedName name="channel_acquisition_level" localSheetId="4">#REF!</definedName>
    <definedName name="channel_acquisition_level">#REF!</definedName>
    <definedName name="Channel_Sales_Execs_Quota_per_head_yr" localSheetId="4">#REF!</definedName>
    <definedName name="Channel_Sales_Execs_Quota_per_head_yr">#REF!</definedName>
    <definedName name="channel_sales_months_to_productivity" localSheetId="4">#REF!</definedName>
    <definedName name="channel_sales_months_to_productivity">#REF!</definedName>
    <definedName name="Domestic_distribution_discount" localSheetId="4">#REF!</definedName>
    <definedName name="Domestic_distribution_discount">#REF!</definedName>
    <definedName name="EMEA_Annual_Revenue_Target_Per_Reseller_Jumbo" localSheetId="4">#REF!</definedName>
    <definedName name="EMEA_Annual_Revenue_Target_Per_Reseller_Jumbo">#REF!</definedName>
    <definedName name="EMEA_Annual_Revenue_Target_Per_Reseller_Large" localSheetId="4">#REF!</definedName>
    <definedName name="EMEA_Annual_Revenue_Target_Per_Reseller_Large">#REF!</definedName>
    <definedName name="EMEA_Annual_revenue_target_per_reseller_Medium" localSheetId="4">#REF!</definedName>
    <definedName name="EMEA_Annual_revenue_target_per_reseller_Medium">#REF!</definedName>
    <definedName name="emea_channel_sales_exec_base_salary" localSheetId="4">#REF!</definedName>
    <definedName name="emea_channel_sales_exec_base_salary">#REF!</definedName>
    <definedName name="emea_channel_sales_exec_quota" localSheetId="4">#REF!</definedName>
    <definedName name="emea_channel_sales_exec_quota">#REF!</definedName>
    <definedName name="EMEA_Channel_Sales_Execs_to_resellers" localSheetId="4">#REF!</definedName>
    <definedName name="EMEA_Channel_Sales_Execs_to_resellers">#REF!</definedName>
    <definedName name="EMEA_Distribution_discount" localSheetId="4">#REF!</definedName>
    <definedName name="EMEA_Distribution_discount">#REF!</definedName>
    <definedName name="emea_engineers_quota_attainment" localSheetId="4">#REF!</definedName>
    <definedName name="emea_engineers_quota_attainment">#REF!</definedName>
    <definedName name="emea_inside_sales_base_salary" localSheetId="4">#REF!</definedName>
    <definedName name="emea_inside_sales_base_salary">#REF!</definedName>
    <definedName name="emea_Inside_sales_quota" localSheetId="4">#REF!</definedName>
    <definedName name="emea_Inside_sales_quota">#REF!</definedName>
    <definedName name="EMEA_Inside_sales_to_resellers" localSheetId="4">#REF!</definedName>
    <definedName name="EMEA_Inside_sales_to_resellers">#REF!</definedName>
    <definedName name="EMEA_market_as_percent_of_revenue" localSheetId="4">#REF!</definedName>
    <definedName name="EMEA_market_as_percent_of_revenue">#REF!</definedName>
    <definedName name="EMEA_Market_uplift" localSheetId="4">#REF!</definedName>
    <definedName name="EMEA_Market_uplift">#REF!</definedName>
    <definedName name="EMEA_MDF_COOP" localSheetId="4">#REF!</definedName>
    <definedName name="EMEA_MDF_COOP">#REF!</definedName>
    <definedName name="EMEA_Months_To_Reseller_Maturity" localSheetId="4">#REF!</definedName>
    <definedName name="EMEA_Months_To_Reseller_Maturity">#REF!</definedName>
    <definedName name="EMEA_Reseller_acquisition_costs_Jumbo" localSheetId="4">#REF!</definedName>
    <definedName name="EMEA_Reseller_acquisition_costs_Jumbo">#REF!</definedName>
    <definedName name="EMEA_Reseller_acquisition_costs_Large" localSheetId="4">#REF!</definedName>
    <definedName name="EMEA_Reseller_acquisition_costs_Large">#REF!</definedName>
    <definedName name="EMEA_Reseller_acquisition_costs_Medium" localSheetId="4">#REF!</definedName>
    <definedName name="EMEA_Reseller_acquisition_costs_Medium">#REF!</definedName>
    <definedName name="EMEA_Reseller_Annual_Target_Attainment" localSheetId="4">#REF!</definedName>
    <definedName name="EMEA_Reseller_Annual_Target_Attainment">#REF!</definedName>
    <definedName name="EMEA_Reseller_Mix_Jumbo" localSheetId="4">#REF!</definedName>
    <definedName name="EMEA_Reseller_Mix_Jumbo">#REF!</definedName>
    <definedName name="EMEA_Reseller_Mix_Large" localSheetId="4">#REF!</definedName>
    <definedName name="EMEA_Reseller_Mix_Large">#REF!</definedName>
    <definedName name="EMEA_Reseller_Mix_Medium" localSheetId="4">#REF!</definedName>
    <definedName name="EMEA_Reseller_Mix_Medium">#REF!</definedName>
    <definedName name="EMEA_revenue_split_year_1" localSheetId="4">#REF!</definedName>
    <definedName name="EMEA_revenue_split_year_1">#REF!</definedName>
    <definedName name="EMEA_revenue_split_year_2" localSheetId="4">#REF!</definedName>
    <definedName name="EMEA_revenue_split_year_2">#REF!</definedName>
    <definedName name="EMEA_revenue_split_year_3" localSheetId="4">#REF!</definedName>
    <definedName name="EMEA_revenue_split_year_3">#REF!</definedName>
    <definedName name="EMEA_revenue_split_year_4" localSheetId="4">#REF!</definedName>
    <definedName name="EMEA_revenue_split_year_4">#REF!</definedName>
    <definedName name="EMEA_revenue_split_year_5" localSheetId="4">#REF!</definedName>
    <definedName name="EMEA_revenue_split_year_5">#REF!</definedName>
    <definedName name="emea_sales_engineer_base_salary" localSheetId="4">#REF!</definedName>
    <definedName name="emea_sales_engineer_base_salary">#REF!</definedName>
    <definedName name="emea_Sales_Engineers_quota" localSheetId="4">#REF!</definedName>
    <definedName name="emea_Sales_Engineers_quota">#REF!</definedName>
    <definedName name="EMEA_Sales_Engineers_to_resellers" localSheetId="4">#REF!</definedName>
    <definedName name="EMEA_Sales_Engineers_to_resellers">#REF!</definedName>
    <definedName name="emea_sales_exec_quota_attainment" localSheetId="4">#REF!</definedName>
    <definedName name="emea_sales_exec_quota_attainment">#REF!</definedName>
    <definedName name="emea_sales_quota_attainment" localSheetId="4">#REF!</definedName>
    <definedName name="emea_sales_quota_attainment">#REF!</definedName>
    <definedName name="FY2008_revenue_target" localSheetId="4">#REF!</definedName>
    <definedName name="FY2008_revenue_target">#REF!</definedName>
    <definedName name="FY2009_revenue_target" localSheetId="4">#REF!</definedName>
    <definedName name="FY2009_revenue_target">#REF!</definedName>
    <definedName name="FY2010_revenue_target" localSheetId="4">#REF!</definedName>
    <definedName name="FY2010_revenue_target">#REF!</definedName>
    <definedName name="FY2011_revenue_target" localSheetId="4">#REF!</definedName>
    <definedName name="FY2011_revenue_target">#REF!</definedName>
    <definedName name="FY2012_revenue_target" localSheetId="4">#REF!</definedName>
    <definedName name="FY2012_revenue_target">#REF!</definedName>
    <definedName name="inside_sales_months_to_productivity" localSheetId="4">#REF!</definedName>
    <definedName name="inside_sales_months_to_productivity">#REF!</definedName>
    <definedName name="Inter_quarter_revenue_distribution_month_1" localSheetId="4">#REF!</definedName>
    <definedName name="Inter_quarter_revenue_distribution_month_1">#REF!</definedName>
    <definedName name="Inter_quarter_revenue_distribution_month_2" localSheetId="4">#REF!</definedName>
    <definedName name="Inter_quarter_revenue_distribution_month_2">#REF!</definedName>
    <definedName name="Inter_quarter_revenue_distribution_month_3" localSheetId="4">#REF!</definedName>
    <definedName name="Inter_quarter_revenue_distribution_month_3">#REF!</definedName>
    <definedName name="International_distribution_discount" localSheetId="4">#REF!</definedName>
    <definedName name="International_distribution_discount">#REF!</definedName>
    <definedName name="MDF_COOP" localSheetId="4">#REF!</definedName>
    <definedName name="MDF_COOP">#REF!</definedName>
    <definedName name="Monthly_benefits_per_employee" localSheetId="4">#REF!</definedName>
    <definedName name="Monthly_benefits_per_employee">#REF!</definedName>
    <definedName name="Months_to_reseller_maturity" localSheetId="4">#REF!</definedName>
    <definedName name="Months_to_reseller_maturity">#REF!</definedName>
    <definedName name="Other_Annual_revenue_target_per_reseller_jumbo" localSheetId="4">#REF!</definedName>
    <definedName name="Other_Annual_revenue_target_per_reseller_jumbo">#REF!</definedName>
    <definedName name="Other_Annual_revenue_target_per_reseller_large" localSheetId="4">#REF!</definedName>
    <definedName name="Other_Annual_revenue_target_per_reseller_large">#REF!</definedName>
    <definedName name="Other_Annual_revenue_target_per_reseller_medium" localSheetId="4">#REF!</definedName>
    <definedName name="Other_Annual_revenue_target_per_reseller_medium">#REF!</definedName>
    <definedName name="other_channel_sales_exec_base_salry" localSheetId="4">#REF!</definedName>
    <definedName name="other_channel_sales_exec_base_salry">#REF!</definedName>
    <definedName name="other_channel_sales_exec_quota" localSheetId="4">#REF!</definedName>
    <definedName name="other_channel_sales_exec_quota">#REF!</definedName>
    <definedName name="Other_Channel_Sales_Execs_to_resellers" localSheetId="4">#REF!</definedName>
    <definedName name="Other_Channel_Sales_Execs_to_resellers">#REF!</definedName>
    <definedName name="Other_Distribution_discount" localSheetId="4">#REF!</definedName>
    <definedName name="Other_Distribution_discount">#REF!</definedName>
    <definedName name="other_engineers_quota_attainment" localSheetId="4">#REF!</definedName>
    <definedName name="other_engineers_quota_attainment">#REF!</definedName>
    <definedName name="other_inside_sales_base_salary" localSheetId="4">#REF!</definedName>
    <definedName name="other_inside_sales_base_salary">#REF!</definedName>
    <definedName name="other_Inside_sales_quota" localSheetId="4">#REF!</definedName>
    <definedName name="other_Inside_sales_quota">#REF!</definedName>
    <definedName name="Other_Inside_sales_to_resellers" localSheetId="4">#REF!</definedName>
    <definedName name="Other_Inside_sales_to_resellers">#REF!</definedName>
    <definedName name="Other_market_as_percent_of_revenue" localSheetId="4">#REF!</definedName>
    <definedName name="Other_market_as_percent_of_revenue">#REF!</definedName>
    <definedName name="Other_Market_uplift" localSheetId="4">#REF!</definedName>
    <definedName name="Other_Market_uplift">#REF!</definedName>
    <definedName name="Other_MDF_COOP" localSheetId="4">#REF!</definedName>
    <definedName name="Other_MDF_COOP">#REF!</definedName>
    <definedName name="Other_Months_to_reseller_maturity" localSheetId="4">#REF!</definedName>
    <definedName name="Other_Months_to_reseller_maturity">#REF!</definedName>
    <definedName name="Other_Reseller_acquisition_costs_each_jumbo" localSheetId="4">#REF!</definedName>
    <definedName name="Other_Reseller_acquisition_costs_each_jumbo">#REF!</definedName>
    <definedName name="Other_Reseller_acquisition_costs_each_large" localSheetId="4">#REF!</definedName>
    <definedName name="Other_Reseller_acquisition_costs_each_large">#REF!</definedName>
    <definedName name="Other_Reseller_acquisition_costs_each_medium" localSheetId="4">#REF!</definedName>
    <definedName name="Other_Reseller_acquisition_costs_each_medium">#REF!</definedName>
    <definedName name="Other_Reseller_annual_target_attainment" localSheetId="4">#REF!</definedName>
    <definedName name="Other_Reseller_annual_target_attainment">#REF!</definedName>
    <definedName name="Other_Reseller_Mix_Jumbo" localSheetId="4">#REF!</definedName>
    <definedName name="Other_Reseller_Mix_Jumbo">#REF!</definedName>
    <definedName name="Other_Reseller_Mix_large" localSheetId="4">#REF!</definedName>
    <definedName name="Other_Reseller_Mix_large">#REF!</definedName>
    <definedName name="Other_Reseller_Mix_medium" localSheetId="4">#REF!</definedName>
    <definedName name="Other_Reseller_Mix_medium">#REF!</definedName>
    <definedName name="Other_revenue_split_year_1" localSheetId="4">#REF!</definedName>
    <definedName name="Other_revenue_split_year_1">#REF!</definedName>
    <definedName name="Other_revenue_split_year_2" localSheetId="4">#REF!</definedName>
    <definedName name="Other_revenue_split_year_2">#REF!</definedName>
    <definedName name="Other_revenue_split_year_3" localSheetId="4">#REF!</definedName>
    <definedName name="Other_revenue_split_year_3">#REF!</definedName>
    <definedName name="Other_revenue_split_year_4" localSheetId="4">#REF!</definedName>
    <definedName name="Other_revenue_split_year_4">#REF!</definedName>
    <definedName name="Other_revenue_split_year_5" localSheetId="4">#REF!</definedName>
    <definedName name="Other_revenue_split_year_5">#REF!</definedName>
    <definedName name="other_sales_engineer_base_salary" localSheetId="4">#REF!</definedName>
    <definedName name="other_sales_engineer_base_salary">#REF!</definedName>
    <definedName name="other_Sales_Engineers_quota" localSheetId="4">#REF!</definedName>
    <definedName name="other_Sales_Engineers_quota">#REF!</definedName>
    <definedName name="Other_Sales_Engineers_to_resellers" localSheetId="4">#REF!</definedName>
    <definedName name="Other_Sales_Engineers_to_resellers">#REF!</definedName>
    <definedName name="other_sales_exec_quota_attainment" localSheetId="4">#REF!</definedName>
    <definedName name="other_sales_exec_quota_attainment">#REF!</definedName>
    <definedName name="other_sales_quota_attainment" localSheetId="4">#REF!</definedName>
    <definedName name="other_sales_quota_attainment">#REF!</definedName>
    <definedName name="Payroll_Tax_Rate" localSheetId="4">#REF!</definedName>
    <definedName name="Payroll_Tax_Rate">#REF!</definedName>
    <definedName name="_xlnm.Print_Area" localSheetId="4">'P&amp;L Summary base case EXT'!$A$2:$AD$67</definedName>
    <definedName name="Quarterly_Bonus_Payout_Rate" localSheetId="4">#REF!</definedName>
    <definedName name="Quarterly_Bonus_Payout_Rate">#REF!</definedName>
    <definedName name="Quarterly_linearity_month_1" localSheetId="4">#REF!</definedName>
    <definedName name="Quarterly_linearity_month_1">#REF!</definedName>
    <definedName name="Quarterly_linearity_month_2" localSheetId="4">#REF!</definedName>
    <definedName name="Quarterly_linearity_month_2">#REF!</definedName>
    <definedName name="Quarterly_linearity_month_3" localSheetId="4">#REF!</definedName>
    <definedName name="Quarterly_linearity_month_3">#REF!</definedName>
    <definedName name="Quarterly_VSA_licenses_sold_per_reseller_jumbo" localSheetId="4">#REF!</definedName>
    <definedName name="Quarterly_VSA_licenses_sold_per_reseller_jumbo">#REF!</definedName>
    <definedName name="Quarterly_VSA_licenses_sold_per_reseller_large" localSheetId="4">#REF!</definedName>
    <definedName name="Quarterly_VSA_licenses_sold_per_reseller_large">#REF!</definedName>
    <definedName name="Quarterly_VSA_licenses_sold_per_reseller_medium" localSheetId="4">#REF!</definedName>
    <definedName name="Quarterly_VSA_licenses_sold_per_reseller_medium">#REF!</definedName>
    <definedName name="Renewal_rate" localSheetId="4">#REF!</definedName>
    <definedName name="Renewal_rate">#REF!</definedName>
    <definedName name="Reseller_acquisition_costs__each_jumbo" localSheetId="4">#REF!</definedName>
    <definedName name="Reseller_acquisition_costs__each_jumbo">#REF!</definedName>
    <definedName name="Reseller_acquisition_costs__each_large" localSheetId="4">#REF!</definedName>
    <definedName name="Reseller_acquisition_costs__each_large">#REF!</definedName>
    <definedName name="Reseller_acquisition_costs__each_medium" localSheetId="4">#REF!</definedName>
    <definedName name="Reseller_acquisition_costs__each_medium">#REF!</definedName>
    <definedName name="Reseller_annual_target_attainment" localSheetId="4">#REF!</definedName>
    <definedName name="Reseller_annual_target_attainment">#REF!</definedName>
    <definedName name="Reseller_Churn_annually_jumbo" localSheetId="4">#REF!</definedName>
    <definedName name="Reseller_Churn_annually_jumbo">#REF!</definedName>
    <definedName name="Reseller_Churn_annually_large" localSheetId="4">#REF!</definedName>
    <definedName name="Reseller_Churn_annually_large">#REF!</definedName>
    <definedName name="Reseller_Churn_annually_medium" localSheetId="4">#REF!</definedName>
    <definedName name="Reseller_Churn_annually_medium">#REF!</definedName>
    <definedName name="Reseller_Mix_jumbo" localSheetId="4">#REF!</definedName>
    <definedName name="Reseller_Mix_jumbo">#REF!</definedName>
    <definedName name="Reseller_Mix_large" localSheetId="4">#REF!</definedName>
    <definedName name="Reseller_Mix_large">#REF!</definedName>
    <definedName name="Reseller_Mix_medium" localSheetId="4">#REF!</definedName>
    <definedName name="Reseller_Mix_medium">#REF!</definedName>
    <definedName name="Sales_Commission_Attainment_Rate" localSheetId="4">#REF!</definedName>
    <definedName name="Sales_Commission_Attainment_Rate">#REF!</definedName>
    <definedName name="sales_engineers_months_to_productivity" localSheetId="4">#REF!</definedName>
    <definedName name="sales_engineers_months_to_productivity">#REF!</definedName>
    <definedName name="sales_staffing_level" localSheetId="4">#REF!</definedName>
    <definedName name="sales_staffing_level">#REF!</definedName>
    <definedName name="Services_as_percent_of_product_revenue" localSheetId="4">#REF!</definedName>
    <definedName name="Services_as_percent_of_product_revenue">#REF!</definedName>
    <definedName name="Services_as_percent_product_revenue" localSheetId="4">#REF!</definedName>
    <definedName name="Services_as_percent_product_revenue">#REF!</definedName>
    <definedName name="Street_price" localSheetId="4">#REF!</definedName>
    <definedName name="Street_price">#REF!</definedName>
    <definedName name="VSA_Price_Per_license" localSheetId="4">#REF!</definedName>
    <definedName name="VSA_Price_Per_license">#REF!</definedName>
  </definedNames>
  <calcPr calcId="144525"/>
</workbook>
</file>

<file path=xl/calcChain.xml><?xml version="1.0" encoding="utf-8"?>
<calcChain xmlns="http://schemas.openxmlformats.org/spreadsheetml/2006/main">
  <c r="Q9" i="43" l="1"/>
  <c r="AI66" i="43"/>
  <c r="AI67" i="43" s="1"/>
  <c r="AH66" i="43"/>
  <c r="AG66" i="43"/>
  <c r="AF66" i="43"/>
  <c r="AC66" i="43"/>
  <c r="AC67" i="43" s="1"/>
  <c r="AB66" i="43"/>
  <c r="AA66" i="43"/>
  <c r="AA67" i="43"/>
  <c r="Z66" i="43"/>
  <c r="Z67" i="43" s="1"/>
  <c r="W66" i="43"/>
  <c r="W67" i="43" s="1"/>
  <c r="V66" i="43"/>
  <c r="V67" i="43" s="1"/>
  <c r="U66" i="43"/>
  <c r="U67" i="43" s="1"/>
  <c r="T66" i="43"/>
  <c r="AG67" i="43"/>
  <c r="AF67" i="43"/>
  <c r="AB67" i="43"/>
  <c r="T67" i="43"/>
  <c r="Q67" i="43"/>
  <c r="Q66" i="43"/>
  <c r="N66" i="43"/>
  <c r="O66" i="43"/>
  <c r="N67" i="43"/>
  <c r="AI59" i="43"/>
  <c r="AI62" i="43" s="1"/>
  <c r="AH59" i="43"/>
  <c r="AH62" i="43" s="1"/>
  <c r="AG59" i="43"/>
  <c r="AG62" i="43" s="1"/>
  <c r="AF59" i="43"/>
  <c r="AF28" i="43" s="1"/>
  <c r="AI51" i="43"/>
  <c r="AH51" i="43"/>
  <c r="AG51" i="43"/>
  <c r="AF51" i="43"/>
  <c r="AJ44" i="43"/>
  <c r="AJ43" i="43"/>
  <c r="AJ42" i="43"/>
  <c r="AJ41" i="43"/>
  <c r="AJ40" i="43"/>
  <c r="AF39" i="43"/>
  <c r="AJ39" i="43" s="1"/>
  <c r="AJ38" i="43"/>
  <c r="AJ37" i="43"/>
  <c r="AI36" i="43"/>
  <c r="AI35" i="43" s="1"/>
  <c r="AH36" i="43"/>
  <c r="AH35" i="43" s="1"/>
  <c r="AG36" i="43"/>
  <c r="AG35" i="43" s="1"/>
  <c r="AF36" i="43"/>
  <c r="AF35" i="43"/>
  <c r="AJ34" i="43"/>
  <c r="AI33" i="43"/>
  <c r="AI32" i="43" s="1"/>
  <c r="AH33" i="43"/>
  <c r="AH32" i="43" s="1"/>
  <c r="AG33" i="43"/>
  <c r="AG32" i="43" s="1"/>
  <c r="AF33" i="43"/>
  <c r="AF32" i="43" s="1"/>
  <c r="AI31" i="43"/>
  <c r="AH31" i="43"/>
  <c r="AG31" i="43"/>
  <c r="AF31" i="43"/>
  <c r="AG30" i="43"/>
  <c r="AJ29" i="43"/>
  <c r="AI28" i="43"/>
  <c r="AI26" i="43"/>
  <c r="AH26" i="43"/>
  <c r="AG26" i="43"/>
  <c r="AF26" i="43"/>
  <c r="AI20" i="43"/>
  <c r="AI21" i="43" s="1"/>
  <c r="AH20" i="43"/>
  <c r="AH21" i="43" s="1"/>
  <c r="AG20" i="43"/>
  <c r="AG21" i="43" s="1"/>
  <c r="AF20" i="43"/>
  <c r="AJ15" i="43"/>
  <c r="AI13" i="43"/>
  <c r="AH13" i="43"/>
  <c r="AG13" i="43"/>
  <c r="AG16" i="43" s="1"/>
  <c r="AF13" i="43"/>
  <c r="AF16" i="43" s="1"/>
  <c r="AJ12" i="43"/>
  <c r="AJ11" i="43"/>
  <c r="AJ10" i="43"/>
  <c r="AI9" i="43"/>
  <c r="AI16" i="43" s="1"/>
  <c r="AI18" i="43" s="1"/>
  <c r="AH9" i="43"/>
  <c r="AG9" i="43"/>
  <c r="AF9" i="43"/>
  <c r="AJ8" i="43"/>
  <c r="AJ7" i="43"/>
  <c r="AH16" i="43" l="1"/>
  <c r="AH18" i="43" s="1"/>
  <c r="AJ36" i="43"/>
  <c r="AJ35" i="43"/>
  <c r="AI30" i="43"/>
  <c r="AI27" i="43" s="1"/>
  <c r="AI45" i="43" s="1"/>
  <c r="AG28" i="43"/>
  <c r="AJ66" i="43"/>
  <c r="AH67" i="43"/>
  <c r="AJ67" i="43" s="1"/>
  <c r="AJ20" i="43"/>
  <c r="AJ21" i="43" s="1"/>
  <c r="AF21" i="43"/>
  <c r="AF23" i="43" s="1"/>
  <c r="AG27" i="43"/>
  <c r="AG45" i="43" s="1"/>
  <c r="AJ9" i="43"/>
  <c r="AJ31" i="43"/>
  <c r="AG18" i="43"/>
  <c r="AG23" i="43"/>
  <c r="AF18" i="43"/>
  <c r="AJ32" i="43"/>
  <c r="AJ33" i="43"/>
  <c r="AJ13" i="43"/>
  <c r="AJ26" i="43"/>
  <c r="AH28" i="43"/>
  <c r="AJ28" i="43" s="1"/>
  <c r="AF30" i="43"/>
  <c r="AF62" i="43"/>
  <c r="AI23" i="43"/>
  <c r="AH30" i="43"/>
  <c r="Q13" i="43"/>
  <c r="R12" i="43"/>
  <c r="R11" i="43"/>
  <c r="O9" i="43"/>
  <c r="F14" i="43"/>
  <c r="L14" i="43"/>
  <c r="R14" i="43"/>
  <c r="F15" i="43"/>
  <c r="L15" i="43"/>
  <c r="R15" i="43"/>
  <c r="X15" i="43"/>
  <c r="AD15" i="43"/>
  <c r="N35" i="43"/>
  <c r="AH23" i="43" l="1"/>
  <c r="AH24" i="43" s="1"/>
  <c r="AJ16" i="43"/>
  <c r="AJ61" i="43" s="1"/>
  <c r="AJ30" i="43"/>
  <c r="AH27" i="43"/>
  <c r="AH45" i="43" s="1"/>
  <c r="AH47" i="43" s="1"/>
  <c r="AH48" i="43" s="1"/>
  <c r="AJ23" i="43"/>
  <c r="AF24" i="43"/>
  <c r="AI24" i="43"/>
  <c r="AI47" i="43"/>
  <c r="AI48" i="43" s="1"/>
  <c r="AF27" i="43"/>
  <c r="AG47" i="43"/>
  <c r="AG48" i="43" s="1"/>
  <c r="AG24" i="43"/>
  <c r="H13" i="44"/>
  <c r="G13" i="44"/>
  <c r="O8" i="44"/>
  <c r="N8" i="44"/>
  <c r="M8" i="44"/>
  <c r="L8" i="44"/>
  <c r="J8" i="44"/>
  <c r="I8" i="44"/>
  <c r="H8" i="44"/>
  <c r="G8" i="44"/>
  <c r="E8" i="44"/>
  <c r="D8" i="44"/>
  <c r="E18" i="44"/>
  <c r="D18" i="44"/>
  <c r="C18" i="44"/>
  <c r="B18" i="44"/>
  <c r="B16" i="44"/>
  <c r="B15" i="44"/>
  <c r="B14" i="44"/>
  <c r="E13" i="44"/>
  <c r="C13" i="44"/>
  <c r="B13" i="44"/>
  <c r="B8" i="44"/>
  <c r="C8" i="44"/>
  <c r="E7" i="44"/>
  <c r="D7" i="44"/>
  <c r="C7" i="44"/>
  <c r="B7" i="44"/>
  <c r="G7" i="44"/>
  <c r="H7" i="44"/>
  <c r="I7" i="44"/>
  <c r="J7" i="44"/>
  <c r="L7" i="44"/>
  <c r="M7" i="44"/>
  <c r="N7" i="44"/>
  <c r="O7" i="44"/>
  <c r="M15" i="44"/>
  <c r="N15" i="44"/>
  <c r="O15" i="44"/>
  <c r="G17" i="44"/>
  <c r="H17" i="44"/>
  <c r="I17" i="44"/>
  <c r="J17" i="44"/>
  <c r="L17" i="44"/>
  <c r="M17" i="44"/>
  <c r="N17" i="44"/>
  <c r="O17" i="44"/>
  <c r="P26" i="43"/>
  <c r="D13" i="44" s="1"/>
  <c r="P34" i="43"/>
  <c r="AJ18" i="43" l="1"/>
  <c r="AJ56" i="43"/>
  <c r="AJ24" i="43"/>
  <c r="AJ60" i="43"/>
  <c r="AJ55" i="43"/>
  <c r="AJ27" i="43"/>
  <c r="AF45" i="43"/>
  <c r="AF47" i="43" s="1"/>
  <c r="B11" i="44"/>
  <c r="E11" i="44"/>
  <c r="M11" i="44"/>
  <c r="H11" i="44"/>
  <c r="D11" i="44"/>
  <c r="G11" i="44"/>
  <c r="N11" i="44"/>
  <c r="I11" i="44"/>
  <c r="C11" i="44"/>
  <c r="J11" i="44"/>
  <c r="B19" i="44"/>
  <c r="O11" i="44"/>
  <c r="L11" i="44"/>
  <c r="AF48" i="43" l="1"/>
  <c r="AJ47" i="43"/>
  <c r="AJ48" i="43" s="1"/>
  <c r="AJ59" i="43"/>
  <c r="AJ62" i="43" s="1"/>
  <c r="AJ45" i="43"/>
  <c r="B22" i="44"/>
  <c r="B24" i="44" s="1"/>
  <c r="C5" i="44" l="1"/>
  <c r="AC9" i="43"/>
  <c r="AB9" i="43"/>
  <c r="AA9" i="43"/>
  <c r="Z9" i="43"/>
  <c r="W9" i="43"/>
  <c r="V9" i="43"/>
  <c r="U9" i="43"/>
  <c r="T9" i="43"/>
  <c r="N16" i="43" l="1"/>
  <c r="K16" i="43" l="1"/>
  <c r="J16" i="43"/>
  <c r="I16" i="43"/>
  <c r="H16" i="43"/>
  <c r="H18" i="43" s="1"/>
  <c r="E16" i="43"/>
  <c r="P67" i="43"/>
  <c r="O67" i="43"/>
  <c r="P66" i="43"/>
  <c r="AC59" i="43"/>
  <c r="AC62" i="43" s="1"/>
  <c r="AB59" i="43"/>
  <c r="AB62" i="43" s="1"/>
  <c r="AA59" i="43"/>
  <c r="Z59" i="43"/>
  <c r="W59" i="43"/>
  <c r="W62" i="43" s="1"/>
  <c r="V59" i="43"/>
  <c r="V28" i="43" s="1"/>
  <c r="U59" i="43"/>
  <c r="U28" i="43" s="1"/>
  <c r="T59" i="43"/>
  <c r="T62" i="43" s="1"/>
  <c r="Q59" i="43"/>
  <c r="Q62" i="43" s="1"/>
  <c r="P59" i="43"/>
  <c r="P62" i="43" s="1"/>
  <c r="O59" i="43"/>
  <c r="O62" i="43" s="1"/>
  <c r="N59" i="43"/>
  <c r="N62" i="43" s="1"/>
  <c r="K59" i="43"/>
  <c r="K62" i="43" s="1"/>
  <c r="J59" i="43"/>
  <c r="J62" i="43" s="1"/>
  <c r="I59" i="43"/>
  <c r="I62" i="43" s="1"/>
  <c r="H59" i="43"/>
  <c r="H62" i="43" s="1"/>
  <c r="E59" i="43"/>
  <c r="E62" i="43" s="1"/>
  <c r="D59" i="43"/>
  <c r="D62" i="43" s="1"/>
  <c r="C59" i="43"/>
  <c r="C62" i="43" s="1"/>
  <c r="B59" i="43"/>
  <c r="B62" i="43" s="1"/>
  <c r="I51" i="43"/>
  <c r="P50" i="43"/>
  <c r="P51" i="43" s="1"/>
  <c r="O50" i="43"/>
  <c r="O51" i="43" s="1"/>
  <c r="K50" i="43"/>
  <c r="K52" i="43" s="1"/>
  <c r="N50" i="43" s="1"/>
  <c r="N51" i="43" s="1"/>
  <c r="J50" i="43"/>
  <c r="J51" i="43" s="1"/>
  <c r="N45" i="43"/>
  <c r="E45" i="43"/>
  <c r="D45" i="43"/>
  <c r="AD44" i="43"/>
  <c r="X44" i="43"/>
  <c r="R44" i="43"/>
  <c r="L44" i="43"/>
  <c r="AD43" i="43"/>
  <c r="X43" i="43"/>
  <c r="R43" i="43"/>
  <c r="L43" i="43"/>
  <c r="AD42" i="43"/>
  <c r="X42" i="43"/>
  <c r="R42" i="43"/>
  <c r="L42" i="43"/>
  <c r="AD41" i="43"/>
  <c r="X41" i="43"/>
  <c r="R41" i="43"/>
  <c r="L41" i="43"/>
  <c r="AD40" i="43"/>
  <c r="X40" i="43"/>
  <c r="R40" i="43"/>
  <c r="L40" i="43"/>
  <c r="Z39" i="43"/>
  <c r="AD39" i="43" s="1"/>
  <c r="X39" i="43"/>
  <c r="R39" i="43"/>
  <c r="L39" i="43"/>
  <c r="AD38" i="43"/>
  <c r="X38" i="43"/>
  <c r="R38" i="43"/>
  <c r="L38" i="43"/>
  <c r="AD37" i="43"/>
  <c r="X37" i="43"/>
  <c r="R37" i="43"/>
  <c r="L37" i="43"/>
  <c r="AC36" i="43"/>
  <c r="AC35" i="43" s="1"/>
  <c r="O16" i="44" s="1"/>
  <c r="AB36" i="43"/>
  <c r="AB35" i="43" s="1"/>
  <c r="N16" i="44" s="1"/>
  <c r="AA36" i="43"/>
  <c r="AA35" i="43" s="1"/>
  <c r="M16" i="44" s="1"/>
  <c r="Z36" i="43"/>
  <c r="W35" i="43"/>
  <c r="J16" i="44" s="1"/>
  <c r="V35" i="43"/>
  <c r="I16" i="44" s="1"/>
  <c r="U35" i="43"/>
  <c r="H16" i="44" s="1"/>
  <c r="T35" i="43"/>
  <c r="G16" i="44" s="1"/>
  <c r="R36" i="43"/>
  <c r="L36" i="43"/>
  <c r="Q35" i="43"/>
  <c r="E16" i="44" s="1"/>
  <c r="P35" i="43"/>
  <c r="D16" i="44" s="1"/>
  <c r="O35" i="43"/>
  <c r="C16" i="44" s="1"/>
  <c r="K35" i="43"/>
  <c r="J35" i="43"/>
  <c r="J45" i="43" s="1"/>
  <c r="I35" i="43"/>
  <c r="H35" i="43"/>
  <c r="F35" i="43"/>
  <c r="AD34" i="43"/>
  <c r="X34" i="43"/>
  <c r="R34" i="43"/>
  <c r="L34" i="43"/>
  <c r="AC33" i="43"/>
  <c r="AC32" i="43" s="1"/>
  <c r="O14" i="44" s="1"/>
  <c r="AB33" i="43"/>
  <c r="AB32" i="43" s="1"/>
  <c r="N14" i="44" s="1"/>
  <c r="AA33" i="43"/>
  <c r="AA32" i="43" s="1"/>
  <c r="M14" i="44" s="1"/>
  <c r="Z33" i="43"/>
  <c r="Z32" i="43" s="1"/>
  <c r="L14" i="44" s="1"/>
  <c r="W33" i="43"/>
  <c r="W32" i="43" s="1"/>
  <c r="J14" i="44" s="1"/>
  <c r="V33" i="43"/>
  <c r="V32" i="43" s="1"/>
  <c r="I14" i="44" s="1"/>
  <c r="U33" i="43"/>
  <c r="U32" i="43" s="1"/>
  <c r="H14" i="44" s="1"/>
  <c r="T33" i="43"/>
  <c r="T32" i="43" s="1"/>
  <c r="G14" i="44" s="1"/>
  <c r="Q32" i="43"/>
  <c r="E14" i="44" s="1"/>
  <c r="L33" i="43"/>
  <c r="O32" i="43"/>
  <c r="C14" i="44" s="1"/>
  <c r="K32" i="43"/>
  <c r="I32" i="43"/>
  <c r="H32" i="43"/>
  <c r="F32" i="43"/>
  <c r="AC31" i="43"/>
  <c r="AB31" i="43"/>
  <c r="AA31" i="43"/>
  <c r="Z31" i="43"/>
  <c r="W31" i="43"/>
  <c r="V31" i="43"/>
  <c r="L31" i="43"/>
  <c r="O30" i="43"/>
  <c r="R30" i="43" s="1"/>
  <c r="L30" i="43"/>
  <c r="AD29" i="43"/>
  <c r="X29" i="43"/>
  <c r="R29" i="43"/>
  <c r="L29" i="43"/>
  <c r="L28" i="43"/>
  <c r="L27" i="43"/>
  <c r="F27" i="43"/>
  <c r="AC26" i="43"/>
  <c r="O13" i="44" s="1"/>
  <c r="AB26" i="43"/>
  <c r="N13" i="44" s="1"/>
  <c r="AA26" i="43"/>
  <c r="M13" i="44" s="1"/>
  <c r="Z26" i="43"/>
  <c r="L13" i="44" s="1"/>
  <c r="W26" i="43"/>
  <c r="J13" i="44" s="1"/>
  <c r="V26" i="43"/>
  <c r="I13" i="44" s="1"/>
  <c r="R26" i="43"/>
  <c r="L26" i="43"/>
  <c r="F26" i="43"/>
  <c r="Q21" i="43"/>
  <c r="P21" i="43"/>
  <c r="O21" i="43"/>
  <c r="N21" i="43"/>
  <c r="K21" i="43"/>
  <c r="J21" i="43"/>
  <c r="I21" i="43"/>
  <c r="H21" i="43"/>
  <c r="E21" i="43"/>
  <c r="D21" i="43"/>
  <c r="AC20" i="43"/>
  <c r="AB20" i="43"/>
  <c r="AA20" i="43"/>
  <c r="Z20" i="43"/>
  <c r="W20" i="43"/>
  <c r="V20" i="43"/>
  <c r="U20" i="43"/>
  <c r="T20" i="43"/>
  <c r="G18" i="44" s="1"/>
  <c r="R20" i="43"/>
  <c r="R21" i="43" s="1"/>
  <c r="L20" i="43"/>
  <c r="L21" i="43" s="1"/>
  <c r="F20" i="43"/>
  <c r="F21" i="43" s="1"/>
  <c r="D16" i="43"/>
  <c r="AC13" i="43"/>
  <c r="AB13" i="43"/>
  <c r="AA13" i="43"/>
  <c r="Z13" i="43"/>
  <c r="Z16" i="43" s="1"/>
  <c r="W13" i="43"/>
  <c r="V13" i="43"/>
  <c r="U13" i="43"/>
  <c r="T13" i="43"/>
  <c r="T16" i="43" s="1"/>
  <c r="Q16" i="43"/>
  <c r="P13" i="43"/>
  <c r="AD12" i="43"/>
  <c r="X12" i="43"/>
  <c r="AD11" i="43"/>
  <c r="X11" i="43"/>
  <c r="AD10" i="43"/>
  <c r="X10" i="43"/>
  <c r="R10" i="43"/>
  <c r="O16" i="43"/>
  <c r="L9" i="43"/>
  <c r="F9" i="43"/>
  <c r="AD8" i="43"/>
  <c r="X8" i="43"/>
  <c r="R8" i="43"/>
  <c r="L8" i="43"/>
  <c r="F8" i="43"/>
  <c r="AD7" i="43"/>
  <c r="X7" i="43"/>
  <c r="R7" i="43"/>
  <c r="L7" i="43"/>
  <c r="F7" i="43"/>
  <c r="AC21" i="43" l="1"/>
  <c r="O18" i="44"/>
  <c r="O19" i="44" s="1"/>
  <c r="Z21" i="43"/>
  <c r="L18" i="44"/>
  <c r="U21" i="43"/>
  <c r="H18" i="44"/>
  <c r="AA21" i="43"/>
  <c r="M18" i="44"/>
  <c r="M19" i="44" s="1"/>
  <c r="W21" i="43"/>
  <c r="J18" i="44"/>
  <c r="V21" i="43"/>
  <c r="I18" i="44"/>
  <c r="AB21" i="43"/>
  <c r="N18" i="44"/>
  <c r="N19" i="44" s="1"/>
  <c r="H45" i="43"/>
  <c r="W16" i="43"/>
  <c r="AC16" i="43"/>
  <c r="U16" i="43"/>
  <c r="AA16" i="43"/>
  <c r="V16" i="43"/>
  <c r="AB16" i="43"/>
  <c r="R9" i="43"/>
  <c r="P16" i="43"/>
  <c r="R13" i="43"/>
  <c r="E23" i="43"/>
  <c r="E24" i="43" s="1"/>
  <c r="F16" i="43"/>
  <c r="L16" i="43"/>
  <c r="L18" i="43" s="1"/>
  <c r="W30" i="43"/>
  <c r="X30" i="43" s="1"/>
  <c r="W28" i="43"/>
  <c r="K23" i="43"/>
  <c r="K24" i="43" s="1"/>
  <c r="O27" i="43"/>
  <c r="Q27" i="43"/>
  <c r="K18" i="43"/>
  <c r="V27" i="43"/>
  <c r="Z35" i="43"/>
  <c r="J23" i="43"/>
  <c r="J24" i="43" s="1"/>
  <c r="T28" i="43"/>
  <c r="T27" i="43" s="1"/>
  <c r="X32" i="43"/>
  <c r="X35" i="43"/>
  <c r="V62" i="43"/>
  <c r="I23" i="43"/>
  <c r="I24" i="43" s="1"/>
  <c r="AB28" i="43"/>
  <c r="R67" i="43"/>
  <c r="X67" i="43"/>
  <c r="AD67" i="43"/>
  <c r="X13" i="43"/>
  <c r="AD13" i="43"/>
  <c r="X20" i="43"/>
  <c r="X21" i="43" s="1"/>
  <c r="AC28" i="43"/>
  <c r="AB30" i="43"/>
  <c r="K45" i="43"/>
  <c r="I45" i="43"/>
  <c r="X36" i="43"/>
  <c r="AD36" i="43"/>
  <c r="AC30" i="43"/>
  <c r="X31" i="43"/>
  <c r="AD31" i="43"/>
  <c r="U27" i="43"/>
  <c r="O18" i="43"/>
  <c r="O23" i="43"/>
  <c r="AA30" i="43"/>
  <c r="AA62" i="43"/>
  <c r="AA28" i="43"/>
  <c r="U62" i="43"/>
  <c r="AD9" i="43"/>
  <c r="Z30" i="43"/>
  <c r="Z62" i="43"/>
  <c r="Z28" i="43"/>
  <c r="R66" i="43"/>
  <c r="D18" i="43"/>
  <c r="H23" i="43"/>
  <c r="X26" i="43"/>
  <c r="X33" i="43"/>
  <c r="AD20" i="43"/>
  <c r="L32" i="43"/>
  <c r="AD32" i="43"/>
  <c r="AD33" i="43"/>
  <c r="I18" i="43"/>
  <c r="N18" i="43"/>
  <c r="N23" i="43"/>
  <c r="F45" i="43"/>
  <c r="R31" i="43"/>
  <c r="R33" i="43"/>
  <c r="P32" i="43"/>
  <c r="X66" i="43"/>
  <c r="AD66" i="43"/>
  <c r="X9" i="43"/>
  <c r="E18" i="43"/>
  <c r="J18" i="43"/>
  <c r="L35" i="43"/>
  <c r="R35" i="43"/>
  <c r="T21" i="43"/>
  <c r="AD26" i="43"/>
  <c r="E47" i="43" l="1"/>
  <c r="W23" i="43"/>
  <c r="W24" i="43" s="1"/>
  <c r="L60" i="43"/>
  <c r="R16" i="43"/>
  <c r="R61" i="43" s="1"/>
  <c r="U45" i="43"/>
  <c r="H15" i="44"/>
  <c r="H19" i="44" s="1"/>
  <c r="AD16" i="43"/>
  <c r="V45" i="43"/>
  <c r="I15" i="44"/>
  <c r="I19" i="44" s="1"/>
  <c r="O45" i="43"/>
  <c r="O47" i="43" s="1"/>
  <c r="C15" i="44"/>
  <c r="C19" i="44" s="1"/>
  <c r="C22" i="44" s="1"/>
  <c r="T45" i="43"/>
  <c r="G15" i="44"/>
  <c r="G19" i="44" s="1"/>
  <c r="AB23" i="43"/>
  <c r="AB24" i="43" s="1"/>
  <c r="AD35" i="43"/>
  <c r="L16" i="44"/>
  <c r="R32" i="43"/>
  <c r="D14" i="44"/>
  <c r="Q45" i="43"/>
  <c r="E15" i="44"/>
  <c r="E19" i="44" s="1"/>
  <c r="X16" i="43"/>
  <c r="X60" i="43" s="1"/>
  <c r="L55" i="43"/>
  <c r="L56" i="43"/>
  <c r="L59" i="43"/>
  <c r="L61" i="43"/>
  <c r="AB18" i="43"/>
  <c r="W27" i="43"/>
  <c r="K47" i="43"/>
  <c r="K48" i="43" s="1"/>
  <c r="R28" i="43"/>
  <c r="P27" i="43"/>
  <c r="J47" i="43"/>
  <c r="J48" i="43" s="1"/>
  <c r="W18" i="43"/>
  <c r="T18" i="43"/>
  <c r="X28" i="43"/>
  <c r="T23" i="43"/>
  <c r="T24" i="43" s="1"/>
  <c r="AC23" i="43"/>
  <c r="AC24" i="43" s="1"/>
  <c r="AC18" i="43"/>
  <c r="AC27" i="43"/>
  <c r="AC45" i="43" s="1"/>
  <c r="I47" i="43"/>
  <c r="AB27" i="43"/>
  <c r="AB45" i="43" s="1"/>
  <c r="AD30" i="43"/>
  <c r="Q23" i="43"/>
  <c r="Q18" i="43"/>
  <c r="E48" i="43"/>
  <c r="V23" i="43"/>
  <c r="V18" i="43"/>
  <c r="O24" i="43"/>
  <c r="P23" i="43"/>
  <c r="P18" i="43"/>
  <c r="L23" i="43"/>
  <c r="H24" i="43"/>
  <c r="H47" i="43"/>
  <c r="AA23" i="43"/>
  <c r="AA18" i="43"/>
  <c r="D23" i="43"/>
  <c r="L45" i="43"/>
  <c r="N24" i="43"/>
  <c r="N47" i="43"/>
  <c r="AD21" i="43"/>
  <c r="U18" i="43"/>
  <c r="U23" i="43"/>
  <c r="Z18" i="43"/>
  <c r="Z23" i="43"/>
  <c r="Z27" i="43"/>
  <c r="L15" i="44" s="1"/>
  <c r="AD28" i="43"/>
  <c r="AA27" i="43"/>
  <c r="AA45" i="43" s="1"/>
  <c r="F18" i="43"/>
  <c r="AD61" i="43" l="1"/>
  <c r="L19" i="44"/>
  <c r="AB47" i="43"/>
  <c r="W45" i="43"/>
  <c r="W47" i="43" s="1"/>
  <c r="W48" i="43" s="1"/>
  <c r="J15" i="44"/>
  <c r="J19" i="44" s="1"/>
  <c r="D5" i="44"/>
  <c r="C24" i="44"/>
  <c r="P45" i="43"/>
  <c r="P47" i="43" s="1"/>
  <c r="D15" i="44"/>
  <c r="D19" i="44" s="1"/>
  <c r="T47" i="43"/>
  <c r="T48" i="43" s="1"/>
  <c r="L62" i="43"/>
  <c r="X27" i="43"/>
  <c r="X45" i="43" s="1"/>
  <c r="R27" i="43"/>
  <c r="R59" i="43" s="1"/>
  <c r="X55" i="43"/>
  <c r="I48" i="43"/>
  <c r="AC47" i="43"/>
  <c r="AC48" i="43" s="1"/>
  <c r="R23" i="43"/>
  <c r="R24" i="43" s="1"/>
  <c r="X18" i="43"/>
  <c r="X61" i="43"/>
  <c r="X56" i="43"/>
  <c r="AD60" i="43"/>
  <c r="AD55" i="43"/>
  <c r="AD56" i="43"/>
  <c r="AD18" i="43"/>
  <c r="R60" i="43"/>
  <c r="R18" i="43"/>
  <c r="R55" i="43"/>
  <c r="R56" i="43"/>
  <c r="N48" i="43"/>
  <c r="O48" i="43"/>
  <c r="AB48" i="43"/>
  <c r="AD27" i="43"/>
  <c r="Z45" i="43"/>
  <c r="Z47" i="43" s="1"/>
  <c r="AD23" i="43"/>
  <c r="AD24" i="43" s="1"/>
  <c r="Z24" i="43"/>
  <c r="U47" i="43"/>
  <c r="U24" i="43"/>
  <c r="D24" i="43"/>
  <c r="D47" i="43"/>
  <c r="F47" i="43" s="1"/>
  <c r="F23" i="43"/>
  <c r="Q24" i="43"/>
  <c r="Q47" i="43"/>
  <c r="L24" i="43"/>
  <c r="L47" i="43"/>
  <c r="V24" i="43"/>
  <c r="V47" i="43"/>
  <c r="AA24" i="43"/>
  <c r="AA47" i="43"/>
  <c r="H48" i="43"/>
  <c r="P24" i="43"/>
  <c r="X23" i="43"/>
  <c r="X24" i="43" s="1"/>
  <c r="D22" i="44" l="1"/>
  <c r="E5" i="44" s="1"/>
  <c r="X59" i="43"/>
  <c r="X62" i="43" s="1"/>
  <c r="R45" i="43"/>
  <c r="R62" i="43"/>
  <c r="AD59" i="43"/>
  <c r="AD62" i="43" s="1"/>
  <c r="AD45" i="43"/>
  <c r="V48" i="43"/>
  <c r="Q48" i="43"/>
  <c r="X47" i="43"/>
  <c r="AA48" i="43"/>
  <c r="Z48" i="43"/>
  <c r="AD47" i="43"/>
  <c r="P48" i="43"/>
  <c r="L48" i="43"/>
  <c r="F24" i="43"/>
  <c r="U48" i="43"/>
  <c r="R47" i="43"/>
  <c r="D24" i="44" l="1"/>
  <c r="E22" i="44"/>
  <c r="G5" i="44" s="1"/>
  <c r="R48" i="43"/>
  <c r="AD48" i="43"/>
  <c r="X48" i="43"/>
  <c r="F48" i="43"/>
  <c r="E24" i="44" l="1"/>
  <c r="Q51" i="43" s="1"/>
  <c r="G22" i="44"/>
  <c r="H5" i="44" s="1"/>
  <c r="D8" i="7"/>
  <c r="D15" i="7" s="1"/>
  <c r="D16" i="7" s="1"/>
  <c r="E8" i="7"/>
  <c r="E11" i="7" s="1"/>
  <c r="E12" i="7" s="1"/>
  <c r="F8" i="7"/>
  <c r="F19" i="7" s="1"/>
  <c r="F20" i="7" s="1"/>
  <c r="G8" i="7"/>
  <c r="G19" i="7" s="1"/>
  <c r="G20" i="7" s="1"/>
  <c r="D11" i="7"/>
  <c r="D19" i="7" s="1"/>
  <c r="D20" i="7" s="1"/>
  <c r="F11" i="7"/>
  <c r="F12" i="7" s="1"/>
  <c r="F13" i="7" s="1"/>
  <c r="G15" i="7"/>
  <c r="G16" i="7" s="1"/>
  <c r="D10" i="6"/>
  <c r="D31" i="6" s="1"/>
  <c r="E10" i="6"/>
  <c r="E11" i="6" s="1"/>
  <c r="F10" i="6"/>
  <c r="G11" i="6" s="1"/>
  <c r="G10" i="6"/>
  <c r="D13" i="6"/>
  <c r="E13" i="6"/>
  <c r="F13" i="6"/>
  <c r="G13" i="6"/>
  <c r="D14" i="6"/>
  <c r="D32" i="6" s="1"/>
  <c r="E14" i="6"/>
  <c r="F14" i="6"/>
  <c r="G14" i="6"/>
  <c r="G15" i="6" s="1"/>
  <c r="D17" i="6"/>
  <c r="E17" i="6"/>
  <c r="F17" i="6"/>
  <c r="G17" i="6"/>
  <c r="D18" i="6"/>
  <c r="D33" i="6" s="1"/>
  <c r="E18" i="6"/>
  <c r="F18" i="6"/>
  <c r="G18" i="6"/>
  <c r="E27" i="6"/>
  <c r="F27" i="6" s="1"/>
  <c r="D10" i="5"/>
  <c r="E10" i="5"/>
  <c r="F10" i="5"/>
  <c r="G10" i="5"/>
  <c r="G11" i="5" s="1"/>
  <c r="D13" i="5"/>
  <c r="D14" i="5" s="1"/>
  <c r="D31" i="5" s="1"/>
  <c r="E13" i="5"/>
  <c r="E14" i="5" s="1"/>
  <c r="F13" i="5"/>
  <c r="G13" i="5"/>
  <c r="F14" i="5"/>
  <c r="F15" i="5" s="1"/>
  <c r="G14" i="5"/>
  <c r="D17" i="5"/>
  <c r="E17" i="5"/>
  <c r="F17" i="5"/>
  <c r="G17" i="5"/>
  <c r="D18" i="5"/>
  <c r="E18" i="5"/>
  <c r="E19" i="5" s="1"/>
  <c r="F18" i="5"/>
  <c r="G19" i="5" s="1"/>
  <c r="G18" i="5"/>
  <c r="E26" i="5"/>
  <c r="F26" i="5" s="1"/>
  <c r="D27" i="5"/>
  <c r="D32" i="5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AK4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B27" i="10"/>
  <c r="B48" i="10" s="1"/>
  <c r="B51" i="10" s="1"/>
  <c r="C27" i="10"/>
  <c r="C48" i="10" s="1"/>
  <c r="C51" i="10" s="1"/>
  <c r="D27" i="10"/>
  <c r="D48" i="10" s="1"/>
  <c r="D51" i="10" s="1"/>
  <c r="E27" i="10"/>
  <c r="E48" i="10" s="1"/>
  <c r="E51" i="10" s="1"/>
  <c r="F27" i="10"/>
  <c r="F48" i="10" s="1"/>
  <c r="F51" i="10" s="1"/>
  <c r="G27" i="10"/>
  <c r="G48" i="10" s="1"/>
  <c r="G51" i="10" s="1"/>
  <c r="H27" i="10"/>
  <c r="H48" i="10" s="1"/>
  <c r="H51" i="10" s="1"/>
  <c r="I27" i="10"/>
  <c r="I48" i="10" s="1"/>
  <c r="I51" i="10" s="1"/>
  <c r="J27" i="10"/>
  <c r="J48" i="10" s="1"/>
  <c r="J51" i="10" s="1"/>
  <c r="K27" i="10"/>
  <c r="K48" i="10" s="1"/>
  <c r="K51" i="10" s="1"/>
  <c r="L27" i="10"/>
  <c r="L48" i="10" s="1"/>
  <c r="L51" i="10" s="1"/>
  <c r="M27" i="10"/>
  <c r="M48" i="10" s="1"/>
  <c r="M51" i="10" s="1"/>
  <c r="N27" i="10"/>
  <c r="N48" i="10" s="1"/>
  <c r="N51" i="10" s="1"/>
  <c r="O27" i="10"/>
  <c r="O48" i="10" s="1"/>
  <c r="O51" i="10" s="1"/>
  <c r="P27" i="10"/>
  <c r="P48" i="10" s="1"/>
  <c r="P51" i="10" s="1"/>
  <c r="Q27" i="10"/>
  <c r="Q48" i="10" s="1"/>
  <c r="Q51" i="10" s="1"/>
  <c r="R27" i="10"/>
  <c r="R48" i="10" s="1"/>
  <c r="R51" i="10" s="1"/>
  <c r="S27" i="10"/>
  <c r="S48" i="10" s="1"/>
  <c r="S51" i="10" s="1"/>
  <c r="T27" i="10"/>
  <c r="T48" i="10" s="1"/>
  <c r="T51" i="10" s="1"/>
  <c r="U27" i="10"/>
  <c r="U48" i="10" s="1"/>
  <c r="U51" i="10" s="1"/>
  <c r="V27" i="10"/>
  <c r="V48" i="10" s="1"/>
  <c r="V51" i="10" s="1"/>
  <c r="W27" i="10"/>
  <c r="W48" i="10" s="1"/>
  <c r="W51" i="10" s="1"/>
  <c r="X27" i="10"/>
  <c r="X48" i="10" s="1"/>
  <c r="X51" i="10" s="1"/>
  <c r="Y27" i="10"/>
  <c r="Y48" i="10" s="1"/>
  <c r="Y51" i="10" s="1"/>
  <c r="Z27" i="10"/>
  <c r="Z48" i="10" s="1"/>
  <c r="Z51" i="10" s="1"/>
  <c r="AA27" i="10"/>
  <c r="AA48" i="10" s="1"/>
  <c r="AA51" i="10" s="1"/>
  <c r="AB27" i="10"/>
  <c r="AB48" i="10" s="1"/>
  <c r="AB51" i="10" s="1"/>
  <c r="AC27" i="10"/>
  <c r="AC48" i="10" s="1"/>
  <c r="AC51" i="10" s="1"/>
  <c r="AD27" i="10"/>
  <c r="AD48" i="10" s="1"/>
  <c r="AD51" i="10" s="1"/>
  <c r="AE27" i="10"/>
  <c r="AE48" i="10" s="1"/>
  <c r="AE51" i="10" s="1"/>
  <c r="AF27" i="10"/>
  <c r="AF48" i="10" s="1"/>
  <c r="AF51" i="10" s="1"/>
  <c r="AG27" i="10"/>
  <c r="AG48" i="10" s="1"/>
  <c r="AG51" i="10" s="1"/>
  <c r="AH27" i="10"/>
  <c r="AH48" i="10" s="1"/>
  <c r="AH51" i="10" s="1"/>
  <c r="AI27" i="10"/>
  <c r="AI48" i="10" s="1"/>
  <c r="AI51" i="10" s="1"/>
  <c r="AJ27" i="10"/>
  <c r="AJ48" i="10" s="1"/>
  <c r="AJ51" i="10" s="1"/>
  <c r="AK27" i="10"/>
  <c r="AK48" i="10" s="1"/>
  <c r="AK51" i="10" s="1"/>
  <c r="B28" i="10"/>
  <c r="B49" i="10" s="1"/>
  <c r="C28" i="10"/>
  <c r="C49" i="10" s="1"/>
  <c r="D28" i="10"/>
  <c r="D49" i="10" s="1"/>
  <c r="E28" i="10"/>
  <c r="E49" i="10" s="1"/>
  <c r="F28" i="10"/>
  <c r="F49" i="10" s="1"/>
  <c r="G28" i="10"/>
  <c r="G49" i="10" s="1"/>
  <c r="H28" i="10"/>
  <c r="H49" i="10" s="1"/>
  <c r="I28" i="10"/>
  <c r="I49" i="10" s="1"/>
  <c r="J28" i="10"/>
  <c r="J49" i="10" s="1"/>
  <c r="K28" i="10"/>
  <c r="K49" i="10" s="1"/>
  <c r="L28" i="10"/>
  <c r="L49" i="10" s="1"/>
  <c r="M28" i="10"/>
  <c r="M49" i="10" s="1"/>
  <c r="N28" i="10"/>
  <c r="N49" i="10" s="1"/>
  <c r="O28" i="10"/>
  <c r="O49" i="10" s="1"/>
  <c r="P28" i="10"/>
  <c r="P49" i="10" s="1"/>
  <c r="Q28" i="10"/>
  <c r="Q49" i="10" s="1"/>
  <c r="R28" i="10"/>
  <c r="R49" i="10" s="1"/>
  <c r="S28" i="10"/>
  <c r="S49" i="10" s="1"/>
  <c r="T28" i="10"/>
  <c r="T49" i="10" s="1"/>
  <c r="U28" i="10"/>
  <c r="U49" i="10" s="1"/>
  <c r="V28" i="10"/>
  <c r="V49" i="10" s="1"/>
  <c r="W28" i="10"/>
  <c r="W49" i="10" s="1"/>
  <c r="X28" i="10"/>
  <c r="X49" i="10" s="1"/>
  <c r="Y28" i="10"/>
  <c r="Y49" i="10" s="1"/>
  <c r="Z28" i="10"/>
  <c r="Z49" i="10" s="1"/>
  <c r="AA28" i="10"/>
  <c r="AA49" i="10" s="1"/>
  <c r="AB28" i="10"/>
  <c r="AB49" i="10" s="1"/>
  <c r="AC28" i="10"/>
  <c r="AC49" i="10" s="1"/>
  <c r="AD28" i="10"/>
  <c r="AD49" i="10" s="1"/>
  <c r="AE28" i="10"/>
  <c r="AE49" i="10" s="1"/>
  <c r="AF28" i="10"/>
  <c r="AF49" i="10" s="1"/>
  <c r="AG28" i="10"/>
  <c r="AG49" i="10" s="1"/>
  <c r="AH28" i="10"/>
  <c r="AH49" i="10" s="1"/>
  <c r="AI28" i="10"/>
  <c r="AI49" i="10" s="1"/>
  <c r="AJ28" i="10"/>
  <c r="AJ49" i="10" s="1"/>
  <c r="AK28" i="10"/>
  <c r="AK49" i="10" s="1"/>
  <c r="B29" i="10"/>
  <c r="B50" i="10" s="1"/>
  <c r="C29" i="10"/>
  <c r="C50" i="10" s="1"/>
  <c r="D29" i="10"/>
  <c r="D50" i="10" s="1"/>
  <c r="E29" i="10"/>
  <c r="E50" i="10" s="1"/>
  <c r="F29" i="10"/>
  <c r="F50" i="10" s="1"/>
  <c r="G29" i="10"/>
  <c r="G50" i="10" s="1"/>
  <c r="H29" i="10"/>
  <c r="H50" i="10" s="1"/>
  <c r="I29" i="10"/>
  <c r="I50" i="10" s="1"/>
  <c r="J29" i="10"/>
  <c r="J50" i="10" s="1"/>
  <c r="K29" i="10"/>
  <c r="K50" i="10" s="1"/>
  <c r="L29" i="10"/>
  <c r="L50" i="10" s="1"/>
  <c r="M29" i="10"/>
  <c r="M50" i="10" s="1"/>
  <c r="N29" i="10"/>
  <c r="N50" i="10" s="1"/>
  <c r="O29" i="10"/>
  <c r="O50" i="10" s="1"/>
  <c r="P29" i="10"/>
  <c r="P50" i="10" s="1"/>
  <c r="Q29" i="10"/>
  <c r="Q50" i="10" s="1"/>
  <c r="R29" i="10"/>
  <c r="R50" i="10" s="1"/>
  <c r="S29" i="10"/>
  <c r="S50" i="10" s="1"/>
  <c r="T29" i="10"/>
  <c r="T50" i="10" s="1"/>
  <c r="U29" i="10"/>
  <c r="U50" i="10" s="1"/>
  <c r="V29" i="10"/>
  <c r="V50" i="10" s="1"/>
  <c r="W29" i="10"/>
  <c r="W50" i="10" s="1"/>
  <c r="X29" i="10"/>
  <c r="X50" i="10" s="1"/>
  <c r="Y29" i="10"/>
  <c r="Y50" i="10" s="1"/>
  <c r="Z29" i="10"/>
  <c r="Z50" i="10" s="1"/>
  <c r="AA29" i="10"/>
  <c r="AA50" i="10" s="1"/>
  <c r="AB29" i="10"/>
  <c r="AB50" i="10" s="1"/>
  <c r="AC29" i="10"/>
  <c r="AC50" i="10" s="1"/>
  <c r="AD29" i="10"/>
  <c r="AD50" i="10" s="1"/>
  <c r="AE29" i="10"/>
  <c r="AE50" i="10" s="1"/>
  <c r="AF29" i="10"/>
  <c r="AF50" i="10" s="1"/>
  <c r="AG29" i="10"/>
  <c r="AG50" i="10" s="1"/>
  <c r="AH29" i="10"/>
  <c r="AH50" i="10" s="1"/>
  <c r="AI29" i="10"/>
  <c r="AI50" i="10" s="1"/>
  <c r="AJ29" i="10"/>
  <c r="AJ50" i="10" s="1"/>
  <c r="AK29" i="10"/>
  <c r="AK50" i="10" s="1"/>
  <c r="B32" i="10"/>
  <c r="B53" i="10" s="1"/>
  <c r="B56" i="10" s="1"/>
  <c r="C32" i="10"/>
  <c r="C53" i="10" s="1"/>
  <c r="C56" i="10" s="1"/>
  <c r="D32" i="10"/>
  <c r="D53" i="10" s="1"/>
  <c r="D56" i="10" s="1"/>
  <c r="E32" i="10"/>
  <c r="E53" i="10" s="1"/>
  <c r="E56" i="10" s="1"/>
  <c r="F32" i="10"/>
  <c r="F53" i="10" s="1"/>
  <c r="F56" i="10" s="1"/>
  <c r="G32" i="10"/>
  <c r="G53" i="10" s="1"/>
  <c r="G56" i="10" s="1"/>
  <c r="H32" i="10"/>
  <c r="H53" i="10" s="1"/>
  <c r="H56" i="10" s="1"/>
  <c r="I32" i="10"/>
  <c r="I53" i="10" s="1"/>
  <c r="I56" i="10" s="1"/>
  <c r="J32" i="10"/>
  <c r="J53" i="10" s="1"/>
  <c r="J56" i="10" s="1"/>
  <c r="K32" i="10"/>
  <c r="K53" i="10" s="1"/>
  <c r="K56" i="10" s="1"/>
  <c r="L32" i="10"/>
  <c r="L53" i="10" s="1"/>
  <c r="L56" i="10" s="1"/>
  <c r="M32" i="10"/>
  <c r="M53" i="10" s="1"/>
  <c r="M56" i="10" s="1"/>
  <c r="N32" i="10"/>
  <c r="N53" i="10" s="1"/>
  <c r="N56" i="10" s="1"/>
  <c r="O32" i="10"/>
  <c r="O53" i="10" s="1"/>
  <c r="O56" i="10" s="1"/>
  <c r="P32" i="10"/>
  <c r="P53" i="10" s="1"/>
  <c r="P56" i="10" s="1"/>
  <c r="Q32" i="10"/>
  <c r="Q53" i="10" s="1"/>
  <c r="Q56" i="10" s="1"/>
  <c r="R32" i="10"/>
  <c r="R53" i="10" s="1"/>
  <c r="R56" i="10" s="1"/>
  <c r="S32" i="10"/>
  <c r="S53" i="10" s="1"/>
  <c r="S56" i="10" s="1"/>
  <c r="T32" i="10"/>
  <c r="T53" i="10" s="1"/>
  <c r="T56" i="10" s="1"/>
  <c r="U32" i="10"/>
  <c r="U53" i="10" s="1"/>
  <c r="U56" i="10" s="1"/>
  <c r="V32" i="10"/>
  <c r="V53" i="10" s="1"/>
  <c r="V56" i="10" s="1"/>
  <c r="W32" i="10"/>
  <c r="W53" i="10" s="1"/>
  <c r="W56" i="10" s="1"/>
  <c r="X32" i="10"/>
  <c r="X53" i="10" s="1"/>
  <c r="X56" i="10" s="1"/>
  <c r="Y32" i="10"/>
  <c r="Y53" i="10" s="1"/>
  <c r="Y56" i="10" s="1"/>
  <c r="Z32" i="10"/>
  <c r="Z53" i="10" s="1"/>
  <c r="Z56" i="10" s="1"/>
  <c r="AA32" i="10"/>
  <c r="AA53" i="10" s="1"/>
  <c r="AA56" i="10" s="1"/>
  <c r="AB32" i="10"/>
  <c r="AB53" i="10" s="1"/>
  <c r="AB56" i="10" s="1"/>
  <c r="AC32" i="10"/>
  <c r="AC53" i="10" s="1"/>
  <c r="AC56" i="10" s="1"/>
  <c r="AD32" i="10"/>
  <c r="AD53" i="10" s="1"/>
  <c r="AD56" i="10" s="1"/>
  <c r="AE32" i="10"/>
  <c r="AE53" i="10" s="1"/>
  <c r="AE56" i="10" s="1"/>
  <c r="AF32" i="10"/>
  <c r="AF53" i="10" s="1"/>
  <c r="AF56" i="10" s="1"/>
  <c r="AG32" i="10"/>
  <c r="AG53" i="10" s="1"/>
  <c r="AG56" i="10" s="1"/>
  <c r="AH32" i="10"/>
  <c r="AH53" i="10" s="1"/>
  <c r="AH56" i="10" s="1"/>
  <c r="AI32" i="10"/>
  <c r="AI53" i="10" s="1"/>
  <c r="AI56" i="10" s="1"/>
  <c r="AJ32" i="10"/>
  <c r="AJ53" i="10" s="1"/>
  <c r="AJ56" i="10" s="1"/>
  <c r="AK32" i="10"/>
  <c r="AK53" i="10" s="1"/>
  <c r="AK56" i="10" s="1"/>
  <c r="B33" i="10"/>
  <c r="B54" i="10" s="1"/>
  <c r="C33" i="10"/>
  <c r="C54" i="10" s="1"/>
  <c r="D33" i="10"/>
  <c r="D54" i="10" s="1"/>
  <c r="E33" i="10"/>
  <c r="E54" i="10" s="1"/>
  <c r="F33" i="10"/>
  <c r="F54" i="10" s="1"/>
  <c r="G33" i="10"/>
  <c r="G54" i="10" s="1"/>
  <c r="H33" i="10"/>
  <c r="H54" i="10" s="1"/>
  <c r="I33" i="10"/>
  <c r="I54" i="10" s="1"/>
  <c r="J33" i="10"/>
  <c r="J54" i="10" s="1"/>
  <c r="K33" i="10"/>
  <c r="K54" i="10" s="1"/>
  <c r="L33" i="10"/>
  <c r="L54" i="10" s="1"/>
  <c r="M33" i="10"/>
  <c r="M54" i="10" s="1"/>
  <c r="N33" i="10"/>
  <c r="N54" i="10" s="1"/>
  <c r="O33" i="10"/>
  <c r="O54" i="10" s="1"/>
  <c r="P33" i="10"/>
  <c r="P54" i="10" s="1"/>
  <c r="Q33" i="10"/>
  <c r="Q54" i="10" s="1"/>
  <c r="R33" i="10"/>
  <c r="R54" i="10" s="1"/>
  <c r="S33" i="10"/>
  <c r="S54" i="10" s="1"/>
  <c r="T33" i="10"/>
  <c r="T54" i="10" s="1"/>
  <c r="U33" i="10"/>
  <c r="U54" i="10" s="1"/>
  <c r="V33" i="10"/>
  <c r="V54" i="10" s="1"/>
  <c r="W33" i="10"/>
  <c r="W54" i="10" s="1"/>
  <c r="X33" i="10"/>
  <c r="X54" i="10" s="1"/>
  <c r="Y33" i="10"/>
  <c r="Y54" i="10" s="1"/>
  <c r="Z33" i="10"/>
  <c r="Z54" i="10" s="1"/>
  <c r="AA33" i="10"/>
  <c r="AA54" i="10" s="1"/>
  <c r="AB33" i="10"/>
  <c r="AB54" i="10" s="1"/>
  <c r="AC33" i="10"/>
  <c r="AC54" i="10" s="1"/>
  <c r="AD33" i="10"/>
  <c r="AD54" i="10" s="1"/>
  <c r="AE33" i="10"/>
  <c r="AE54" i="10" s="1"/>
  <c r="AF33" i="10"/>
  <c r="AF54" i="10" s="1"/>
  <c r="AG33" i="10"/>
  <c r="AG54" i="10" s="1"/>
  <c r="AH33" i="10"/>
  <c r="AH54" i="10" s="1"/>
  <c r="AI33" i="10"/>
  <c r="AI54" i="10" s="1"/>
  <c r="AJ33" i="10"/>
  <c r="AJ54" i="10" s="1"/>
  <c r="AK33" i="10"/>
  <c r="AK54" i="10" s="1"/>
  <c r="B34" i="10"/>
  <c r="B55" i="10" s="1"/>
  <c r="C34" i="10"/>
  <c r="C55" i="10" s="1"/>
  <c r="D34" i="10"/>
  <c r="D55" i="10" s="1"/>
  <c r="E34" i="10"/>
  <c r="E55" i="10" s="1"/>
  <c r="F34" i="10"/>
  <c r="F55" i="10" s="1"/>
  <c r="G34" i="10"/>
  <c r="G55" i="10" s="1"/>
  <c r="H34" i="10"/>
  <c r="H55" i="10" s="1"/>
  <c r="I34" i="10"/>
  <c r="I55" i="10" s="1"/>
  <c r="J34" i="10"/>
  <c r="J55" i="10" s="1"/>
  <c r="K34" i="10"/>
  <c r="K55" i="10" s="1"/>
  <c r="L34" i="10"/>
  <c r="L55" i="10" s="1"/>
  <c r="M34" i="10"/>
  <c r="M55" i="10" s="1"/>
  <c r="N34" i="10"/>
  <c r="N55" i="10" s="1"/>
  <c r="O34" i="10"/>
  <c r="O55" i="10" s="1"/>
  <c r="P34" i="10"/>
  <c r="P55" i="10" s="1"/>
  <c r="Q34" i="10"/>
  <c r="Q55" i="10" s="1"/>
  <c r="R34" i="10"/>
  <c r="R55" i="10" s="1"/>
  <c r="S34" i="10"/>
  <c r="S55" i="10" s="1"/>
  <c r="T34" i="10"/>
  <c r="T55" i="10" s="1"/>
  <c r="U34" i="10"/>
  <c r="U55" i="10" s="1"/>
  <c r="V34" i="10"/>
  <c r="V55" i="10" s="1"/>
  <c r="W34" i="10"/>
  <c r="W55" i="10" s="1"/>
  <c r="X34" i="10"/>
  <c r="X55" i="10" s="1"/>
  <c r="Y34" i="10"/>
  <c r="Y55" i="10" s="1"/>
  <c r="Z34" i="10"/>
  <c r="Z55" i="10" s="1"/>
  <c r="AA34" i="10"/>
  <c r="AA55" i="10" s="1"/>
  <c r="AB34" i="10"/>
  <c r="AB55" i="10" s="1"/>
  <c r="AC34" i="10"/>
  <c r="AC55" i="10" s="1"/>
  <c r="AD34" i="10"/>
  <c r="AD55" i="10" s="1"/>
  <c r="AE34" i="10"/>
  <c r="AE55" i="10" s="1"/>
  <c r="AF34" i="10"/>
  <c r="AF55" i="10" s="1"/>
  <c r="AG34" i="10"/>
  <c r="AG55" i="10" s="1"/>
  <c r="AH34" i="10"/>
  <c r="AH55" i="10" s="1"/>
  <c r="AI34" i="10"/>
  <c r="AI55" i="10" s="1"/>
  <c r="AJ34" i="10"/>
  <c r="AJ55" i="10" s="1"/>
  <c r="AK34" i="10"/>
  <c r="AK55" i="10" s="1"/>
  <c r="B37" i="10"/>
  <c r="B58" i="10" s="1"/>
  <c r="B61" i="10" s="1"/>
  <c r="C37" i="10"/>
  <c r="C58" i="10" s="1"/>
  <c r="C61" i="10" s="1"/>
  <c r="D37" i="10"/>
  <c r="D58" i="10" s="1"/>
  <c r="D61" i="10" s="1"/>
  <c r="E37" i="10"/>
  <c r="E58" i="10" s="1"/>
  <c r="E61" i="10" s="1"/>
  <c r="F37" i="10"/>
  <c r="F58" i="10" s="1"/>
  <c r="F61" i="10" s="1"/>
  <c r="G37" i="10"/>
  <c r="G58" i="10" s="1"/>
  <c r="G61" i="10" s="1"/>
  <c r="H37" i="10"/>
  <c r="H58" i="10" s="1"/>
  <c r="H61" i="10" s="1"/>
  <c r="I37" i="10"/>
  <c r="I58" i="10" s="1"/>
  <c r="I61" i="10" s="1"/>
  <c r="J37" i="10"/>
  <c r="J58" i="10" s="1"/>
  <c r="J61" i="10" s="1"/>
  <c r="K37" i="10"/>
  <c r="K58" i="10" s="1"/>
  <c r="K61" i="10" s="1"/>
  <c r="L37" i="10"/>
  <c r="L58" i="10" s="1"/>
  <c r="L61" i="10" s="1"/>
  <c r="M37" i="10"/>
  <c r="M58" i="10" s="1"/>
  <c r="M61" i="10" s="1"/>
  <c r="N37" i="10"/>
  <c r="N58" i="10" s="1"/>
  <c r="N61" i="10" s="1"/>
  <c r="O37" i="10"/>
  <c r="O58" i="10" s="1"/>
  <c r="O61" i="10" s="1"/>
  <c r="P37" i="10"/>
  <c r="P58" i="10" s="1"/>
  <c r="P61" i="10" s="1"/>
  <c r="Q37" i="10"/>
  <c r="Q58" i="10" s="1"/>
  <c r="Q61" i="10" s="1"/>
  <c r="R37" i="10"/>
  <c r="R58" i="10" s="1"/>
  <c r="R61" i="10" s="1"/>
  <c r="S37" i="10"/>
  <c r="S58" i="10" s="1"/>
  <c r="S61" i="10" s="1"/>
  <c r="T37" i="10"/>
  <c r="T58" i="10" s="1"/>
  <c r="T61" i="10" s="1"/>
  <c r="U37" i="10"/>
  <c r="U58" i="10" s="1"/>
  <c r="U61" i="10" s="1"/>
  <c r="V37" i="10"/>
  <c r="V58" i="10" s="1"/>
  <c r="V61" i="10" s="1"/>
  <c r="W37" i="10"/>
  <c r="W58" i="10" s="1"/>
  <c r="W61" i="10" s="1"/>
  <c r="X37" i="10"/>
  <c r="X58" i="10" s="1"/>
  <c r="X61" i="10" s="1"/>
  <c r="Y37" i="10"/>
  <c r="Y58" i="10" s="1"/>
  <c r="Y61" i="10" s="1"/>
  <c r="Z37" i="10"/>
  <c r="Z58" i="10" s="1"/>
  <c r="Z61" i="10" s="1"/>
  <c r="AA37" i="10"/>
  <c r="AA58" i="10" s="1"/>
  <c r="AA61" i="10" s="1"/>
  <c r="AB37" i="10"/>
  <c r="AB58" i="10" s="1"/>
  <c r="AB61" i="10" s="1"/>
  <c r="AC37" i="10"/>
  <c r="AC58" i="10" s="1"/>
  <c r="AC61" i="10" s="1"/>
  <c r="AD37" i="10"/>
  <c r="AD58" i="10" s="1"/>
  <c r="AD61" i="10" s="1"/>
  <c r="AE37" i="10"/>
  <c r="AE58" i="10" s="1"/>
  <c r="AE61" i="10" s="1"/>
  <c r="AF37" i="10"/>
  <c r="AF58" i="10" s="1"/>
  <c r="AF61" i="10" s="1"/>
  <c r="AG37" i="10"/>
  <c r="AG58" i="10" s="1"/>
  <c r="AG61" i="10" s="1"/>
  <c r="AH37" i="10"/>
  <c r="AH58" i="10" s="1"/>
  <c r="AH61" i="10" s="1"/>
  <c r="AI37" i="10"/>
  <c r="AI58" i="10" s="1"/>
  <c r="AI61" i="10" s="1"/>
  <c r="AJ37" i="10"/>
  <c r="AJ58" i="10" s="1"/>
  <c r="AJ61" i="10" s="1"/>
  <c r="AK37" i="10"/>
  <c r="AK58" i="10" s="1"/>
  <c r="AK61" i="10" s="1"/>
  <c r="B38" i="10"/>
  <c r="B59" i="10" s="1"/>
  <c r="C38" i="10"/>
  <c r="C59" i="10" s="1"/>
  <c r="D38" i="10"/>
  <c r="D59" i="10" s="1"/>
  <c r="E38" i="10"/>
  <c r="E59" i="10" s="1"/>
  <c r="F38" i="10"/>
  <c r="F59" i="10" s="1"/>
  <c r="G38" i="10"/>
  <c r="G59" i="10" s="1"/>
  <c r="H38" i="10"/>
  <c r="H59" i="10" s="1"/>
  <c r="I38" i="10"/>
  <c r="I59" i="10" s="1"/>
  <c r="J38" i="10"/>
  <c r="J59" i="10" s="1"/>
  <c r="K38" i="10"/>
  <c r="K59" i="10" s="1"/>
  <c r="L38" i="10"/>
  <c r="L59" i="10" s="1"/>
  <c r="M38" i="10"/>
  <c r="M59" i="10" s="1"/>
  <c r="N38" i="10"/>
  <c r="N59" i="10" s="1"/>
  <c r="O38" i="10"/>
  <c r="O59" i="10" s="1"/>
  <c r="P38" i="10"/>
  <c r="P59" i="10" s="1"/>
  <c r="Q38" i="10"/>
  <c r="Q59" i="10" s="1"/>
  <c r="R38" i="10"/>
  <c r="R59" i="10" s="1"/>
  <c r="S38" i="10"/>
  <c r="S59" i="10" s="1"/>
  <c r="T38" i="10"/>
  <c r="T59" i="10" s="1"/>
  <c r="U38" i="10"/>
  <c r="U59" i="10" s="1"/>
  <c r="V38" i="10"/>
  <c r="V59" i="10" s="1"/>
  <c r="W38" i="10"/>
  <c r="W59" i="10" s="1"/>
  <c r="X38" i="10"/>
  <c r="X59" i="10" s="1"/>
  <c r="Y38" i="10"/>
  <c r="Y59" i="10" s="1"/>
  <c r="Z38" i="10"/>
  <c r="Z59" i="10" s="1"/>
  <c r="AA38" i="10"/>
  <c r="AA59" i="10" s="1"/>
  <c r="AB38" i="10"/>
  <c r="AB59" i="10" s="1"/>
  <c r="AC38" i="10"/>
  <c r="AC59" i="10" s="1"/>
  <c r="AD38" i="10"/>
  <c r="AD59" i="10" s="1"/>
  <c r="AE38" i="10"/>
  <c r="AE59" i="10" s="1"/>
  <c r="AF38" i="10"/>
  <c r="AF59" i="10" s="1"/>
  <c r="AG38" i="10"/>
  <c r="AG59" i="10" s="1"/>
  <c r="AH38" i="10"/>
  <c r="AH59" i="10" s="1"/>
  <c r="AI38" i="10"/>
  <c r="AI59" i="10" s="1"/>
  <c r="AJ38" i="10"/>
  <c r="AJ59" i="10" s="1"/>
  <c r="AK38" i="10"/>
  <c r="AK59" i="10" s="1"/>
  <c r="B39" i="10"/>
  <c r="B60" i="10" s="1"/>
  <c r="C39" i="10"/>
  <c r="C60" i="10" s="1"/>
  <c r="D39" i="10"/>
  <c r="D60" i="10" s="1"/>
  <c r="E39" i="10"/>
  <c r="E60" i="10" s="1"/>
  <c r="F39" i="10"/>
  <c r="F60" i="10" s="1"/>
  <c r="G39" i="10"/>
  <c r="G60" i="10" s="1"/>
  <c r="H39" i="10"/>
  <c r="H60" i="10" s="1"/>
  <c r="I39" i="10"/>
  <c r="I60" i="10" s="1"/>
  <c r="J39" i="10"/>
  <c r="J60" i="10" s="1"/>
  <c r="K39" i="10"/>
  <c r="K60" i="10" s="1"/>
  <c r="L39" i="10"/>
  <c r="L60" i="10" s="1"/>
  <c r="M39" i="10"/>
  <c r="M60" i="10" s="1"/>
  <c r="N39" i="10"/>
  <c r="N60" i="10" s="1"/>
  <c r="O39" i="10"/>
  <c r="O60" i="10" s="1"/>
  <c r="P39" i="10"/>
  <c r="P60" i="10" s="1"/>
  <c r="Q39" i="10"/>
  <c r="Q60" i="10" s="1"/>
  <c r="R39" i="10"/>
  <c r="R60" i="10" s="1"/>
  <c r="S39" i="10"/>
  <c r="S60" i="10" s="1"/>
  <c r="T39" i="10"/>
  <c r="T60" i="10" s="1"/>
  <c r="U39" i="10"/>
  <c r="U60" i="10" s="1"/>
  <c r="V39" i="10"/>
  <c r="V60" i="10" s="1"/>
  <c r="W39" i="10"/>
  <c r="W60" i="10" s="1"/>
  <c r="X39" i="10"/>
  <c r="X60" i="10" s="1"/>
  <c r="Y39" i="10"/>
  <c r="Y60" i="10" s="1"/>
  <c r="Z39" i="10"/>
  <c r="Z60" i="10" s="1"/>
  <c r="AA39" i="10"/>
  <c r="AA60" i="10" s="1"/>
  <c r="AB39" i="10"/>
  <c r="AB60" i="10" s="1"/>
  <c r="AC39" i="10"/>
  <c r="AC60" i="10" s="1"/>
  <c r="AD39" i="10"/>
  <c r="AD60" i="10" s="1"/>
  <c r="AE39" i="10"/>
  <c r="AE60" i="10" s="1"/>
  <c r="AF39" i="10"/>
  <c r="AF60" i="10" s="1"/>
  <c r="AG39" i="10"/>
  <c r="AG60" i="10" s="1"/>
  <c r="AH39" i="10"/>
  <c r="AH60" i="10" s="1"/>
  <c r="AI39" i="10"/>
  <c r="AI60" i="10" s="1"/>
  <c r="AJ39" i="10"/>
  <c r="AJ60" i="10" s="1"/>
  <c r="AK39" i="10"/>
  <c r="AK60" i="10" s="1"/>
  <c r="B42" i="10"/>
  <c r="B63" i="10" s="1"/>
  <c r="B66" i="10" s="1"/>
  <c r="B68" i="10" s="1"/>
  <c r="C42" i="10"/>
  <c r="C63" i="10" s="1"/>
  <c r="C66" i="10" s="1"/>
  <c r="C68" i="10" s="1"/>
  <c r="D42" i="10"/>
  <c r="D63" i="10" s="1"/>
  <c r="D66" i="10" s="1"/>
  <c r="D68" i="10" s="1"/>
  <c r="E42" i="10"/>
  <c r="E63" i="10" s="1"/>
  <c r="E66" i="10" s="1"/>
  <c r="E68" i="10" s="1"/>
  <c r="F42" i="10"/>
  <c r="F63" i="10" s="1"/>
  <c r="F66" i="10" s="1"/>
  <c r="F68" i="10" s="1"/>
  <c r="G42" i="10"/>
  <c r="G63" i="10" s="1"/>
  <c r="G66" i="10" s="1"/>
  <c r="G68" i="10" s="1"/>
  <c r="H42" i="10"/>
  <c r="H63" i="10" s="1"/>
  <c r="H66" i="10" s="1"/>
  <c r="H68" i="10" s="1"/>
  <c r="I42" i="10"/>
  <c r="I63" i="10" s="1"/>
  <c r="I66" i="10" s="1"/>
  <c r="I68" i="10" s="1"/>
  <c r="J42" i="10"/>
  <c r="J63" i="10" s="1"/>
  <c r="J66" i="10" s="1"/>
  <c r="J68" i="10" s="1"/>
  <c r="K42" i="10"/>
  <c r="K63" i="10" s="1"/>
  <c r="K66" i="10" s="1"/>
  <c r="K68" i="10" s="1"/>
  <c r="L42" i="10"/>
  <c r="L63" i="10" s="1"/>
  <c r="L66" i="10" s="1"/>
  <c r="L68" i="10" s="1"/>
  <c r="M42" i="10"/>
  <c r="M63" i="10" s="1"/>
  <c r="M66" i="10" s="1"/>
  <c r="M68" i="10" s="1"/>
  <c r="N42" i="10"/>
  <c r="N63" i="10" s="1"/>
  <c r="N66" i="10" s="1"/>
  <c r="N68" i="10" s="1"/>
  <c r="O42" i="10"/>
  <c r="O63" i="10" s="1"/>
  <c r="O66" i="10" s="1"/>
  <c r="O68" i="10" s="1"/>
  <c r="P42" i="10"/>
  <c r="P63" i="10" s="1"/>
  <c r="P66" i="10" s="1"/>
  <c r="P68" i="10" s="1"/>
  <c r="Q42" i="10"/>
  <c r="Q63" i="10" s="1"/>
  <c r="Q66" i="10" s="1"/>
  <c r="Q68" i="10" s="1"/>
  <c r="R42" i="10"/>
  <c r="R63" i="10" s="1"/>
  <c r="R66" i="10" s="1"/>
  <c r="R68" i="10" s="1"/>
  <c r="S42" i="10"/>
  <c r="S63" i="10" s="1"/>
  <c r="S66" i="10" s="1"/>
  <c r="S68" i="10" s="1"/>
  <c r="T42" i="10"/>
  <c r="T63" i="10" s="1"/>
  <c r="T66" i="10" s="1"/>
  <c r="T68" i="10" s="1"/>
  <c r="U42" i="10"/>
  <c r="U63" i="10" s="1"/>
  <c r="U66" i="10" s="1"/>
  <c r="U68" i="10" s="1"/>
  <c r="V42" i="10"/>
  <c r="V63" i="10" s="1"/>
  <c r="V66" i="10" s="1"/>
  <c r="V68" i="10" s="1"/>
  <c r="W42" i="10"/>
  <c r="W63" i="10" s="1"/>
  <c r="W66" i="10" s="1"/>
  <c r="W68" i="10" s="1"/>
  <c r="X42" i="10"/>
  <c r="X63" i="10" s="1"/>
  <c r="X66" i="10" s="1"/>
  <c r="X68" i="10" s="1"/>
  <c r="Y42" i="10"/>
  <c r="Y63" i="10" s="1"/>
  <c r="Y66" i="10" s="1"/>
  <c r="Y68" i="10" s="1"/>
  <c r="Z42" i="10"/>
  <c r="Z63" i="10" s="1"/>
  <c r="Z66" i="10" s="1"/>
  <c r="Z68" i="10" s="1"/>
  <c r="AA42" i="10"/>
  <c r="AA63" i="10" s="1"/>
  <c r="AA66" i="10" s="1"/>
  <c r="AA68" i="10" s="1"/>
  <c r="AB42" i="10"/>
  <c r="AB63" i="10" s="1"/>
  <c r="AB66" i="10" s="1"/>
  <c r="AB68" i="10" s="1"/>
  <c r="AC42" i="10"/>
  <c r="AC63" i="10" s="1"/>
  <c r="AC66" i="10" s="1"/>
  <c r="AC68" i="10" s="1"/>
  <c r="AD42" i="10"/>
  <c r="AD63" i="10" s="1"/>
  <c r="AD66" i="10" s="1"/>
  <c r="AD68" i="10" s="1"/>
  <c r="AE42" i="10"/>
  <c r="AE63" i="10" s="1"/>
  <c r="AE66" i="10" s="1"/>
  <c r="AE68" i="10" s="1"/>
  <c r="AF42" i="10"/>
  <c r="AF63" i="10" s="1"/>
  <c r="AF66" i="10" s="1"/>
  <c r="AF68" i="10" s="1"/>
  <c r="AG42" i="10"/>
  <c r="AG63" i="10" s="1"/>
  <c r="AG66" i="10" s="1"/>
  <c r="AG68" i="10" s="1"/>
  <c r="AH42" i="10"/>
  <c r="AH63" i="10" s="1"/>
  <c r="AH66" i="10" s="1"/>
  <c r="AH68" i="10" s="1"/>
  <c r="AI42" i="10"/>
  <c r="AI63" i="10" s="1"/>
  <c r="AI66" i="10" s="1"/>
  <c r="AI68" i="10" s="1"/>
  <c r="AJ42" i="10"/>
  <c r="AJ63" i="10" s="1"/>
  <c r="AJ66" i="10" s="1"/>
  <c r="AJ68" i="10" s="1"/>
  <c r="AK42" i="10"/>
  <c r="AK63" i="10" s="1"/>
  <c r="AK66" i="10" s="1"/>
  <c r="AK68" i="10" s="1"/>
  <c r="B43" i="10"/>
  <c r="B64" i="10" s="1"/>
  <c r="C43" i="10"/>
  <c r="C64" i="10" s="1"/>
  <c r="D43" i="10"/>
  <c r="D64" i="10" s="1"/>
  <c r="E43" i="10"/>
  <c r="E64" i="10" s="1"/>
  <c r="F43" i="10"/>
  <c r="F64" i="10" s="1"/>
  <c r="G43" i="10"/>
  <c r="G64" i="10" s="1"/>
  <c r="H43" i="10"/>
  <c r="H64" i="10" s="1"/>
  <c r="I43" i="10"/>
  <c r="I64" i="10" s="1"/>
  <c r="J43" i="10"/>
  <c r="J64" i="10" s="1"/>
  <c r="K43" i="10"/>
  <c r="K64" i="10" s="1"/>
  <c r="L43" i="10"/>
  <c r="L64" i="10" s="1"/>
  <c r="M43" i="10"/>
  <c r="M64" i="10" s="1"/>
  <c r="N43" i="10"/>
  <c r="N64" i="10" s="1"/>
  <c r="O43" i="10"/>
  <c r="O64" i="10" s="1"/>
  <c r="P43" i="10"/>
  <c r="P64" i="10" s="1"/>
  <c r="Q43" i="10"/>
  <c r="Q64" i="10" s="1"/>
  <c r="R43" i="10"/>
  <c r="R64" i="10" s="1"/>
  <c r="S43" i="10"/>
  <c r="S64" i="10" s="1"/>
  <c r="T43" i="10"/>
  <c r="T64" i="10" s="1"/>
  <c r="U43" i="10"/>
  <c r="U64" i="10" s="1"/>
  <c r="V43" i="10"/>
  <c r="V64" i="10" s="1"/>
  <c r="W43" i="10"/>
  <c r="W64" i="10" s="1"/>
  <c r="X43" i="10"/>
  <c r="X64" i="10" s="1"/>
  <c r="Y43" i="10"/>
  <c r="Y64" i="10" s="1"/>
  <c r="Z43" i="10"/>
  <c r="Z64" i="10" s="1"/>
  <c r="AA43" i="10"/>
  <c r="AA64" i="10" s="1"/>
  <c r="AB43" i="10"/>
  <c r="AB64" i="10" s="1"/>
  <c r="AC43" i="10"/>
  <c r="AC64" i="10" s="1"/>
  <c r="AD43" i="10"/>
  <c r="AD64" i="10" s="1"/>
  <c r="AE43" i="10"/>
  <c r="AE64" i="10" s="1"/>
  <c r="AF43" i="10"/>
  <c r="AF64" i="10" s="1"/>
  <c r="AG43" i="10"/>
  <c r="AG64" i="10" s="1"/>
  <c r="AH43" i="10"/>
  <c r="AH64" i="10" s="1"/>
  <c r="AI43" i="10"/>
  <c r="AI64" i="10" s="1"/>
  <c r="AJ43" i="10"/>
  <c r="AJ64" i="10" s="1"/>
  <c r="AK43" i="10"/>
  <c r="AK64" i="10" s="1"/>
  <c r="B44" i="10"/>
  <c r="B65" i="10" s="1"/>
  <c r="C44" i="10"/>
  <c r="C65" i="10" s="1"/>
  <c r="D44" i="10"/>
  <c r="D65" i="10" s="1"/>
  <c r="E44" i="10"/>
  <c r="E65" i="10" s="1"/>
  <c r="F44" i="10"/>
  <c r="F65" i="10" s="1"/>
  <c r="G44" i="10"/>
  <c r="G65" i="10" s="1"/>
  <c r="H44" i="10"/>
  <c r="H65" i="10" s="1"/>
  <c r="I44" i="10"/>
  <c r="I65" i="10" s="1"/>
  <c r="J44" i="10"/>
  <c r="J65" i="10" s="1"/>
  <c r="K44" i="10"/>
  <c r="K65" i="10" s="1"/>
  <c r="L44" i="10"/>
  <c r="L65" i="10" s="1"/>
  <c r="M44" i="10"/>
  <c r="M65" i="10" s="1"/>
  <c r="N44" i="10"/>
  <c r="N65" i="10" s="1"/>
  <c r="O44" i="10"/>
  <c r="O65" i="10" s="1"/>
  <c r="P44" i="10"/>
  <c r="P65" i="10" s="1"/>
  <c r="Q44" i="10"/>
  <c r="Q65" i="10" s="1"/>
  <c r="R44" i="10"/>
  <c r="R65" i="10" s="1"/>
  <c r="S44" i="10"/>
  <c r="S65" i="10" s="1"/>
  <c r="T44" i="10"/>
  <c r="T65" i="10" s="1"/>
  <c r="U44" i="10"/>
  <c r="U65" i="10" s="1"/>
  <c r="V44" i="10"/>
  <c r="V65" i="10" s="1"/>
  <c r="W44" i="10"/>
  <c r="W65" i="10" s="1"/>
  <c r="X44" i="10"/>
  <c r="X65" i="10" s="1"/>
  <c r="Y44" i="10"/>
  <c r="Y65" i="10" s="1"/>
  <c r="Z44" i="10"/>
  <c r="Z65" i="10" s="1"/>
  <c r="AA44" i="10"/>
  <c r="AA65" i="10" s="1"/>
  <c r="AB44" i="10"/>
  <c r="AB65" i="10" s="1"/>
  <c r="AC44" i="10"/>
  <c r="AC65" i="10" s="1"/>
  <c r="AD44" i="10"/>
  <c r="AD65" i="10" s="1"/>
  <c r="AE44" i="10"/>
  <c r="AE65" i="10" s="1"/>
  <c r="AF44" i="10"/>
  <c r="AF65" i="10" s="1"/>
  <c r="AG44" i="10"/>
  <c r="AG65" i="10" s="1"/>
  <c r="AH44" i="10"/>
  <c r="AH65" i="10" s="1"/>
  <c r="AI44" i="10"/>
  <c r="AI65" i="10" s="1"/>
  <c r="AJ44" i="10"/>
  <c r="AJ65" i="10" s="1"/>
  <c r="AK44" i="10"/>
  <c r="AK65" i="10" s="1"/>
  <c r="D30" i="5" l="1"/>
  <c r="E15" i="7"/>
  <c r="E16" i="7" s="1"/>
  <c r="G24" i="44"/>
  <c r="T51" i="43" s="1"/>
  <c r="E11" i="5"/>
  <c r="F19" i="6"/>
  <c r="F15" i="6"/>
  <c r="E19" i="7"/>
  <c r="E20" i="7" s="1"/>
  <c r="D12" i="7"/>
  <c r="E13" i="7" s="1"/>
  <c r="H22" i="44"/>
  <c r="I5" i="44" s="1"/>
  <c r="G11" i="7"/>
  <c r="G12" i="7" s="1"/>
  <c r="E27" i="5"/>
  <c r="E15" i="5"/>
  <c r="F11" i="5"/>
  <c r="E19" i="6"/>
  <c r="F21" i="7"/>
  <c r="E33" i="6"/>
  <c r="F19" i="5"/>
  <c r="G15" i="5"/>
  <c r="F11" i="6"/>
  <c r="G19" i="6"/>
  <c r="E32" i="6"/>
  <c r="E17" i="7"/>
  <c r="E31" i="5"/>
  <c r="E31" i="6"/>
  <c r="E15" i="6"/>
  <c r="F15" i="7"/>
  <c r="F16" i="7" s="1"/>
  <c r="F17" i="7" s="1"/>
  <c r="G13" i="7"/>
  <c r="G21" i="7"/>
  <c r="E21" i="7"/>
  <c r="F27" i="5"/>
  <c r="G26" i="5"/>
  <c r="G27" i="5" s="1"/>
  <c r="G27" i="6"/>
  <c r="F32" i="6"/>
  <c r="F31" i="6"/>
  <c r="F33" i="6"/>
  <c r="H24" i="44" l="1"/>
  <c r="U51" i="43" s="1"/>
  <c r="I22" i="44"/>
  <c r="J5" i="44" s="1"/>
  <c r="E30" i="5"/>
  <c r="E32" i="5"/>
  <c r="G17" i="7"/>
  <c r="G31" i="6"/>
  <c r="H31" i="6" s="1"/>
  <c r="G33" i="6"/>
  <c r="H33" i="6" s="1"/>
  <c r="G32" i="6"/>
  <c r="H32" i="6" s="1"/>
  <c r="F30" i="5"/>
  <c r="F32" i="5"/>
  <c r="F31" i="5"/>
  <c r="G31" i="5"/>
  <c r="G30" i="5"/>
  <c r="G32" i="5"/>
  <c r="I24" i="44" l="1"/>
  <c r="V51" i="43" s="1"/>
  <c r="J22" i="44"/>
  <c r="L5" i="44" s="1"/>
  <c r="H31" i="5"/>
  <c r="H30" i="5"/>
  <c r="H32" i="5"/>
  <c r="J24" i="44" l="1"/>
  <c r="W51" i="43" s="1"/>
  <c r="L22" i="44"/>
  <c r="M5" i="44" s="1"/>
  <c r="Q50" i="43"/>
  <c r="L24" i="44" l="1"/>
  <c r="Z51" i="43" s="1"/>
  <c r="M22" i="44"/>
  <c r="N5" i="44" s="1"/>
  <c r="Q52" i="43"/>
  <c r="T50" i="43" s="1"/>
  <c r="M24" i="44" l="1"/>
  <c r="AA51" i="43" s="1"/>
  <c r="N22" i="44"/>
  <c r="O5" i="44" s="1"/>
  <c r="O22" i="44" s="1"/>
  <c r="O24" i="44" s="1"/>
  <c r="AC51" i="43" s="1"/>
  <c r="T52" i="43"/>
  <c r="U50" i="43" s="1"/>
  <c r="N24" i="44" l="1"/>
  <c r="AB51" i="43" s="1"/>
  <c r="U52" i="43"/>
  <c r="V50" i="43" s="1"/>
  <c r="V52" i="43" l="1"/>
  <c r="W50" i="43" s="1"/>
  <c r="W52" i="43" l="1"/>
  <c r="Z50" i="43" s="1"/>
  <c r="Z52" i="43" l="1"/>
  <c r="AA50" i="43" s="1"/>
  <c r="AA52" i="43" l="1"/>
  <c r="AB50" i="43" s="1"/>
  <c r="AB52" i="43" l="1"/>
  <c r="AC50" i="43" s="1"/>
  <c r="AC52" i="43" l="1"/>
  <c r="AF50" i="43" s="1"/>
  <c r="AF52" i="43" s="1"/>
  <c r="AG50" i="43" s="1"/>
  <c r="AG52" i="43" s="1"/>
  <c r="AH50" i="43" s="1"/>
  <c r="AH52" i="43" s="1"/>
  <c r="AI50" i="43" s="1"/>
  <c r="AI52" i="43" s="1"/>
</calcChain>
</file>

<file path=xl/comments1.xml><?xml version="1.0" encoding="utf-8"?>
<comments xmlns="http://schemas.openxmlformats.org/spreadsheetml/2006/main">
  <authors>
    <author>Pete</author>
    <author>pprivateer</author>
    <author>p</author>
  </authors>
  <commentList>
    <comment ref="Q41" authorId="0">
      <text>
        <r>
          <rPr>
            <b/>
            <sz val="9"/>
            <color indexed="81"/>
            <rFont val="Tahoma"/>
            <family val="2"/>
          </rPr>
          <t>Pete:</t>
        </r>
        <r>
          <rPr>
            <sz val="9"/>
            <color indexed="81"/>
            <rFont val="Tahoma"/>
            <family val="2"/>
          </rPr>
          <t xml:space="preserve">
Includes a one-time retainer to Credit Suisse of $100K</t>
        </r>
      </text>
    </comment>
    <comment ref="N57" authorId="1">
      <text>
        <r>
          <rPr>
            <b/>
            <sz val="9"/>
            <color indexed="81"/>
            <rFont val="Tahoma"/>
            <family val="2"/>
          </rPr>
          <t>pprivateer:</t>
        </r>
        <r>
          <rPr>
            <sz val="9"/>
            <color indexed="81"/>
            <rFont val="Tahoma"/>
            <family val="2"/>
          </rPr>
          <t xml:space="preserve">
Adam
Mark
Preston</t>
        </r>
      </text>
    </comment>
    <comment ref="O57" authorId="2">
      <text>
        <r>
          <rPr>
            <b/>
            <sz val="9"/>
            <color indexed="81"/>
            <rFont val="Tahoma"/>
            <family val="2"/>
          </rPr>
          <t>p:</t>
        </r>
        <r>
          <rPr>
            <sz val="9"/>
            <color indexed="81"/>
            <rFont val="Tahoma"/>
            <family val="2"/>
          </rPr>
          <t xml:space="preserve">
Added Jason &amp; Don</t>
        </r>
      </text>
    </comment>
    <comment ref="N58" authorId="1">
      <text>
        <r>
          <rPr>
            <b/>
            <sz val="9"/>
            <color indexed="81"/>
            <rFont val="Tahoma"/>
            <family val="2"/>
          </rPr>
          <t>pprivateer:</t>
        </r>
        <r>
          <rPr>
            <sz val="9"/>
            <color indexed="81"/>
            <rFont val="Tahoma"/>
            <family val="2"/>
          </rPr>
          <t xml:space="preserve">
Tommy
TBD VP of Sales</t>
        </r>
      </text>
    </comment>
    <comment ref="T58" authorId="1">
      <text>
        <r>
          <rPr>
            <b/>
            <sz val="9"/>
            <color indexed="81"/>
            <rFont val="Tahoma"/>
            <family val="2"/>
          </rPr>
          <t>pprivateer:</t>
        </r>
        <r>
          <rPr>
            <sz val="9"/>
            <color indexed="81"/>
            <rFont val="Tahoma"/>
            <family val="2"/>
          </rPr>
          <t xml:space="preserve">
Add 1 SE
</t>
        </r>
      </text>
    </comment>
  </commentList>
</comments>
</file>

<file path=xl/comments2.xml><?xml version="1.0" encoding="utf-8"?>
<comments xmlns="http://schemas.openxmlformats.org/spreadsheetml/2006/main">
  <authors>
    <author>Lori Cooper</author>
    <author>lcooper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Lori Cooper:
VMC to be paid:</t>
        </r>
        <r>
          <rPr>
            <sz val="8"/>
            <color indexed="81"/>
            <rFont val="Tahoma"/>
            <family val="2"/>
          </rPr>
          <t xml:space="preserve">
MN Teachers $10k
Cisco $35k
Freedom group $5k
3com/TP $75k</t>
        </r>
      </text>
    </comment>
    <comment ref="E8" authorId="1">
      <text>
        <r>
          <rPr>
            <b/>
            <sz val="9"/>
            <color indexed="81"/>
            <rFont val="Tahoma"/>
            <family val="2"/>
          </rPr>
          <t>lcooper:</t>
        </r>
        <r>
          <rPr>
            <sz val="9"/>
            <color indexed="81"/>
            <rFont val="Tahoma"/>
            <family val="2"/>
          </rPr>
          <t xml:space="preserve">
VMC new licenses:
DIA $365k
HP $100k
CSC $168k
Harvard $8k
Constellation $12k
Bluewave $31k
CISCO $35k</t>
        </r>
      </text>
    </comment>
  </commentList>
</comments>
</file>

<file path=xl/sharedStrings.xml><?xml version="1.0" encoding="utf-8"?>
<sst xmlns="http://schemas.openxmlformats.org/spreadsheetml/2006/main" count="280" uniqueCount="150">
  <si>
    <t>G&amp;A</t>
  </si>
  <si>
    <t>R&amp;D</t>
  </si>
  <si>
    <t>Support</t>
  </si>
  <si>
    <t>Reflex VSA Total Revenue Opportunity</t>
  </si>
  <si>
    <t>Server units in 000s</t>
  </si>
  <si>
    <t>2007E</t>
  </si>
  <si>
    <t>2008E</t>
  </si>
  <si>
    <t>2009E</t>
  </si>
  <si>
    <t>2010E</t>
  </si>
  <si>
    <t>Base Case Assumptions</t>
  </si>
  <si>
    <t>Virtual Servers with Virtual IPS/IDS(1)</t>
  </si>
  <si>
    <t>Reflex VSA Market Share Penetration Scenerio #1</t>
  </si>
  <si>
    <t>Reflex VSA Licenses Sold</t>
  </si>
  <si>
    <t>YoY % Change</t>
  </si>
  <si>
    <t>Reflex VSA Market Share Penetration 80% of base case</t>
  </si>
  <si>
    <t>Reflex VSA Market Share Penetration Scenerio #3</t>
  </si>
  <si>
    <t>(1) From Reflex VSA TAM 80% of base case</t>
  </si>
  <si>
    <t>Reflex Revenue Opportunity</t>
  </si>
  <si>
    <t>in 000s, Reflex pricing is actual</t>
  </si>
  <si>
    <t>Reflex License Revenue Per Server (assume 5% decrease yr/yr)</t>
  </si>
  <si>
    <t>Reflex License Revenue Per Server(40% discount)</t>
  </si>
  <si>
    <t>Total Opportunity</t>
  </si>
  <si>
    <t>4 year total revenue</t>
  </si>
  <si>
    <t xml:space="preserve"> Opportunity Scenerio #1</t>
  </si>
  <si>
    <t>Opportunity Scenerio #2</t>
  </si>
  <si>
    <t>Opportunity Scenerio #3</t>
  </si>
  <si>
    <t>dev</t>
  </si>
  <si>
    <t>Reflex VSA Total Available Market</t>
  </si>
  <si>
    <t>Virtual Servers, Industry Installed Base(1)</t>
  </si>
  <si>
    <t>Sensitivity Analysis</t>
  </si>
  <si>
    <t>Virtual IPS/IDS Security Penetration, base case</t>
  </si>
  <si>
    <t>Virtual Servers with Virtual IPS/IDS</t>
  </si>
  <si>
    <t xml:space="preserve">Virtual IPS/IDS Security Penetration, 80% of base case  </t>
  </si>
  <si>
    <t>Virtual IPS/IDS Security Penetration, 150% of base case</t>
  </si>
  <si>
    <t>(1) Virtual Servers based on Physical Virtual Machines Base Penetration -5%</t>
  </si>
  <si>
    <t>Virtual IPS/IDS Total Available Market</t>
  </si>
  <si>
    <t>in 000s, Virtual IPS/ISD Spending Per Service pricing is actual</t>
  </si>
  <si>
    <t>Virtual IPS/ISD Spending Per Server (assume 5% yr/yr decline)</t>
  </si>
  <si>
    <t>4 Year Total Market</t>
  </si>
  <si>
    <t>Table 6: Worldwide Server Penetration Sensitivity Analysis</t>
  </si>
  <si>
    <t>Total x86 Installed Base</t>
  </si>
  <si>
    <t>Physical Virtualized Machines</t>
  </si>
  <si>
    <t>Base Penetration Assumption</t>
  </si>
  <si>
    <t>Base Penetration, @ base case</t>
  </si>
  <si>
    <t>NM</t>
  </si>
  <si>
    <t xml:space="preserve">Base Penetration, -5% points </t>
  </si>
  <si>
    <t>Base Penetration, +5%  points</t>
  </si>
  <si>
    <t>Source: IDC and JPMorgan estimates</t>
  </si>
  <si>
    <t>Other</t>
  </si>
  <si>
    <t>Americas</t>
  </si>
  <si>
    <t>EMEA</t>
  </si>
  <si>
    <t>APAC</t>
  </si>
  <si>
    <t>Channel Sales Exec</t>
  </si>
  <si>
    <t>Inside Sales</t>
  </si>
  <si>
    <t>Channel Sales Engineers</t>
  </si>
  <si>
    <t>Channel Reps Required (straight calc)</t>
  </si>
  <si>
    <t>Channel Reps Required (blended &amp; forecasted)</t>
  </si>
  <si>
    <t>Total</t>
  </si>
  <si>
    <t>Global Total</t>
  </si>
  <si>
    <t>Channel Reps Base Salary</t>
  </si>
  <si>
    <t>Gross Profit</t>
  </si>
  <si>
    <t>Q1</t>
  </si>
  <si>
    <t>Q2</t>
  </si>
  <si>
    <t>Q4</t>
  </si>
  <si>
    <t>GM %</t>
  </si>
  <si>
    <t>Total Operating Expense</t>
  </si>
  <si>
    <t>% of revenue</t>
  </si>
  <si>
    <t>Operating Income/Loss (EBIDTA)</t>
  </si>
  <si>
    <t>Subscription as % of Rev.</t>
  </si>
  <si>
    <t>Cost of Goods</t>
  </si>
  <si>
    <t>Marketing/Telemarketing</t>
  </si>
  <si>
    <t>% Rev</t>
  </si>
  <si>
    <t>2008 (actual unaudited)</t>
  </si>
  <si>
    <t>Quota sales</t>
  </si>
  <si>
    <t>Other non-quota sales</t>
  </si>
  <si>
    <t>All Sales</t>
  </si>
  <si>
    <t>Quarterly Sales Quota per QHC</t>
  </si>
  <si>
    <t>Q3</t>
  </si>
  <si>
    <t>Q3*</t>
  </si>
  <si>
    <t>Q4*</t>
  </si>
  <si>
    <t>Q1*</t>
  </si>
  <si>
    <t>Q2*</t>
  </si>
  <si>
    <t>Origional 1/1/2009 Sales (bookings) Plan</t>
  </si>
  <si>
    <t xml:space="preserve">Sales, GAAP Revenue &amp; Expense in $000's </t>
  </si>
  <si>
    <t>Head Count (beginning of Q)</t>
  </si>
  <si>
    <t>Cash On Beginning of Q</t>
  </si>
  <si>
    <t>Est. Cash at end of Quarter</t>
  </si>
  <si>
    <t>Sales (total)</t>
  </si>
  <si>
    <t xml:space="preserve">  Sales T&amp;E</t>
  </si>
  <si>
    <t xml:space="preserve">  Sales recruiting</t>
  </si>
  <si>
    <t>Marketing (total)</t>
  </si>
  <si>
    <t xml:space="preserve">  Marketing programs</t>
  </si>
  <si>
    <t xml:space="preserve">  Marketing salaries</t>
  </si>
  <si>
    <t xml:space="preserve">  Sales commission/draw</t>
  </si>
  <si>
    <t>G&amp;A (Total)</t>
  </si>
  <si>
    <t xml:space="preserve">  G&amp;A salaries</t>
  </si>
  <si>
    <t xml:space="preserve">  Rent</t>
  </si>
  <si>
    <t xml:space="preserve">  Sales salaries/benefits</t>
  </si>
  <si>
    <t xml:space="preserve">  T&amp;E</t>
  </si>
  <si>
    <t xml:space="preserve">  Computer/Office supplies</t>
  </si>
  <si>
    <t xml:space="preserve">  Accounting/Legal/Outside Services</t>
  </si>
  <si>
    <t xml:space="preserve">  Taxes/Licenses Expense</t>
  </si>
  <si>
    <t xml:space="preserve">  Recruiting Fees</t>
  </si>
  <si>
    <t xml:space="preserve">  Telecomm Expense</t>
  </si>
  <si>
    <t xml:space="preserve">  Insurance Expense</t>
  </si>
  <si>
    <t>Total Sales Productivity at 100% Quota Achievement with 90 day ramp</t>
  </si>
  <si>
    <t>Est. Quarterly Cash Burn</t>
  </si>
  <si>
    <t>Total Sales Productivity at 80% Quota Achievement with 90 day ramp</t>
  </si>
  <si>
    <t>2009 (actual unaudited)</t>
  </si>
  <si>
    <t>Total GAAP Revenue</t>
  </si>
  <si>
    <t>Total Deferred Rev</t>
  </si>
  <si>
    <t>Deferred Rev (Cisco)</t>
  </si>
  <si>
    <t>Deferred Rev (eTrade)</t>
  </si>
  <si>
    <t>Total Sales (Bookings)</t>
  </si>
  <si>
    <t>Maintenance Revenue</t>
  </si>
  <si>
    <t>Royalty Revenue (old business)</t>
  </si>
  <si>
    <t>License revenue</t>
  </si>
  <si>
    <t>Total Cost of Goods</t>
  </si>
  <si>
    <t xml:space="preserve"> </t>
  </si>
  <si>
    <t>Cash Burn Forecast</t>
  </si>
  <si>
    <t>Q1 2010</t>
  </si>
  <si>
    <t>Q2 2010</t>
  </si>
  <si>
    <t>Q3 2010</t>
  </si>
  <si>
    <t>Q4 2010</t>
  </si>
  <si>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</si>
  <si>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</si>
  <si>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</si>
  <si>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</si>
  <si>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</si>
  <si>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</si>
  <si>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</si>
  <si>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</si>
  <si>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Cash Balance at Beginning of Period</t>
  </si>
  <si>
    <t xml:space="preserve">  Accounts Receivable Collections - Legacy </t>
  </si>
  <si>
    <t xml:space="preserve">  Accounts Receivable Collections - VMC</t>
  </si>
  <si>
    <t xml:space="preserve">  Interest Income</t>
  </si>
  <si>
    <t>Total Cash In:</t>
  </si>
  <si>
    <t>R&amp;D Expense</t>
  </si>
  <si>
    <t>Marketing Expense</t>
  </si>
  <si>
    <t>Sales Expense</t>
  </si>
  <si>
    <t>G&amp;A Expense</t>
  </si>
  <si>
    <t>Capital Expenditure</t>
  </si>
  <si>
    <t>COGS Expense</t>
  </si>
  <si>
    <t>Total Cash Out:</t>
  </si>
  <si>
    <t>TOTAL CASH BALANCE AT END OF PERIOD</t>
  </si>
  <si>
    <t>Net Quarter Cash Burn</t>
  </si>
  <si>
    <t xml:space="preserve">  Bridge Loan </t>
  </si>
  <si>
    <t>Deferred Rev. (HP)</t>
  </si>
  <si>
    <t>(Q1, Q2, Q3 Actual - Q4E) 2010</t>
  </si>
  <si>
    <t>Reflex Systems LLC Business Model - 5 Year P&amp;L, Revised 11/3/2010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</si>
</sst>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_);_(* \(#,##0\);_(* &quot;-&quot;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FF0000"/>
      <name val="Arial"/>
      <family val="2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6">
    <xf numFmtId="0" fontId="0" fillId="0" borderId="0" xfId="0"/>
    <xf numFmtId="9" fontId="1" fillId="0" borderId="0" xfId="4" applyFont="1"/>
    <xf numFmtId="14" fontId="0" fillId="0" borderId="0" xfId="0" applyNumberFormat="1"/>
    <xf numFmtId="44" fontId="1" fillId="0" borderId="0" xfId="3" applyFont="1"/>
    <xf numFmtId="9" fontId="0" fillId="0" borderId="0" xfId="0" applyNumberFormat="1"/>
    <xf numFmtId="44" fontId="0" fillId="0" borderId="0" xfId="0" applyNumberFormat="1"/>
    <xf numFmtId="0" fontId="0" fillId="0" borderId="0" xfId="0" applyAlignment="1">
      <alignment horizontal="right"/>
    </xf>
    <xf numFmtId="166" fontId="1" fillId="0" borderId="0" xfId="2" applyNumberFormat="1" applyFont="1"/>
    <xf numFmtId="1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0" fontId="0" fillId="0" borderId="0" xfId="0" applyFill="1" applyAlignment="1">
      <alignment horizontal="left"/>
    </xf>
    <xf numFmtId="43" fontId="1" fillId="0" borderId="0" xfId="2" applyNumberFormat="1" applyFont="1" applyAlignment="1">
      <alignment horizontal="right"/>
    </xf>
    <xf numFmtId="166" fontId="1" fillId="0" borderId="0" xfId="2" applyNumberFormat="1" applyFont="1" applyAlignment="1">
      <alignment horizontal="right"/>
    </xf>
    <xf numFmtId="0" fontId="0" fillId="0" borderId="0" xfId="0" applyAlignment="1">
      <alignment horizontal="left"/>
    </xf>
    <xf numFmtId="10" fontId="1" fillId="0" borderId="0" xfId="4" applyNumberFormat="1" applyFont="1" applyFill="1" applyAlignment="1">
      <alignment horizontal="right"/>
    </xf>
    <xf numFmtId="9" fontId="1" fillId="0" borderId="0" xfId="4" applyFont="1" applyAlignment="1">
      <alignment horizontal="right"/>
    </xf>
    <xf numFmtId="165" fontId="1" fillId="0" borderId="0" xfId="2" applyNumberFormat="1" applyFont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/>
    <xf numFmtId="165" fontId="1" fillId="0" borderId="0" xfId="2" applyNumberFormat="1" applyFont="1" applyFill="1" applyAlignment="1">
      <alignment horizontal="right"/>
    </xf>
    <xf numFmtId="166" fontId="1" fillId="0" borderId="0" xfId="2" applyNumberFormat="1" applyFont="1" applyFill="1" applyAlignment="1">
      <alignment horizontal="right"/>
    </xf>
    <xf numFmtId="9" fontId="1" fillId="0" borderId="0" xfId="4" applyFont="1" applyFill="1" applyAlignment="1">
      <alignment horizontal="right"/>
    </xf>
    <xf numFmtId="0" fontId="0" fillId="0" borderId="0" xfId="0" applyFill="1" applyBorder="1"/>
    <xf numFmtId="9" fontId="0" fillId="0" borderId="0" xfId="0" applyNumberFormat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1" fillId="0" borderId="1" xfId="4" applyNumberFormat="1" applyFont="1" applyBorder="1"/>
    <xf numFmtId="0" fontId="0" fillId="0" borderId="0" xfId="0" applyFill="1" applyBorder="1" applyAlignment="1">
      <alignment horizontal="left"/>
    </xf>
    <xf numFmtId="43" fontId="1" fillId="0" borderId="0" xfId="2" applyFont="1"/>
    <xf numFmtId="0" fontId="0" fillId="0" borderId="4" xfId="0" applyBorder="1"/>
    <xf numFmtId="0" fontId="0" fillId="0" borderId="4" xfId="0" applyBorder="1" applyAlignment="1">
      <alignment horizontal="center"/>
    </xf>
    <xf numFmtId="167" fontId="1" fillId="0" borderId="0" xfId="3" applyNumberFormat="1" applyFont="1"/>
    <xf numFmtId="167" fontId="0" fillId="0" borderId="0" xfId="0" applyNumberFormat="1"/>
    <xf numFmtId="0" fontId="0" fillId="0" borderId="0" xfId="0" applyFill="1" applyAlignment="1">
      <alignment horizontal="right"/>
    </xf>
    <xf numFmtId="167" fontId="1" fillId="0" borderId="0" xfId="3" applyNumberFormat="1" applyFont="1" applyFill="1"/>
    <xf numFmtId="10" fontId="1" fillId="0" borderId="0" xfId="4" applyNumberFormat="1" applyFont="1"/>
    <xf numFmtId="43" fontId="1" fillId="0" borderId="0" xfId="2" applyNumberFormat="1" applyFont="1"/>
    <xf numFmtId="43" fontId="1" fillId="0" borderId="0" xfId="2" applyNumberFormat="1" applyFont="1" applyFill="1"/>
    <xf numFmtId="166" fontId="1" fillId="0" borderId="0" xfId="2" applyNumberFormat="1" applyFont="1" applyFill="1"/>
    <xf numFmtId="9" fontId="1" fillId="0" borderId="0" xfId="4" applyFont="1" applyFill="1"/>
    <xf numFmtId="164" fontId="1" fillId="0" borderId="0" xfId="4" applyNumberFormat="1" applyFont="1"/>
    <xf numFmtId="9" fontId="0" fillId="0" borderId="0" xfId="0" applyNumberFormat="1" applyFill="1"/>
    <xf numFmtId="164" fontId="1" fillId="0" borderId="0" xfId="4" applyNumberFormat="1" applyFont="1" applyFill="1"/>
    <xf numFmtId="43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166" fontId="7" fillId="0" borderId="0" xfId="2" applyNumberFormat="1" applyFont="1"/>
    <xf numFmtId="0" fontId="6" fillId="0" borderId="14" xfId="0" applyFont="1" applyBorder="1"/>
    <xf numFmtId="0" fontId="6" fillId="0" borderId="0" xfId="0" applyFont="1" applyBorder="1"/>
    <xf numFmtId="166" fontId="6" fillId="0" borderId="0" xfId="2" applyNumberFormat="1" applyFont="1" applyBorder="1"/>
    <xf numFmtId="166" fontId="6" fillId="0" borderId="0" xfId="2" applyNumberFormat="1" applyFont="1"/>
    <xf numFmtId="167" fontId="6" fillId="0" borderId="0" xfId="3" applyNumberFormat="1" applyFont="1"/>
    <xf numFmtId="0" fontId="9" fillId="0" borderId="0" xfId="0" applyFont="1"/>
    <xf numFmtId="0" fontId="6" fillId="0" borderId="0" xfId="0" applyFont="1" applyAlignment="1">
      <alignment vertical="center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horizontal="left" wrapText="1" readingOrder="1"/>
    </xf>
    <xf numFmtId="0" fontId="10" fillId="3" borderId="8" xfId="0" applyFont="1" applyFill="1" applyBorder="1" applyAlignment="1">
      <alignment horizontal="center" wrapText="1" readingOrder="1"/>
    </xf>
    <xf numFmtId="0" fontId="10" fillId="3" borderId="9" xfId="0" applyFont="1" applyFill="1" applyBorder="1" applyAlignment="1">
      <alignment horizontal="center" wrapText="1" readingOrder="1"/>
    </xf>
    <xf numFmtId="0" fontId="10" fillId="3" borderId="10" xfId="0" applyFont="1" applyFill="1" applyBorder="1" applyAlignment="1">
      <alignment horizontal="center" wrapText="1" readingOrder="1"/>
    </xf>
    <xf numFmtId="0" fontId="10" fillId="3" borderId="11" xfId="0" applyFont="1" applyFill="1" applyBorder="1" applyAlignment="1">
      <alignment horizontal="center" wrapText="1" readingOrder="1"/>
    </xf>
    <xf numFmtId="0" fontId="10" fillId="0" borderId="9" xfId="0" applyFont="1" applyFill="1" applyBorder="1" applyAlignment="1">
      <alignment horizontal="center" wrapText="1" readingOrder="1"/>
    </xf>
    <xf numFmtId="0" fontId="10" fillId="0" borderId="10" xfId="0" applyFont="1" applyFill="1" applyBorder="1" applyAlignment="1">
      <alignment horizontal="center" wrapText="1" readingOrder="1"/>
    </xf>
    <xf numFmtId="0" fontId="10" fillId="0" borderId="8" xfId="0" applyFont="1" applyBorder="1" applyAlignment="1">
      <alignment horizontal="center" wrapText="1" readingOrder="1"/>
    </xf>
    <xf numFmtId="0" fontId="10" fillId="0" borderId="9" xfId="0" applyFont="1" applyBorder="1" applyAlignment="1">
      <alignment horizontal="center" wrapText="1" readingOrder="1"/>
    </xf>
    <xf numFmtId="0" fontId="10" fillId="4" borderId="12" xfId="0" applyFont="1" applyFill="1" applyBorder="1" applyAlignment="1">
      <alignment horizontal="center" wrapText="1" readingOrder="1"/>
    </xf>
    <xf numFmtId="0" fontId="10" fillId="4" borderId="12" xfId="0" applyFont="1" applyFill="1" applyBorder="1" applyAlignment="1">
      <alignment horizontal="right" wrapText="1" readingOrder="1"/>
    </xf>
    <xf numFmtId="0" fontId="10" fillId="4" borderId="11" xfId="0" applyFont="1" applyFill="1" applyBorder="1" applyAlignment="1">
      <alignment horizontal="right" wrapText="1" readingOrder="1"/>
    </xf>
    <xf numFmtId="166" fontId="10" fillId="4" borderId="13" xfId="2" applyNumberFormat="1" applyFont="1" applyFill="1" applyBorder="1" applyAlignment="1">
      <alignment horizontal="right" wrapText="1" readingOrder="1"/>
    </xf>
    <xf numFmtId="166" fontId="10" fillId="4" borderId="12" xfId="2" applyNumberFormat="1" applyFont="1" applyFill="1" applyBorder="1" applyAlignment="1">
      <alignment horizontal="right" wrapText="1" readingOrder="1"/>
    </xf>
    <xf numFmtId="166" fontId="10" fillId="4" borderId="11" xfId="2" applyNumberFormat="1" applyFont="1" applyFill="1" applyBorder="1" applyAlignment="1">
      <alignment horizontal="right" wrapText="1" readingOrder="1"/>
    </xf>
    <xf numFmtId="166" fontId="10" fillId="3" borderId="13" xfId="2" applyNumberFormat="1" applyFont="1" applyFill="1" applyBorder="1" applyAlignment="1">
      <alignment horizontal="right" wrapText="1" readingOrder="1"/>
    </xf>
    <xf numFmtId="166" fontId="10" fillId="3" borderId="12" xfId="2" applyNumberFormat="1" applyFont="1" applyFill="1" applyBorder="1" applyAlignment="1">
      <alignment horizontal="right" wrapText="1" readingOrder="1"/>
    </xf>
    <xf numFmtId="166" fontId="10" fillId="4" borderId="60" xfId="2" applyNumberFormat="1" applyFont="1" applyFill="1" applyBorder="1" applyAlignment="1">
      <alignment horizontal="right" wrapText="1" readingOrder="1"/>
    </xf>
    <xf numFmtId="0" fontId="10" fillId="3" borderId="15" xfId="0" applyFont="1" applyFill="1" applyBorder="1" applyAlignment="1">
      <alignment readingOrder="1"/>
    </xf>
    <xf numFmtId="0" fontId="10" fillId="3" borderId="15" xfId="0" applyFont="1" applyFill="1" applyBorder="1" applyAlignment="1">
      <alignment horizontal="right" wrapText="1" readingOrder="1"/>
    </xf>
    <xf numFmtId="0" fontId="10" fillId="3" borderId="16" xfId="0" applyFont="1" applyFill="1" applyBorder="1" applyAlignment="1">
      <alignment horizontal="right" wrapText="1" readingOrder="1"/>
    </xf>
    <xf numFmtId="0" fontId="10" fillId="0" borderId="6" xfId="0" applyFont="1" applyFill="1" applyBorder="1" applyAlignment="1">
      <alignment wrapText="1"/>
    </xf>
    <xf numFmtId="166" fontId="10" fillId="3" borderId="17" xfId="2" applyNumberFormat="1" applyFont="1" applyFill="1" applyBorder="1" applyAlignment="1">
      <alignment horizontal="right" wrapText="1" readingOrder="1"/>
    </xf>
    <xf numFmtId="166" fontId="10" fillId="3" borderId="15" xfId="2" applyNumberFormat="1" applyFont="1" applyFill="1" applyBorder="1" applyAlignment="1">
      <alignment horizontal="right" wrapText="1" readingOrder="1"/>
    </xf>
    <xf numFmtId="0" fontId="10" fillId="0" borderId="5" xfId="0" applyFont="1" applyBorder="1" applyAlignment="1">
      <alignment horizontal="left" wrapText="1" readingOrder="1"/>
    </xf>
    <xf numFmtId="0" fontId="10" fillId="3" borderId="18" xfId="0" applyFont="1" applyFill="1" applyBorder="1" applyAlignment="1">
      <alignment horizontal="left" wrapText="1" readingOrder="1"/>
    </xf>
    <xf numFmtId="0" fontId="10" fillId="3" borderId="19" xfId="0" applyFont="1" applyFill="1" applyBorder="1" applyAlignment="1">
      <alignment horizontal="right" wrapText="1" readingOrder="1"/>
    </xf>
    <xf numFmtId="0" fontId="10" fillId="3" borderId="20" xfId="0" applyFont="1" applyFill="1" applyBorder="1" applyAlignment="1">
      <alignment horizontal="right" wrapText="1" readingOrder="1"/>
    </xf>
    <xf numFmtId="0" fontId="10" fillId="3" borderId="21" xfId="0" applyFont="1" applyFill="1" applyBorder="1" applyAlignment="1">
      <alignment horizontal="right" wrapText="1" readingOrder="1"/>
    </xf>
    <xf numFmtId="166" fontId="10" fillId="3" borderId="18" xfId="0" applyNumberFormat="1" applyFont="1" applyFill="1" applyBorder="1" applyAlignment="1">
      <alignment horizontal="right" wrapText="1" readingOrder="1"/>
    </xf>
    <xf numFmtId="1" fontId="10" fillId="3" borderId="19" xfId="0" applyNumberFormat="1" applyFont="1" applyFill="1" applyBorder="1" applyAlignment="1">
      <alignment horizontal="right" wrapText="1" readingOrder="1"/>
    </xf>
    <xf numFmtId="1" fontId="10" fillId="3" borderId="20" xfId="0" applyNumberFormat="1" applyFont="1" applyFill="1" applyBorder="1" applyAlignment="1">
      <alignment horizontal="right" wrapText="1" readingOrder="1"/>
    </xf>
    <xf numFmtId="3" fontId="10" fillId="3" borderId="21" xfId="0" applyNumberFormat="1" applyFont="1" applyFill="1" applyBorder="1" applyAlignment="1">
      <alignment horizontal="right" wrapText="1" readingOrder="1"/>
    </xf>
    <xf numFmtId="3" fontId="10" fillId="3" borderId="18" xfId="0" applyNumberFormat="1" applyFont="1" applyFill="1" applyBorder="1" applyAlignment="1">
      <alignment horizontal="right" wrapText="1" readingOrder="1"/>
    </xf>
    <xf numFmtId="3" fontId="10" fillId="3" borderId="19" xfId="0" applyNumberFormat="1" applyFont="1" applyFill="1" applyBorder="1" applyAlignment="1">
      <alignment horizontal="right" wrapText="1" readingOrder="1"/>
    </xf>
    <xf numFmtId="3" fontId="10" fillId="0" borderId="19" xfId="0" applyNumberFormat="1" applyFont="1" applyBorder="1" applyAlignment="1">
      <alignment horizontal="right" wrapText="1" readingOrder="1"/>
    </xf>
    <xf numFmtId="3" fontId="10" fillId="0" borderId="20" xfId="0" applyNumberFormat="1" applyFont="1" applyBorder="1" applyAlignment="1">
      <alignment horizontal="right" wrapText="1" readingOrder="1"/>
    </xf>
    <xf numFmtId="3" fontId="10" fillId="0" borderId="21" xfId="0" applyNumberFormat="1" applyFont="1" applyBorder="1" applyAlignment="1">
      <alignment horizontal="right" wrapText="1" readingOrder="1"/>
    </xf>
    <xf numFmtId="3" fontId="10" fillId="0" borderId="18" xfId="0" applyNumberFormat="1" applyFont="1" applyBorder="1" applyAlignment="1">
      <alignment horizontal="right" wrapText="1" readingOrder="1"/>
    </xf>
    <xf numFmtId="0" fontId="10" fillId="3" borderId="22" xfId="0" applyFont="1" applyFill="1" applyBorder="1" applyAlignment="1">
      <alignment horizontal="left" wrapText="1" readingOrder="1"/>
    </xf>
    <xf numFmtId="0" fontId="10" fillId="3" borderId="0" xfId="0" applyFont="1" applyFill="1" applyBorder="1" applyAlignment="1">
      <alignment horizontal="right" wrapText="1" readingOrder="1"/>
    </xf>
    <xf numFmtId="0" fontId="10" fillId="3" borderId="5" xfId="0" applyFont="1" applyFill="1" applyBorder="1" applyAlignment="1">
      <alignment horizontal="right" wrapText="1" readingOrder="1"/>
    </xf>
    <xf numFmtId="0" fontId="10" fillId="3" borderId="6" xfId="0" applyFont="1" applyFill="1" applyBorder="1" applyAlignment="1">
      <alignment horizontal="right" wrapText="1" readingOrder="1"/>
    </xf>
    <xf numFmtId="1" fontId="10" fillId="3" borderId="22" xfId="0" applyNumberFormat="1" applyFont="1" applyFill="1" applyBorder="1" applyAlignment="1">
      <alignment horizontal="right" wrapText="1" readingOrder="1"/>
    </xf>
    <xf numFmtId="1" fontId="10" fillId="3" borderId="0" xfId="0" applyNumberFormat="1" applyFont="1" applyFill="1" applyBorder="1" applyAlignment="1">
      <alignment horizontal="right" wrapText="1" readingOrder="1"/>
    </xf>
    <xf numFmtId="3" fontId="10" fillId="0" borderId="5" xfId="0" applyNumberFormat="1" applyFont="1" applyBorder="1" applyAlignment="1">
      <alignment horizontal="right" wrapText="1" readingOrder="1"/>
    </xf>
    <xf numFmtId="3" fontId="10" fillId="3" borderId="6" xfId="0" applyNumberFormat="1" applyFont="1" applyFill="1" applyBorder="1" applyAlignment="1">
      <alignment horizontal="right" wrapText="1" readingOrder="1"/>
    </xf>
    <xf numFmtId="3" fontId="10" fillId="3" borderId="22" xfId="0" applyNumberFormat="1" applyFont="1" applyFill="1" applyBorder="1" applyAlignment="1">
      <alignment horizontal="right" wrapText="1" readingOrder="1"/>
    </xf>
    <xf numFmtId="3" fontId="10" fillId="3" borderId="0" xfId="0" applyNumberFormat="1" applyFont="1" applyFill="1" applyBorder="1" applyAlignment="1">
      <alignment horizontal="right" wrapText="1" readingOrder="1"/>
    </xf>
    <xf numFmtId="3" fontId="10" fillId="0" borderId="0" xfId="0" applyNumberFormat="1" applyFont="1" applyBorder="1" applyAlignment="1">
      <alignment horizontal="right" wrapText="1" readingOrder="1"/>
    </xf>
    <xf numFmtId="3" fontId="10" fillId="0" borderId="6" xfId="0" applyNumberFormat="1" applyFont="1" applyBorder="1" applyAlignment="1">
      <alignment horizontal="right" wrapText="1" readingOrder="1"/>
    </xf>
    <xf numFmtId="3" fontId="10" fillId="0" borderId="22" xfId="0" applyNumberFormat="1" applyFont="1" applyBorder="1" applyAlignment="1">
      <alignment horizontal="right" wrapText="1" readingOrder="1"/>
    </xf>
    <xf numFmtId="3" fontId="10" fillId="3" borderId="5" xfId="0" applyNumberFormat="1" applyFont="1" applyFill="1" applyBorder="1" applyAlignment="1">
      <alignment horizontal="right" wrapText="1" readingOrder="1"/>
    </xf>
    <xf numFmtId="3" fontId="11" fillId="0" borderId="6" xfId="0" applyNumberFormat="1" applyFont="1" applyBorder="1" applyAlignment="1">
      <alignment horizontal="right" wrapText="1" readingOrder="1"/>
    </xf>
    <xf numFmtId="0" fontId="10" fillId="0" borderId="24" xfId="0" applyFont="1" applyBorder="1" applyAlignment="1">
      <alignment horizontal="left" wrapText="1" readingOrder="1"/>
    </xf>
    <xf numFmtId="0" fontId="10" fillId="3" borderId="25" xfId="0" applyFont="1" applyFill="1" applyBorder="1" applyAlignment="1">
      <alignment horizontal="left" wrapText="1" readingOrder="1"/>
    </xf>
    <xf numFmtId="0" fontId="10" fillId="3" borderId="26" xfId="0" applyFont="1" applyFill="1" applyBorder="1" applyAlignment="1">
      <alignment horizontal="right" wrapText="1" readingOrder="1"/>
    </xf>
    <xf numFmtId="1" fontId="10" fillId="3" borderId="27" xfId="0" applyNumberFormat="1" applyFont="1" applyFill="1" applyBorder="1" applyAlignment="1">
      <alignment horizontal="right" wrapText="1" readingOrder="1"/>
    </xf>
    <xf numFmtId="1" fontId="10" fillId="3" borderId="28" xfId="0" applyNumberFormat="1" applyFont="1" applyFill="1" applyBorder="1" applyAlignment="1">
      <alignment horizontal="right" wrapText="1" readingOrder="1"/>
    </xf>
    <xf numFmtId="1" fontId="10" fillId="3" borderId="25" xfId="0" applyNumberFormat="1" applyFont="1" applyFill="1" applyBorder="1" applyAlignment="1">
      <alignment horizontal="right" wrapText="1" readingOrder="1"/>
    </xf>
    <xf numFmtId="1" fontId="10" fillId="3" borderId="26" xfId="0" applyNumberFormat="1" applyFont="1" applyFill="1" applyBorder="1" applyAlignment="1">
      <alignment horizontal="right" wrapText="1" readingOrder="1"/>
    </xf>
    <xf numFmtId="3" fontId="10" fillId="3" borderId="25" xfId="0" applyNumberFormat="1" applyFont="1" applyFill="1" applyBorder="1" applyAlignment="1">
      <alignment horizontal="right" wrapText="1" readingOrder="1"/>
    </xf>
    <xf numFmtId="1" fontId="10" fillId="0" borderId="26" xfId="0" applyNumberFormat="1" applyFont="1" applyBorder="1" applyAlignment="1">
      <alignment horizontal="right" wrapText="1" readingOrder="1"/>
    </xf>
    <xf numFmtId="1" fontId="10" fillId="0" borderId="27" xfId="0" applyNumberFormat="1" applyFont="1" applyBorder="1" applyAlignment="1">
      <alignment horizontal="right" wrapText="1" readingOrder="1"/>
    </xf>
    <xf numFmtId="166" fontId="10" fillId="0" borderId="28" xfId="2" applyNumberFormat="1" applyFont="1" applyBorder="1" applyAlignment="1">
      <alignment horizontal="right" wrapText="1" readingOrder="1"/>
    </xf>
    <xf numFmtId="3" fontId="10" fillId="0" borderId="25" xfId="0" applyNumberFormat="1" applyFont="1" applyBorder="1" applyAlignment="1">
      <alignment horizontal="right" wrapText="1" readingOrder="1"/>
    </xf>
    <xf numFmtId="0" fontId="10" fillId="3" borderId="29" xfId="0" applyFont="1" applyFill="1" applyBorder="1" applyAlignment="1">
      <alignment horizontal="left" wrapText="1" readingOrder="1"/>
    </xf>
    <xf numFmtId="0" fontId="10" fillId="3" borderId="30" xfId="0" applyFont="1" applyFill="1" applyBorder="1" applyAlignment="1">
      <alignment horizontal="right" wrapText="1" readingOrder="1"/>
    </xf>
    <xf numFmtId="1" fontId="10" fillId="3" borderId="31" xfId="0" applyNumberFormat="1" applyFont="1" applyFill="1" applyBorder="1" applyAlignment="1">
      <alignment horizontal="right" wrapText="1" readingOrder="1"/>
    </xf>
    <xf numFmtId="1" fontId="10" fillId="3" borderId="29" xfId="0" applyNumberFormat="1" applyFont="1" applyFill="1" applyBorder="1" applyAlignment="1">
      <alignment horizontal="right" wrapText="1" readingOrder="1"/>
    </xf>
    <xf numFmtId="1" fontId="10" fillId="3" borderId="30" xfId="0" applyNumberFormat="1" applyFont="1" applyFill="1" applyBorder="1" applyAlignment="1">
      <alignment horizontal="right" wrapText="1" readingOrder="1"/>
    </xf>
    <xf numFmtId="3" fontId="10" fillId="3" borderId="31" xfId="0" applyNumberFormat="1" applyFont="1" applyFill="1" applyBorder="1" applyAlignment="1">
      <alignment horizontal="right" wrapText="1" readingOrder="1"/>
    </xf>
    <xf numFmtId="3" fontId="10" fillId="5" borderId="32" xfId="0" applyNumberFormat="1" applyFont="1" applyFill="1" applyBorder="1" applyAlignment="1">
      <alignment horizontal="right" wrapText="1" readingOrder="1"/>
    </xf>
    <xf numFmtId="3" fontId="10" fillId="3" borderId="29" xfId="0" applyNumberFormat="1" applyFont="1" applyFill="1" applyBorder="1" applyAlignment="1">
      <alignment horizontal="right" wrapText="1" readingOrder="1"/>
    </xf>
    <xf numFmtId="3" fontId="10" fillId="3" borderId="30" xfId="0" applyNumberFormat="1" applyFont="1" applyFill="1" applyBorder="1" applyAlignment="1">
      <alignment horizontal="right" wrapText="1" readingOrder="1"/>
    </xf>
    <xf numFmtId="3" fontId="10" fillId="0" borderId="30" xfId="0" applyNumberFormat="1" applyFont="1" applyBorder="1" applyAlignment="1">
      <alignment horizontal="right" wrapText="1" readingOrder="1"/>
    </xf>
    <xf numFmtId="3" fontId="10" fillId="0" borderId="31" xfId="0" applyNumberFormat="1" applyFont="1" applyBorder="1" applyAlignment="1">
      <alignment horizontal="right" wrapText="1" readingOrder="1"/>
    </xf>
    <xf numFmtId="3" fontId="10" fillId="0" borderId="29" xfId="0" applyNumberFormat="1" applyFont="1" applyBorder="1" applyAlignment="1">
      <alignment horizontal="right" wrapText="1" readingOrder="1"/>
    </xf>
    <xf numFmtId="0" fontId="10" fillId="3" borderId="12" xfId="0" applyFont="1" applyFill="1" applyBorder="1" applyAlignment="1">
      <alignment wrapText="1"/>
    </xf>
    <xf numFmtId="9" fontId="10" fillId="3" borderId="12" xfId="0" applyNumberFormat="1" applyFont="1" applyFill="1" applyBorder="1" applyAlignment="1">
      <alignment horizontal="right" wrapText="1" readingOrder="1"/>
    </xf>
    <xf numFmtId="0" fontId="10" fillId="3" borderId="12" xfId="0" applyFont="1" applyFill="1" applyBorder="1" applyAlignment="1">
      <alignment horizontal="right" wrapText="1" readingOrder="1"/>
    </xf>
    <xf numFmtId="0" fontId="10" fillId="0" borderId="0" xfId="0" applyFont="1" applyAlignment="1">
      <alignment wrapText="1"/>
    </xf>
    <xf numFmtId="9" fontId="10" fillId="0" borderId="12" xfId="0" applyNumberFormat="1" applyFont="1" applyBorder="1" applyAlignment="1">
      <alignment horizontal="right" wrapText="1" readingOrder="1"/>
    </xf>
    <xf numFmtId="0" fontId="10" fillId="0" borderId="0" xfId="0" applyFont="1" applyBorder="1" applyAlignment="1">
      <alignment horizontal="right" wrapText="1" readingOrder="1"/>
    </xf>
    <xf numFmtId="0" fontId="10" fillId="3" borderId="0" xfId="0" applyFont="1" applyFill="1" applyBorder="1" applyAlignment="1">
      <alignment wrapText="1"/>
    </xf>
    <xf numFmtId="9" fontId="10" fillId="3" borderId="0" xfId="0" applyNumberFormat="1" applyFont="1" applyFill="1" applyBorder="1" applyAlignment="1">
      <alignment horizontal="right" wrapText="1" readingOrder="1"/>
    </xf>
    <xf numFmtId="9" fontId="10" fillId="0" borderId="0" xfId="0" applyNumberFormat="1" applyFont="1" applyBorder="1" applyAlignment="1">
      <alignment horizontal="right" wrapText="1" readingOrder="1"/>
    </xf>
    <xf numFmtId="0" fontId="10" fillId="0" borderId="33" xfId="0" applyFont="1" applyBorder="1" applyAlignment="1">
      <alignment horizontal="left" wrapText="1" readingOrder="1"/>
    </xf>
    <xf numFmtId="0" fontId="10" fillId="3" borderId="33" xfId="0" applyFont="1" applyFill="1" applyBorder="1" applyAlignment="1">
      <alignment wrapText="1"/>
    </xf>
    <xf numFmtId="0" fontId="10" fillId="0" borderId="33" xfId="0" applyFont="1" applyBorder="1" applyAlignment="1">
      <alignment wrapText="1"/>
    </xf>
    <xf numFmtId="0" fontId="10" fillId="0" borderId="53" xfId="0" applyFont="1" applyBorder="1" applyAlignment="1">
      <alignment horizontal="left" vertical="center" wrapText="1" readingOrder="1"/>
    </xf>
    <xf numFmtId="0" fontId="10" fillId="3" borderId="54" xfId="0" applyFont="1" applyFill="1" applyBorder="1" applyAlignment="1">
      <alignment horizontal="right" vertical="center" wrapText="1" readingOrder="1"/>
    </xf>
    <xf numFmtId="0" fontId="10" fillId="3" borderId="55" xfId="0" applyFont="1" applyFill="1" applyBorder="1" applyAlignment="1">
      <alignment horizontal="right" vertical="center" wrapText="1" readingOrder="1"/>
    </xf>
    <xf numFmtId="0" fontId="10" fillId="3" borderId="56" xfId="0" applyFont="1" applyFill="1" applyBorder="1" applyAlignment="1">
      <alignment horizontal="right" vertical="center" wrapText="1" readingOrder="1"/>
    </xf>
    <xf numFmtId="0" fontId="10" fillId="3" borderId="57" xfId="0" applyFont="1" applyFill="1" applyBorder="1" applyAlignment="1">
      <alignment horizontal="right" vertical="center" wrapText="1" readingOrder="1"/>
    </xf>
    <xf numFmtId="0" fontId="10" fillId="0" borderId="6" xfId="0" applyFont="1" applyBorder="1" applyAlignment="1">
      <alignment vertical="center" wrapText="1"/>
    </xf>
    <xf numFmtId="0" fontId="10" fillId="3" borderId="58" xfId="0" applyFont="1" applyFill="1" applyBorder="1" applyAlignment="1">
      <alignment horizontal="right" vertical="center" wrapText="1" readingOrder="1"/>
    </xf>
    <xf numFmtId="0" fontId="10" fillId="3" borderId="59" xfId="0" applyFont="1" applyFill="1" applyBorder="1" applyAlignment="1">
      <alignment horizontal="right" vertical="center" wrapText="1" readingOrder="1"/>
    </xf>
    <xf numFmtId="0" fontId="10" fillId="3" borderId="53" xfId="0" applyFont="1" applyFill="1" applyBorder="1" applyAlignment="1">
      <alignment horizontal="right" vertical="center" wrapText="1" readingOrder="1"/>
    </xf>
    <xf numFmtId="0" fontId="10" fillId="0" borderId="55" xfId="0" applyFont="1" applyBorder="1" applyAlignment="1">
      <alignment horizontal="right" vertical="center" wrapText="1" readingOrder="1"/>
    </xf>
    <xf numFmtId="0" fontId="10" fillId="0" borderId="56" xfId="0" applyFont="1" applyBorder="1" applyAlignment="1">
      <alignment horizontal="right" vertical="center" wrapText="1" readingOrder="1"/>
    </xf>
    <xf numFmtId="0" fontId="10" fillId="0" borderId="57" xfId="0" applyFont="1" applyBorder="1" applyAlignment="1">
      <alignment horizontal="right" vertical="center" wrapText="1" readingOrder="1"/>
    </xf>
    <xf numFmtId="0" fontId="10" fillId="0" borderId="54" xfId="0" applyFont="1" applyBorder="1" applyAlignment="1">
      <alignment horizontal="right" vertical="center" wrapText="1" readingOrder="1"/>
    </xf>
    <xf numFmtId="0" fontId="10" fillId="3" borderId="29" xfId="0" applyFont="1" applyFill="1" applyBorder="1" applyAlignment="1">
      <alignment horizontal="right" wrapText="1" readingOrder="1"/>
    </xf>
    <xf numFmtId="0" fontId="10" fillId="3" borderId="31" xfId="0" applyFont="1" applyFill="1" applyBorder="1" applyAlignment="1">
      <alignment horizontal="right" wrapText="1" readingOrder="1"/>
    </xf>
    <xf numFmtId="0" fontId="10" fillId="0" borderId="22" xfId="0" applyFont="1" applyBorder="1" applyAlignment="1">
      <alignment wrapText="1"/>
    </xf>
    <xf numFmtId="0" fontId="10" fillId="3" borderId="34" xfId="0" applyFont="1" applyFill="1" applyBorder="1" applyAlignment="1">
      <alignment horizontal="right" wrapText="1" readingOrder="1"/>
    </xf>
    <xf numFmtId="0" fontId="10" fillId="3" borderId="35" xfId="0" applyFont="1" applyFill="1" applyBorder="1" applyAlignment="1">
      <alignment horizontal="right" wrapText="1" readingOrder="1"/>
    </xf>
    <xf numFmtId="0" fontId="10" fillId="3" borderId="48" xfId="0" applyFont="1" applyFill="1" applyBorder="1" applyAlignment="1">
      <alignment horizontal="right" wrapText="1" readingOrder="1"/>
    </xf>
    <xf numFmtId="0" fontId="10" fillId="3" borderId="36" xfId="0" applyFont="1" applyFill="1" applyBorder="1" applyAlignment="1">
      <alignment horizontal="right" wrapText="1" readingOrder="1"/>
    </xf>
    <xf numFmtId="0" fontId="10" fillId="0" borderId="30" xfId="0" applyFont="1" applyBorder="1" applyAlignment="1">
      <alignment horizontal="right" wrapText="1" readingOrder="1"/>
    </xf>
    <xf numFmtId="0" fontId="10" fillId="0" borderId="31" xfId="0" applyFont="1" applyBorder="1" applyAlignment="1">
      <alignment horizontal="right" wrapText="1" readingOrder="1"/>
    </xf>
    <xf numFmtId="0" fontId="10" fillId="0" borderId="36" xfId="0" applyFont="1" applyBorder="1" applyAlignment="1">
      <alignment horizontal="right" wrapText="1" readingOrder="1"/>
    </xf>
    <xf numFmtId="0" fontId="10" fillId="0" borderId="9" xfId="0" applyFont="1" applyBorder="1" applyAlignment="1">
      <alignment horizontal="left" wrapText="1" readingOrder="1"/>
    </xf>
    <xf numFmtId="0" fontId="10" fillId="3" borderId="9" xfId="0" applyFont="1" applyFill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37" xfId="0" applyFont="1" applyBorder="1" applyAlignment="1">
      <alignment horizontal="left" wrapText="1" readingOrder="1"/>
    </xf>
    <xf numFmtId="0" fontId="10" fillId="3" borderId="13" xfId="0" applyFont="1" applyFill="1" applyBorder="1" applyAlignment="1">
      <alignment horizontal="right" wrapText="1" readingOrder="1"/>
    </xf>
    <xf numFmtId="1" fontId="10" fillId="3" borderId="12" xfId="0" applyNumberFormat="1" applyFont="1" applyFill="1" applyBorder="1" applyAlignment="1">
      <alignment horizontal="right" wrapText="1" readingOrder="1"/>
    </xf>
    <xf numFmtId="1" fontId="10" fillId="3" borderId="38" xfId="0" applyNumberFormat="1" applyFont="1" applyFill="1" applyBorder="1" applyAlignment="1">
      <alignment horizontal="right" wrapText="1" readingOrder="1"/>
    </xf>
    <xf numFmtId="1" fontId="10" fillId="0" borderId="0" xfId="0" applyNumberFormat="1" applyFont="1" applyBorder="1" applyAlignment="1">
      <alignment wrapText="1"/>
    </xf>
    <xf numFmtId="1" fontId="10" fillId="3" borderId="39" xfId="0" applyNumberFormat="1" applyFont="1" applyFill="1" applyBorder="1" applyAlignment="1">
      <alignment horizontal="right" wrapText="1" readingOrder="1"/>
    </xf>
    <xf numFmtId="1" fontId="10" fillId="3" borderId="3" xfId="0" applyNumberFormat="1" applyFont="1" applyFill="1" applyBorder="1" applyAlignment="1">
      <alignment horizontal="right" wrapText="1" readingOrder="1"/>
    </xf>
    <xf numFmtId="1" fontId="10" fillId="3" borderId="40" xfId="0" applyNumberFormat="1" applyFont="1" applyFill="1" applyBorder="1" applyAlignment="1">
      <alignment horizontal="right" wrapText="1" readingOrder="1"/>
    </xf>
    <xf numFmtId="1" fontId="10" fillId="3" borderId="37" xfId="0" applyNumberFormat="1" applyFont="1" applyFill="1" applyBorder="1" applyAlignment="1">
      <alignment horizontal="right" wrapText="1" readingOrder="1"/>
    </xf>
    <xf numFmtId="1" fontId="10" fillId="0" borderId="22" xfId="0" applyNumberFormat="1" applyFont="1" applyBorder="1" applyAlignment="1">
      <alignment wrapText="1"/>
    </xf>
    <xf numFmtId="166" fontId="10" fillId="3" borderId="39" xfId="2" applyNumberFormat="1" applyFont="1" applyFill="1" applyBorder="1" applyAlignment="1">
      <alignment horizontal="right" wrapText="1" readingOrder="1"/>
    </xf>
    <xf numFmtId="166" fontId="10" fillId="3" borderId="3" xfId="2" applyNumberFormat="1" applyFont="1" applyFill="1" applyBorder="1" applyAlignment="1">
      <alignment horizontal="right" wrapText="1" readingOrder="1"/>
    </xf>
    <xf numFmtId="166" fontId="10" fillId="0" borderId="3" xfId="2" applyNumberFormat="1" applyFont="1" applyBorder="1" applyAlignment="1">
      <alignment horizontal="right" wrapText="1" readingOrder="1"/>
    </xf>
    <xf numFmtId="166" fontId="10" fillId="0" borderId="40" xfId="2" applyNumberFormat="1" applyFont="1" applyBorder="1" applyAlignment="1">
      <alignment horizontal="right" wrapText="1" readingOrder="1"/>
    </xf>
    <xf numFmtId="166" fontId="10" fillId="0" borderId="37" xfId="2" applyNumberFormat="1" applyFont="1" applyBorder="1" applyAlignment="1">
      <alignment horizontal="center" wrapText="1" readingOrder="1"/>
    </xf>
    <xf numFmtId="166" fontId="10" fillId="0" borderId="39" xfId="2" applyNumberFormat="1" applyFont="1" applyBorder="1" applyAlignment="1">
      <alignment horizontal="right" wrapText="1" readingOrder="1"/>
    </xf>
    <xf numFmtId="0" fontId="10" fillId="3" borderId="41" xfId="0" applyFont="1" applyFill="1" applyBorder="1" applyAlignment="1">
      <alignment horizontal="left" wrapText="1" readingOrder="1"/>
    </xf>
    <xf numFmtId="9" fontId="10" fillId="3" borderId="33" xfId="0" applyNumberFormat="1" applyFont="1" applyFill="1" applyBorder="1" applyAlignment="1">
      <alignment horizontal="right" wrapText="1" readingOrder="1"/>
    </xf>
    <xf numFmtId="9" fontId="10" fillId="3" borderId="42" xfId="0" applyNumberFormat="1" applyFont="1" applyFill="1" applyBorder="1" applyAlignment="1">
      <alignment horizontal="right" wrapText="1" readingOrder="1"/>
    </xf>
    <xf numFmtId="0" fontId="10" fillId="0" borderId="0" xfId="0" applyFont="1" applyBorder="1" applyAlignment="1">
      <alignment wrapText="1"/>
    </xf>
    <xf numFmtId="9" fontId="10" fillId="3" borderId="43" xfId="0" applyNumberFormat="1" applyFont="1" applyFill="1" applyBorder="1" applyAlignment="1">
      <alignment horizontal="right" wrapText="1" readingOrder="1"/>
    </xf>
    <xf numFmtId="9" fontId="10" fillId="3" borderId="19" xfId="0" applyNumberFormat="1" applyFont="1" applyFill="1" applyBorder="1" applyAlignment="1">
      <alignment horizontal="right" wrapText="1" readingOrder="1"/>
    </xf>
    <xf numFmtId="9" fontId="10" fillId="3" borderId="44" xfId="0" applyNumberFormat="1" applyFont="1" applyFill="1" applyBorder="1" applyAlignment="1">
      <alignment horizontal="right" wrapText="1" readingOrder="1"/>
    </xf>
    <xf numFmtId="9" fontId="10" fillId="3" borderId="7" xfId="0" applyNumberFormat="1" applyFont="1" applyFill="1" applyBorder="1" applyAlignment="1">
      <alignment horizontal="right" wrapText="1" readingOrder="1"/>
    </xf>
    <xf numFmtId="9" fontId="10" fillId="0" borderId="19" xfId="0" applyNumberFormat="1" applyFont="1" applyBorder="1" applyAlignment="1">
      <alignment horizontal="right" wrapText="1" readingOrder="1"/>
    </xf>
    <xf numFmtId="9" fontId="10" fillId="0" borderId="44" xfId="0" applyNumberFormat="1" applyFont="1" applyBorder="1" applyAlignment="1">
      <alignment horizontal="right" wrapText="1" readingOrder="1"/>
    </xf>
    <xf numFmtId="9" fontId="10" fillId="0" borderId="7" xfId="0" applyNumberFormat="1" applyFont="1" applyBorder="1" applyAlignment="1">
      <alignment horizontal="right" wrapText="1" readingOrder="1"/>
    </xf>
    <xf numFmtId="9" fontId="10" fillId="0" borderId="43" xfId="0" applyNumberFormat="1" applyFont="1" applyBorder="1" applyAlignment="1">
      <alignment horizontal="right" wrapText="1" readingOrder="1"/>
    </xf>
    <xf numFmtId="0" fontId="10" fillId="3" borderId="38" xfId="0" applyFont="1" applyFill="1" applyBorder="1" applyAlignment="1">
      <alignment horizontal="right" wrapText="1" readingOrder="1"/>
    </xf>
    <xf numFmtId="0" fontId="10" fillId="3" borderId="37" xfId="0" applyFont="1" applyFill="1" applyBorder="1" applyAlignment="1">
      <alignment horizontal="right" wrapText="1" readingOrder="1"/>
    </xf>
    <xf numFmtId="3" fontId="10" fillId="3" borderId="45" xfId="0" applyNumberFormat="1" applyFont="1" applyFill="1" applyBorder="1" applyAlignment="1">
      <alignment horizontal="right" wrapText="1" readingOrder="1"/>
    </xf>
    <xf numFmtId="0" fontId="10" fillId="0" borderId="12" xfId="0" applyFont="1" applyBorder="1" applyAlignment="1">
      <alignment horizontal="right" wrapText="1" readingOrder="1"/>
    </xf>
    <xf numFmtId="0" fontId="10" fillId="0" borderId="37" xfId="0" applyFont="1" applyBorder="1" applyAlignment="1">
      <alignment horizontal="right" wrapText="1" readingOrder="1"/>
    </xf>
    <xf numFmtId="3" fontId="10" fillId="0" borderId="45" xfId="0" applyNumberFormat="1" applyFont="1" applyBorder="1" applyAlignment="1">
      <alignment horizontal="right" wrapText="1" readingOrder="1"/>
    </xf>
    <xf numFmtId="0" fontId="10" fillId="0" borderId="13" xfId="0" applyFont="1" applyBorder="1" applyAlignment="1">
      <alignment horizontal="right" wrapText="1" readingOrder="1"/>
    </xf>
    <xf numFmtId="0" fontId="10" fillId="3" borderId="68" xfId="0" applyFont="1" applyFill="1" applyBorder="1" applyAlignment="1">
      <alignment horizontal="right" wrapText="1" readingOrder="1"/>
    </xf>
    <xf numFmtId="0" fontId="10" fillId="3" borderId="62" xfId="0" applyFont="1" applyFill="1" applyBorder="1" applyAlignment="1">
      <alignment horizontal="right" wrapText="1" readingOrder="1"/>
    </xf>
    <xf numFmtId="0" fontId="10" fillId="3" borderId="2" xfId="0" applyFont="1" applyFill="1" applyBorder="1" applyAlignment="1">
      <alignment horizontal="right" wrapText="1" readingOrder="1"/>
    </xf>
    <xf numFmtId="3" fontId="10" fillId="3" borderId="70" xfId="0" applyNumberFormat="1" applyFont="1" applyFill="1" applyBorder="1" applyAlignment="1">
      <alignment horizontal="right" wrapText="1" readingOrder="1"/>
    </xf>
    <xf numFmtId="1" fontId="10" fillId="3" borderId="68" xfId="0" applyNumberFormat="1" applyFont="1" applyFill="1" applyBorder="1" applyAlignment="1">
      <alignment horizontal="right" wrapText="1" readingOrder="1"/>
    </xf>
    <xf numFmtId="1" fontId="10" fillId="3" borderId="62" xfId="0" applyNumberFormat="1" applyFont="1" applyFill="1" applyBorder="1" applyAlignment="1">
      <alignment horizontal="right" wrapText="1" readingOrder="1"/>
    </xf>
    <xf numFmtId="1" fontId="10" fillId="0" borderId="62" xfId="0" applyNumberFormat="1" applyFont="1" applyBorder="1" applyAlignment="1">
      <alignment horizontal="right" wrapText="1" readingOrder="1"/>
    </xf>
    <xf numFmtId="1" fontId="10" fillId="0" borderId="69" xfId="0" applyNumberFormat="1" applyFont="1" applyBorder="1" applyAlignment="1">
      <alignment horizontal="right" wrapText="1" readingOrder="1"/>
    </xf>
    <xf numFmtId="3" fontId="10" fillId="0" borderId="70" xfId="0" applyNumberFormat="1" applyFont="1" applyBorder="1" applyAlignment="1">
      <alignment horizontal="right" wrapText="1" readingOrder="1"/>
    </xf>
    <xf numFmtId="1" fontId="10" fillId="0" borderId="68" xfId="0" applyNumberFormat="1" applyFont="1" applyBorder="1" applyAlignment="1">
      <alignment horizontal="right" wrapText="1" readingOrder="1"/>
    </xf>
    <xf numFmtId="0" fontId="10" fillId="3" borderId="63" xfId="0" applyFont="1" applyFill="1" applyBorder="1" applyAlignment="1">
      <alignment horizontal="right" wrapText="1" readingOrder="1"/>
    </xf>
    <xf numFmtId="0" fontId="10" fillId="3" borderId="3" xfId="0" applyFont="1" applyFill="1" applyBorder="1" applyAlignment="1">
      <alignment horizontal="right" wrapText="1" readingOrder="1"/>
    </xf>
    <xf numFmtId="3" fontId="10" fillId="3" borderId="65" xfId="0" applyNumberFormat="1" applyFont="1" applyFill="1" applyBorder="1" applyAlignment="1">
      <alignment horizontal="right" wrapText="1" readingOrder="1"/>
    </xf>
    <xf numFmtId="0" fontId="10" fillId="0" borderId="3" xfId="0" applyFont="1" applyBorder="1" applyAlignment="1">
      <alignment horizontal="right" wrapText="1" readingOrder="1"/>
    </xf>
    <xf numFmtId="0" fontId="10" fillId="0" borderId="64" xfId="0" applyFont="1" applyBorder="1" applyAlignment="1">
      <alignment horizontal="right" wrapText="1" readingOrder="1"/>
    </xf>
    <xf numFmtId="0" fontId="10" fillId="0" borderId="63" xfId="0" applyFont="1" applyBorder="1" applyAlignment="1">
      <alignment horizontal="right" wrapText="1" readingOrder="1"/>
    </xf>
    <xf numFmtId="0" fontId="10" fillId="3" borderId="22" xfId="0" applyFont="1" applyFill="1" applyBorder="1" applyAlignment="1">
      <alignment horizontal="right" wrapText="1" readingOrder="1"/>
    </xf>
    <xf numFmtId="0" fontId="10" fillId="3" borderId="46" xfId="0" applyFont="1" applyFill="1" applyBorder="1" applyAlignment="1">
      <alignment horizontal="right" wrapText="1" readingOrder="1"/>
    </xf>
    <xf numFmtId="0" fontId="10" fillId="0" borderId="5" xfId="0" applyFont="1" applyBorder="1" applyAlignment="1">
      <alignment horizontal="right" wrapText="1" readingOrder="1"/>
    </xf>
    <xf numFmtId="0" fontId="10" fillId="0" borderId="22" xfId="0" applyFont="1" applyBorder="1" applyAlignment="1">
      <alignment horizontal="right" wrapText="1" readingOrder="1"/>
    </xf>
    <xf numFmtId="0" fontId="10" fillId="3" borderId="0" xfId="0" applyFont="1" applyFill="1" applyAlignment="1">
      <alignment horizontal="right" wrapText="1" readingOrder="1"/>
    </xf>
    <xf numFmtId="0" fontId="10" fillId="3" borderId="18" xfId="0" applyFont="1" applyFill="1" applyBorder="1" applyAlignment="1">
      <alignment horizontal="right" wrapText="1" readingOrder="1"/>
    </xf>
    <xf numFmtId="0" fontId="10" fillId="3" borderId="42" xfId="0" applyFont="1" applyFill="1" applyBorder="1" applyAlignment="1">
      <alignment horizontal="right" wrapText="1" readingOrder="1"/>
    </xf>
    <xf numFmtId="168" fontId="10" fillId="3" borderId="18" xfId="0" applyNumberFormat="1" applyFont="1" applyFill="1" applyBorder="1" applyAlignment="1">
      <alignment horizontal="right" wrapText="1" readingOrder="1"/>
    </xf>
    <xf numFmtId="168" fontId="10" fillId="3" borderId="19" xfId="0" applyNumberFormat="1" applyFont="1" applyFill="1" applyBorder="1" applyAlignment="1">
      <alignment horizontal="right" wrapText="1" readingOrder="1"/>
    </xf>
    <xf numFmtId="168" fontId="10" fillId="0" borderId="19" xfId="0" applyNumberFormat="1" applyFont="1" applyBorder="1" applyAlignment="1">
      <alignment horizontal="right" wrapText="1" readingOrder="1"/>
    </xf>
    <xf numFmtId="168" fontId="10" fillId="0" borderId="20" xfId="0" applyNumberFormat="1" applyFont="1" applyBorder="1" applyAlignment="1">
      <alignment horizontal="right" wrapText="1" readingOrder="1"/>
    </xf>
    <xf numFmtId="168" fontId="10" fillId="0" borderId="18" xfId="0" applyNumberFormat="1" applyFont="1" applyBorder="1" applyAlignment="1">
      <alignment horizontal="right" wrapText="1" readingOrder="1"/>
    </xf>
    <xf numFmtId="0" fontId="10" fillId="0" borderId="0" xfId="0" applyFont="1" applyAlignment="1">
      <alignment horizontal="right" wrapText="1" readingOrder="1"/>
    </xf>
    <xf numFmtId="0" fontId="10" fillId="3" borderId="64" xfId="0" applyFont="1" applyFill="1" applyBorder="1" applyAlignment="1">
      <alignment horizontal="right" wrapText="1" readingOrder="1"/>
    </xf>
    <xf numFmtId="3" fontId="10" fillId="0" borderId="65" xfId="0" applyNumberFormat="1" applyFont="1" applyBorder="1" applyAlignment="1">
      <alignment horizontal="right" wrapText="1" readingOrder="1"/>
    </xf>
    <xf numFmtId="0" fontId="10" fillId="0" borderId="19" xfId="0" applyFont="1" applyBorder="1" applyAlignment="1">
      <alignment horizontal="right" wrapText="1" readingOrder="1"/>
    </xf>
    <xf numFmtId="0" fontId="10" fillId="0" borderId="20" xfId="0" applyFont="1" applyBorder="1" applyAlignment="1">
      <alignment horizontal="right" wrapText="1" readingOrder="1"/>
    </xf>
    <xf numFmtId="0" fontId="10" fillId="0" borderId="18" xfId="0" applyFont="1" applyBorder="1" applyAlignment="1">
      <alignment horizontal="right" wrapText="1" readingOrder="1"/>
    </xf>
    <xf numFmtId="0" fontId="10" fillId="3" borderId="69" xfId="0" applyFont="1" applyFill="1" applyBorder="1" applyAlignment="1">
      <alignment horizontal="right" wrapText="1" readingOrder="1"/>
    </xf>
    <xf numFmtId="0" fontId="10" fillId="0" borderId="62" xfId="0" applyFont="1" applyBorder="1" applyAlignment="1">
      <alignment horizontal="right" wrapText="1" readingOrder="1"/>
    </xf>
    <xf numFmtId="0" fontId="10" fillId="0" borderId="69" xfId="0" applyFont="1" applyBorder="1" applyAlignment="1">
      <alignment horizontal="right" wrapText="1" readingOrder="1"/>
    </xf>
    <xf numFmtId="0" fontId="10" fillId="0" borderId="68" xfId="0" applyFont="1" applyBorder="1" applyAlignment="1">
      <alignment horizontal="right" wrapText="1" readingOrder="1"/>
    </xf>
    <xf numFmtId="0" fontId="10" fillId="0" borderId="5" xfId="0" applyFont="1" applyBorder="1" applyAlignment="1">
      <alignment horizontal="left" readingOrder="1"/>
    </xf>
    <xf numFmtId="0" fontId="10" fillId="3" borderId="25" xfId="0" applyFont="1" applyFill="1" applyBorder="1" applyAlignment="1">
      <alignment horizontal="right" wrapText="1" readingOrder="1"/>
    </xf>
    <xf numFmtId="0" fontId="10" fillId="3" borderId="67" xfId="0" applyFont="1" applyFill="1" applyBorder="1" applyAlignment="1">
      <alignment horizontal="right" wrapText="1" readingOrder="1"/>
    </xf>
    <xf numFmtId="166" fontId="10" fillId="0" borderId="31" xfId="2" applyNumberFormat="1" applyFont="1" applyBorder="1" applyAlignment="1">
      <alignment horizontal="left" wrapText="1" readingOrder="1"/>
    </xf>
    <xf numFmtId="166" fontId="10" fillId="3" borderId="29" xfId="2" applyNumberFormat="1" applyFont="1" applyFill="1" applyBorder="1" applyAlignment="1">
      <alignment horizontal="right" wrapText="1" readingOrder="1"/>
    </xf>
    <xf numFmtId="166" fontId="10" fillId="3" borderId="30" xfId="2" applyNumberFormat="1" applyFont="1" applyFill="1" applyBorder="1" applyAlignment="1">
      <alignment horizontal="right" wrapText="1" readingOrder="1"/>
    </xf>
    <xf numFmtId="166" fontId="10" fillId="3" borderId="31" xfId="2" applyNumberFormat="1" applyFont="1" applyFill="1" applyBorder="1" applyAlignment="1">
      <alignment horizontal="right" wrapText="1" readingOrder="1"/>
    </xf>
    <xf numFmtId="166" fontId="10" fillId="3" borderId="47" xfId="2" applyNumberFormat="1" applyFont="1" applyFill="1" applyBorder="1" applyAlignment="1">
      <alignment horizontal="right" wrapText="1" readingOrder="1"/>
    </xf>
    <xf numFmtId="166" fontId="10" fillId="0" borderId="6" xfId="2" applyNumberFormat="1" applyFont="1" applyBorder="1" applyAlignment="1">
      <alignment wrapText="1"/>
    </xf>
    <xf numFmtId="166" fontId="10" fillId="3" borderId="32" xfId="2" applyNumberFormat="1" applyFont="1" applyFill="1" applyBorder="1" applyAlignment="1">
      <alignment horizontal="right" wrapText="1" readingOrder="1"/>
    </xf>
    <xf numFmtId="166" fontId="10" fillId="0" borderId="22" xfId="2" applyNumberFormat="1" applyFont="1" applyBorder="1" applyAlignment="1">
      <alignment wrapText="1"/>
    </xf>
    <xf numFmtId="166" fontId="10" fillId="3" borderId="36" xfId="2" applyNumberFormat="1" applyFont="1" applyFill="1" applyBorder="1" applyAlignment="1">
      <alignment horizontal="right" wrapText="1" readingOrder="1"/>
    </xf>
    <xf numFmtId="166" fontId="10" fillId="0" borderId="30" xfId="2" applyNumberFormat="1" applyFont="1" applyBorder="1" applyAlignment="1">
      <alignment horizontal="right" wrapText="1" readingOrder="1"/>
    </xf>
    <xf numFmtId="166" fontId="10" fillId="0" borderId="48" xfId="2" applyNumberFormat="1" applyFont="1" applyFill="1" applyBorder="1" applyAlignment="1">
      <alignment horizontal="right" wrapText="1" readingOrder="1"/>
    </xf>
    <xf numFmtId="166" fontId="10" fillId="0" borderId="36" xfId="2" applyNumberFormat="1" applyFont="1" applyBorder="1" applyAlignment="1">
      <alignment horizontal="right" wrapText="1" readingOrder="1"/>
    </xf>
    <xf numFmtId="166" fontId="10" fillId="0" borderId="37" xfId="2" applyNumberFormat="1" applyFont="1" applyBorder="1" applyAlignment="1">
      <alignment horizontal="left" readingOrder="1"/>
    </xf>
    <xf numFmtId="166" fontId="10" fillId="3" borderId="8" xfId="2" applyNumberFormat="1" applyFont="1" applyFill="1" applyBorder="1" applyAlignment="1">
      <alignment horizontal="right" wrapText="1" readingOrder="1"/>
    </xf>
    <xf numFmtId="166" fontId="10" fillId="3" borderId="9" xfId="2" applyNumberFormat="1" applyFont="1" applyFill="1" applyBorder="1" applyAlignment="1">
      <alignment horizontal="right" wrapText="1" readingOrder="1"/>
    </xf>
    <xf numFmtId="166" fontId="10" fillId="3" borderId="11" xfId="2" applyNumberFormat="1" applyFont="1" applyFill="1" applyBorder="1" applyAlignment="1">
      <alignment horizontal="right" wrapText="1" readingOrder="1"/>
    </xf>
    <xf numFmtId="166" fontId="10" fillId="2" borderId="6" xfId="2" applyNumberFormat="1" applyFont="1" applyFill="1" applyBorder="1" applyAlignment="1">
      <alignment wrapText="1"/>
    </xf>
    <xf numFmtId="166" fontId="10" fillId="2" borderId="9" xfId="2" applyNumberFormat="1" applyFont="1" applyFill="1" applyBorder="1" applyAlignment="1">
      <alignment horizontal="right" wrapText="1" readingOrder="1"/>
    </xf>
    <xf numFmtId="166" fontId="10" fillId="2" borderId="2" xfId="2" applyNumberFormat="1" applyFont="1" applyFill="1" applyBorder="1" applyAlignment="1">
      <alignment horizontal="right" wrapText="1" readingOrder="1"/>
    </xf>
    <xf numFmtId="0" fontId="12" fillId="3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9" fontId="10" fillId="0" borderId="0" xfId="0" applyNumberFormat="1" applyFont="1" applyFill="1" applyBorder="1" applyAlignment="1">
      <alignment horizontal="right" wrapText="1" readingOrder="1"/>
    </xf>
    <xf numFmtId="167" fontId="10" fillId="0" borderId="0" xfId="3" applyNumberFormat="1" applyFont="1" applyAlignment="1">
      <alignment wrapText="1"/>
    </xf>
    <xf numFmtId="167" fontId="10" fillId="0" borderId="0" xfId="3" applyNumberFormat="1" applyFont="1" applyBorder="1" applyAlignment="1">
      <alignment horizontal="right" wrapText="1" readingOrder="1"/>
    </xf>
    <xf numFmtId="167" fontId="10" fillId="3" borderId="0" xfId="3" applyNumberFormat="1" applyFont="1" applyFill="1" applyBorder="1" applyAlignment="1">
      <alignment wrapText="1"/>
    </xf>
    <xf numFmtId="167" fontId="10" fillId="3" borderId="0" xfId="3" applyNumberFormat="1" applyFont="1" applyFill="1" applyBorder="1" applyAlignment="1">
      <alignment horizontal="right" wrapText="1" readingOrder="1"/>
    </xf>
    <xf numFmtId="0" fontId="10" fillId="0" borderId="0" xfId="0" applyFont="1" applyAlignment="1">
      <alignment horizontal="left"/>
    </xf>
    <xf numFmtId="167" fontId="10" fillId="0" borderId="0" xfId="3" applyNumberFormat="1" applyFont="1" applyAlignment="1">
      <alignment horizontal="right" wrapText="1" readingOrder="1"/>
    </xf>
    <xf numFmtId="9" fontId="10" fillId="0" borderId="0" xfId="4" applyFont="1" applyAlignment="1">
      <alignment horizontal="right" wrapText="1" readingOrder="1"/>
    </xf>
    <xf numFmtId="167" fontId="10" fillId="3" borderId="23" xfId="0" applyNumberFormat="1" applyFont="1" applyFill="1" applyBorder="1" applyAlignment="1">
      <alignment wrapText="1"/>
    </xf>
    <xf numFmtId="167" fontId="10" fillId="3" borderId="23" xfId="3" applyNumberFormat="1" applyFont="1" applyFill="1" applyBorder="1" applyAlignment="1">
      <alignment horizontal="right" wrapText="1" readingOrder="1"/>
    </xf>
    <xf numFmtId="167" fontId="10" fillId="0" borderId="23" xfId="3" applyNumberFormat="1" applyFont="1" applyBorder="1" applyAlignment="1">
      <alignment horizontal="right" wrapText="1" readingOrder="1"/>
    </xf>
    <xf numFmtId="167" fontId="10" fillId="0" borderId="0" xfId="3" applyNumberFormat="1" applyFont="1" applyFill="1" applyAlignment="1">
      <alignment wrapText="1"/>
    </xf>
    <xf numFmtId="167" fontId="13" fillId="0" borderId="0" xfId="3" applyNumberFormat="1" applyFont="1" applyFill="1" applyBorder="1" applyAlignment="1">
      <alignment wrapText="1"/>
    </xf>
    <xf numFmtId="167" fontId="10" fillId="0" borderId="0" xfId="3" applyNumberFormat="1" applyFont="1" applyBorder="1" applyAlignment="1">
      <alignment wrapText="1"/>
    </xf>
    <xf numFmtId="167" fontId="10" fillId="6" borderId="0" xfId="3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horizontal="right"/>
    </xf>
    <xf numFmtId="167" fontId="10" fillId="0" borderId="0" xfId="0" applyNumberFormat="1" applyFont="1" applyAlignment="1">
      <alignment wrapText="1"/>
    </xf>
    <xf numFmtId="0" fontId="10" fillId="0" borderId="33" xfId="0" applyFont="1" applyBorder="1" applyAlignment="1">
      <alignment horizontal="right" wrapText="1" readingOrder="1"/>
    </xf>
    <xf numFmtId="0" fontId="10" fillId="0" borderId="50" xfId="0" applyFont="1" applyBorder="1" applyAlignment="1">
      <alignment horizontal="left" wrapText="1" readingOrder="1"/>
    </xf>
    <xf numFmtId="9" fontId="10" fillId="3" borderId="51" xfId="4" applyFont="1" applyFill="1" applyBorder="1" applyAlignment="1">
      <alignment wrapText="1"/>
    </xf>
    <xf numFmtId="9" fontId="10" fillId="0" borderId="46" xfId="4" applyFont="1" applyBorder="1" applyAlignment="1">
      <alignment wrapText="1"/>
    </xf>
    <xf numFmtId="0" fontId="10" fillId="0" borderId="19" xfId="0" applyFont="1" applyBorder="1" applyAlignment="1">
      <alignment wrapText="1"/>
    </xf>
    <xf numFmtId="9" fontId="10" fillId="3" borderId="42" xfId="4" applyFont="1" applyFill="1" applyBorder="1" applyAlignment="1">
      <alignment wrapText="1"/>
    </xf>
    <xf numFmtId="9" fontId="10" fillId="0" borderId="42" xfId="4" applyFont="1" applyBorder="1" applyAlignment="1">
      <alignment wrapText="1"/>
    </xf>
    <xf numFmtId="9" fontId="10" fillId="3" borderId="46" xfId="4" applyFont="1" applyFill="1" applyBorder="1" applyAlignment="1">
      <alignment wrapText="1"/>
    </xf>
    <xf numFmtId="0" fontId="10" fillId="0" borderId="26" xfId="0" applyFont="1" applyBorder="1" applyAlignment="1">
      <alignment horizontal="right" wrapText="1" readingOrder="1"/>
    </xf>
    <xf numFmtId="0" fontId="10" fillId="0" borderId="26" xfId="0" applyFont="1" applyBorder="1" applyAlignment="1">
      <alignment horizontal="left" wrapText="1" readingOrder="1"/>
    </xf>
    <xf numFmtId="9" fontId="10" fillId="3" borderId="49" xfId="4" applyFont="1" applyFill="1" applyBorder="1" applyAlignment="1">
      <alignment wrapText="1"/>
    </xf>
    <xf numFmtId="9" fontId="10" fillId="0" borderId="49" xfId="4" applyFont="1" applyBorder="1" applyAlignment="1">
      <alignment wrapText="1"/>
    </xf>
    <xf numFmtId="0" fontId="10" fillId="0" borderId="52" xfId="0" applyFont="1" applyBorder="1" applyAlignment="1">
      <alignment horizontal="right" wrapText="1" readingOrder="1"/>
    </xf>
    <xf numFmtId="0" fontId="10" fillId="0" borderId="52" xfId="0" applyFont="1" applyBorder="1" applyAlignment="1">
      <alignment wrapText="1"/>
    </xf>
    <xf numFmtId="0" fontId="10" fillId="3" borderId="52" xfId="0" applyFont="1" applyFill="1" applyBorder="1" applyAlignment="1">
      <alignment horizontal="right" wrapText="1" readingOrder="1"/>
    </xf>
    <xf numFmtId="9" fontId="10" fillId="0" borderId="46" xfId="0" applyNumberFormat="1" applyFont="1" applyBorder="1" applyAlignment="1">
      <alignment wrapText="1"/>
    </xf>
    <xf numFmtId="0" fontId="10" fillId="0" borderId="0" xfId="0" applyFont="1" applyAlignment="1">
      <alignment horizontal="center"/>
    </xf>
    <xf numFmtId="167" fontId="9" fillId="0" borderId="0" xfId="0" applyNumberFormat="1" applyFont="1"/>
    <xf numFmtId="0" fontId="10" fillId="0" borderId="0" xfId="0" applyFont="1" applyAlignment="1">
      <alignment horizontal="left" wrapText="1"/>
    </xf>
    <xf numFmtId="167" fontId="9" fillId="0" borderId="0" xfId="3" applyNumberFormat="1" applyFont="1"/>
    <xf numFmtId="0" fontId="6" fillId="0" borderId="0" xfId="0" applyFont="1" applyFill="1"/>
    <xf numFmtId="0" fontId="10" fillId="0" borderId="15" xfId="0" applyFont="1" applyFill="1" applyBorder="1" applyAlignment="1">
      <alignment readingOrder="1"/>
    </xf>
    <xf numFmtId="166" fontId="10" fillId="0" borderId="15" xfId="2" applyNumberFormat="1" applyFont="1" applyFill="1" applyBorder="1" applyAlignment="1">
      <alignment horizontal="right" wrapText="1" readingOrder="1"/>
    </xf>
    <xf numFmtId="166" fontId="10" fillId="0" borderId="17" xfId="2" applyNumberFormat="1" applyFont="1" applyFill="1" applyBorder="1" applyAlignment="1">
      <alignment horizontal="right" wrapText="1" readingOrder="1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horizontal="left" readingOrder="1"/>
    </xf>
    <xf numFmtId="166" fontId="10" fillId="7" borderId="66" xfId="2" applyNumberFormat="1" applyFont="1" applyFill="1" applyBorder="1" applyAlignment="1">
      <alignment horizontal="right" wrapText="1" readingOrder="1"/>
    </xf>
    <xf numFmtId="0" fontId="9" fillId="3" borderId="0" xfId="0" applyFont="1" applyFill="1"/>
    <xf numFmtId="3" fontId="10" fillId="0" borderId="33" xfId="0" applyNumberFormat="1" applyFont="1" applyBorder="1" applyAlignment="1">
      <alignment wrapText="1"/>
    </xf>
    <xf numFmtId="166" fontId="10" fillId="5" borderId="61" xfId="0" applyNumberFormat="1" applyFont="1" applyFill="1" applyBorder="1" applyAlignment="1">
      <alignment horizontal="right" wrapText="1" readingOrder="1"/>
    </xf>
    <xf numFmtId="0" fontId="9" fillId="0" borderId="14" xfId="0" applyFont="1" applyBorder="1"/>
    <xf numFmtId="0" fontId="14" fillId="0" borderId="0" xfId="0" applyFont="1"/>
    <xf numFmtId="166" fontId="15" fillId="0" borderId="0" xfId="2" applyNumberFormat="1" applyFont="1" applyFill="1" applyBorder="1" applyAlignment="1" applyProtection="1">
      <protection locked="0"/>
    </xf>
    <xf numFmtId="49" fontId="16" fillId="8" borderId="0" xfId="2" applyNumberFormat="1" applyFont="1" applyFill="1" applyBorder="1" applyAlignment="1" applyProtection="1">
      <alignment horizontal="center" vertical="center" wrapText="1"/>
      <protection locked="0"/>
    </xf>
    <xf numFmtId="0" fontId="14" fillId="9" borderId="0" xfId="0" applyFont="1" applyFill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166" fontId="15" fillId="0" borderId="0" xfId="2" applyNumberFormat="1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9" borderId="0" xfId="0" applyFont="1" applyFill="1" applyProtection="1">
      <protection locked="0"/>
    </xf>
    <xf numFmtId="166" fontId="17" fillId="0" borderId="0" xfId="2" applyNumberFormat="1" applyFont="1" applyFill="1" applyProtection="1">
      <protection locked="0"/>
    </xf>
    <xf numFmtId="167" fontId="17" fillId="0" borderId="0" xfId="3" applyNumberFormat="1" applyFont="1" applyFill="1" applyProtection="1">
      <protection locked="0"/>
    </xf>
    <xf numFmtId="167" fontId="14" fillId="0" borderId="0" xfId="0" applyNumberFormat="1" applyFont="1" applyProtection="1">
      <protection locked="0"/>
    </xf>
    <xf numFmtId="167" fontId="17" fillId="0" borderId="62" xfId="3" applyNumberFormat="1" applyFont="1" applyFill="1" applyBorder="1" applyProtection="1">
      <protection locked="0"/>
    </xf>
    <xf numFmtId="166" fontId="17" fillId="0" borderId="19" xfId="2" applyNumberFormat="1" applyFont="1" applyFill="1" applyBorder="1" applyProtection="1">
      <protection locked="0"/>
    </xf>
    <xf numFmtId="167" fontId="15" fillId="3" borderId="23" xfId="3" applyNumberFormat="1" applyFont="1" applyFill="1" applyBorder="1" applyProtection="1">
      <protection locked="0"/>
    </xf>
    <xf numFmtId="167" fontId="15" fillId="0" borderId="71" xfId="3" applyNumberFormat="1" applyFont="1" applyFill="1" applyBorder="1" applyProtection="1">
      <protection locked="0"/>
    </xf>
    <xf numFmtId="166" fontId="15" fillId="0" borderId="0" xfId="2" applyNumberFormat="1" applyFont="1" applyFill="1" applyBorder="1" applyProtection="1">
      <protection locked="0"/>
    </xf>
    <xf numFmtId="0" fontId="18" fillId="0" borderId="0" xfId="0" applyFont="1"/>
    <xf numFmtId="167" fontId="14" fillId="0" borderId="0" xfId="3" applyNumberFormat="1" applyFont="1"/>
    <xf numFmtId="44" fontId="14" fillId="9" borderId="0" xfId="3" applyFont="1" applyFill="1"/>
    <xf numFmtId="44" fontId="14" fillId="0" borderId="0" xfId="3" applyFont="1"/>
    <xf numFmtId="167" fontId="14" fillId="0" borderId="19" xfId="0" applyNumberFormat="1" applyFont="1" applyBorder="1" applyProtection="1">
      <protection locked="0"/>
    </xf>
    <xf numFmtId="0" fontId="10" fillId="0" borderId="0" xfId="0" applyFont="1" applyAlignment="1">
      <alignment horizontal="left" wrapText="1"/>
    </xf>
    <xf numFmtId="0" fontId="10" fillId="0" borderId="8" xfId="0" applyFont="1" applyBorder="1" applyAlignment="1">
      <alignment horizontal="center" wrapText="1" readingOrder="1"/>
    </xf>
    <xf numFmtId="0" fontId="10" fillId="0" borderId="9" xfId="0" applyFont="1" applyBorder="1" applyAlignment="1">
      <alignment horizontal="center" wrapText="1" readingOrder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10" fillId="0" borderId="8" xfId="0" applyFont="1" applyBorder="1" applyAlignment="1">
      <alignment horizontal="center" wrapText="1" readingOrder="1"/>
    </xf>
    <xf numFmtId="0" fontId="10" fillId="0" borderId="9" xfId="0" applyFont="1" applyBorder="1" applyAlignment="1">
      <alignment horizontal="center" wrapText="1" readingOrder="1"/>
    </xf>
    <xf numFmtId="0" fontId="10" fillId="0" borderId="10" xfId="0" applyFont="1" applyBorder="1" applyAlignment="1">
      <alignment horizontal="center" wrapText="1" readingOrder="1"/>
    </xf>
    <xf numFmtId="0" fontId="10" fillId="0" borderId="0" xfId="0" applyFont="1" applyAlignment="1">
      <alignment horizontal="left" wrapText="1"/>
    </xf>
    <xf numFmtId="0" fontId="10" fillId="4" borderId="9" xfId="0" applyFont="1" applyFill="1" applyBorder="1" applyAlignment="1">
      <alignment horizontal="left" readingOrder="1"/>
    </xf>
    <xf numFmtId="167" fontId="10" fillId="0" borderId="0" xfId="3" applyNumberFormat="1" applyFont="1" applyAlignment="1">
      <alignment horizontal="left" wrapText="1" readingOrder="1"/>
    </xf>
  </cellXfs>
  <cellStyles count="5">
    <cellStyle name="_x0010_" xfId="1"/>
    <cellStyle name="Comma" xfId="2" builtinId="3"/>
    <cellStyle name="Currency" xfId="3" builtinId="4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/AppData/Local/Microsoft/Windows/Temporary%20Internet%20Files/Content.Outlook/EB80F08C/Virtualization%20Business%20Model%20Summary%2010-08-2010%20(Q3%202010%20actual)%20BOM%20w-deferred%20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nel Reps"/>
      <sheetName val="Reflex Revenue Opportunity"/>
      <sheetName val="Reflex VSA TAM"/>
      <sheetName val="Base WW Servers &amp; Penetration"/>
      <sheetName val="P&amp;L Summary base case"/>
      <sheetName val="P&amp;L Summary base case (2)"/>
      <sheetName val="P&amp;L Summary base case (3)"/>
      <sheetName val="Cash Burn"/>
      <sheetName val="P&amp;L Summary worst case"/>
      <sheetName val="Cash Bur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3">
          <cell r="AA53">
            <v>1280</v>
          </cell>
          <cell r="AB53">
            <v>1394</v>
          </cell>
          <cell r="AC53">
            <v>1615</v>
          </cell>
        </row>
        <row r="57">
          <cell r="Z57">
            <v>240</v>
          </cell>
          <cell r="AA57">
            <v>280</v>
          </cell>
          <cell r="AB57">
            <v>320</v>
          </cell>
          <cell r="AC57">
            <v>380</v>
          </cell>
        </row>
        <row r="77">
          <cell r="T77">
            <v>0</v>
          </cell>
          <cell r="U77">
            <v>0</v>
          </cell>
          <cell r="V77">
            <v>0</v>
          </cell>
          <cell r="W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6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RowHeight="14.4" x14ac:dyDescent="0.3"/>
  <cols>
    <col min="1" max="1" width="34.33203125" customWidth="1"/>
    <col min="2" max="2" width="11.5546875" bestFit="1" customWidth="1"/>
    <col min="3" max="3" width="13.33203125" bestFit="1" customWidth="1"/>
    <col min="4" max="4" width="13.6640625" customWidth="1"/>
    <col min="5" max="6" width="11.5546875" bestFit="1" customWidth="1"/>
    <col min="7" max="7" width="10.5546875" bestFit="1" customWidth="1"/>
    <col min="8" max="13" width="11.5546875" bestFit="1" customWidth="1"/>
    <col min="14" max="61" width="10.6640625" customWidth="1"/>
    <col min="62" max="62" width="14.33203125" bestFit="1" customWidth="1"/>
  </cols>
  <sheetData>
    <row r="2" spans="1:62" x14ac:dyDescent="0.3">
      <c r="F2" s="3"/>
      <c r="H2" s="5"/>
    </row>
    <row r="3" spans="1:62" x14ac:dyDescent="0.3">
      <c r="A3" t="s">
        <v>55</v>
      </c>
      <c r="L3" s="47"/>
    </row>
    <row r="4" spans="1:62" x14ac:dyDescent="0.3">
      <c r="B4" s="2">
        <v>39448</v>
      </c>
      <c r="C4" s="2">
        <v>39479</v>
      </c>
      <c r="D4" s="2" t="e">
        <f>#N/A</f>
        <v>#N/A</v>
      </c>
      <c r="E4" s="2" t="e">
        <f t="shared" ref="E4:AK4" si="0">#N/A</f>
        <v>#N/A</v>
      </c>
      <c r="F4" s="2" t="e">
        <f t="shared" si="0"/>
        <v>#N/A</v>
      </c>
      <c r="G4" s="2" t="e">
        <f t="shared" si="0"/>
        <v>#N/A</v>
      </c>
      <c r="H4" s="2" t="e">
        <f t="shared" si="0"/>
        <v>#N/A</v>
      </c>
      <c r="I4" s="2" t="e">
        <f t="shared" si="0"/>
        <v>#N/A</v>
      </c>
      <c r="J4" s="2" t="e">
        <f t="shared" si="0"/>
        <v>#N/A</v>
      </c>
      <c r="K4" s="2" t="e">
        <f t="shared" si="0"/>
        <v>#N/A</v>
      </c>
      <c r="L4" s="2" t="e">
        <f t="shared" si="0"/>
        <v>#N/A</v>
      </c>
      <c r="M4" s="2" t="e">
        <f t="shared" si="0"/>
        <v>#N/A</v>
      </c>
      <c r="N4" s="2" t="e">
        <f t="shared" si="0"/>
        <v>#N/A</v>
      </c>
      <c r="O4" s="2" t="e">
        <f t="shared" si="0"/>
        <v>#N/A</v>
      </c>
      <c r="P4" s="2" t="e">
        <f t="shared" si="0"/>
        <v>#N/A</v>
      </c>
      <c r="Q4" s="2" t="e">
        <f t="shared" si="0"/>
        <v>#N/A</v>
      </c>
      <c r="R4" s="2" t="e">
        <f t="shared" si="0"/>
        <v>#N/A</v>
      </c>
      <c r="S4" s="2" t="e">
        <f t="shared" si="0"/>
        <v>#N/A</v>
      </c>
      <c r="T4" s="2" t="e">
        <f t="shared" si="0"/>
        <v>#N/A</v>
      </c>
      <c r="U4" s="2" t="e">
        <f t="shared" si="0"/>
        <v>#N/A</v>
      </c>
      <c r="V4" s="2" t="e">
        <f t="shared" si="0"/>
        <v>#N/A</v>
      </c>
      <c r="W4" s="2" t="e">
        <f t="shared" si="0"/>
        <v>#N/A</v>
      </c>
      <c r="X4" s="2" t="e">
        <f t="shared" si="0"/>
        <v>#N/A</v>
      </c>
      <c r="Y4" s="2" t="e">
        <f t="shared" si="0"/>
        <v>#N/A</v>
      </c>
      <c r="Z4" s="2" t="e">
        <f t="shared" si="0"/>
        <v>#N/A</v>
      </c>
      <c r="AA4" s="2" t="e">
        <f t="shared" si="0"/>
        <v>#N/A</v>
      </c>
      <c r="AB4" s="2" t="e">
        <f t="shared" si="0"/>
        <v>#N/A</v>
      </c>
      <c r="AC4" s="2" t="e">
        <f t="shared" si="0"/>
        <v>#N/A</v>
      </c>
      <c r="AD4" s="2" t="e">
        <f t="shared" si="0"/>
        <v>#N/A</v>
      </c>
      <c r="AE4" s="2" t="e">
        <f t="shared" si="0"/>
        <v>#N/A</v>
      </c>
      <c r="AF4" s="2" t="e">
        <f t="shared" si="0"/>
        <v>#N/A</v>
      </c>
      <c r="AG4" s="2" t="e">
        <f t="shared" si="0"/>
        <v>#N/A</v>
      </c>
      <c r="AH4" s="2" t="e">
        <f t="shared" si="0"/>
        <v>#N/A</v>
      </c>
      <c r="AI4" s="2" t="e">
        <f t="shared" si="0"/>
        <v>#N/A</v>
      </c>
      <c r="AJ4" s="2" t="e">
        <f t="shared" si="0"/>
        <v>#N/A</v>
      </c>
      <c r="AK4" s="2" t="e">
        <f t="shared" si="0"/>
        <v>#N/A</v>
      </c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2" x14ac:dyDescent="0.3">
      <c r="A5" t="s">
        <v>49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62" x14ac:dyDescent="0.3">
      <c r="A6" s="6" t="s">
        <v>52</v>
      </c>
      <c r="B6" s="40" t="e">
        <f>ROUNDUP((#REF!*1000)/(((americas_channel_sales_execs_quota*americas_sales_exec_quota_attainment)/4)*Inter_quarter_revenue_distribution_month_1),0)</f>
        <v>#REF!</v>
      </c>
      <c r="C6" s="40" t="e">
        <f>ROUNDUP((#REF!*1000)/(((americas_channel_sales_execs_quota*americas_sales_exec_quota_attainment)/4)*Inter_quarter_revenue_distribution_month_2),0)</f>
        <v>#REF!</v>
      </c>
      <c r="D6" s="40" t="e">
        <f>ROUNDUP((#REF!*1000)/(((americas_channel_sales_execs_quota*americas_sales_exec_quota_attainment)/4)*Inter_quarter_revenue_distribution_month_3),0)</f>
        <v>#REF!</v>
      </c>
      <c r="E6" s="40" t="e">
        <f>ROUNDUP((#REF!*1000)/(((americas_channel_sales_execs_quota*americas_sales_exec_quota_attainment)/4)*Inter_quarter_revenue_distribution_month_1),0)</f>
        <v>#REF!</v>
      </c>
      <c r="F6" s="40" t="e">
        <f>ROUNDUP((#REF!*1000)/(((americas_channel_sales_execs_quota*americas_sales_exec_quota_attainment)/4)*Inter_quarter_revenue_distribution_month_2),0)</f>
        <v>#REF!</v>
      </c>
      <c r="G6" s="40" t="e">
        <f>ROUNDUP((#REF!*1000)/(((americas_channel_sales_execs_quota*americas_sales_exec_quota_attainment)/4)*Inter_quarter_revenue_distribution_month_3),0)</f>
        <v>#REF!</v>
      </c>
      <c r="H6" s="40" t="e">
        <f>ROUNDUP((#REF!*1000)/(((americas_channel_sales_execs_quota*americas_sales_exec_quota_attainment)/4)*Inter_quarter_revenue_distribution_month_1),0)</f>
        <v>#REF!</v>
      </c>
      <c r="I6" s="40" t="e">
        <f>ROUNDUP((#REF!*1000)/(((americas_channel_sales_execs_quota*americas_sales_exec_quota_attainment)/4)*Inter_quarter_revenue_distribution_month_2),0)</f>
        <v>#REF!</v>
      </c>
      <c r="J6" s="40" t="e">
        <f>ROUNDUP((#REF!*1000)/(((americas_channel_sales_execs_quota*americas_sales_exec_quota_attainment)/4)*Inter_quarter_revenue_distribution_month_3),0)</f>
        <v>#REF!</v>
      </c>
      <c r="K6" s="40" t="e">
        <f>ROUNDUP((#REF!*1000)/(((americas_channel_sales_execs_quota*americas_sales_exec_quota_attainment)/4)*Inter_quarter_revenue_distribution_month_1),0)</f>
        <v>#REF!</v>
      </c>
      <c r="L6" s="40" t="e">
        <f>ROUNDUP((#REF!*1000)/(((americas_channel_sales_execs_quota*americas_sales_exec_quota_attainment)/4)*Inter_quarter_revenue_distribution_month_2),0)</f>
        <v>#REF!</v>
      </c>
      <c r="M6" s="40" t="e">
        <f>ROUNDUP((#REF!*1000)/(((americas_channel_sales_execs_quota*americas_sales_exec_quota_attainment)/4)*Inter_quarter_revenue_distribution_month_3),0)</f>
        <v>#REF!</v>
      </c>
      <c r="N6" s="40" t="e">
        <f>ROUNDUP((#REF!*1000)/(((americas_channel_sales_execs_quota*americas_sales_exec_quota_attainment)/4)*Inter_quarter_revenue_distribution_month_1),0)</f>
        <v>#REF!</v>
      </c>
      <c r="O6" s="40" t="e">
        <f>ROUNDUP((#REF!*1000)/(((americas_channel_sales_execs_quota*americas_sales_exec_quota_attainment)/4)*Inter_quarter_revenue_distribution_month_2),0)</f>
        <v>#REF!</v>
      </c>
      <c r="P6" s="40" t="e">
        <f>ROUNDUP((#REF!*1000)/(((americas_channel_sales_execs_quota*americas_sales_exec_quota_attainment)/4)*Inter_quarter_revenue_distribution_month_3),0)</f>
        <v>#REF!</v>
      </c>
      <c r="Q6" s="40" t="e">
        <f>ROUNDUP((#REF!*1000)/(((americas_channel_sales_execs_quota*americas_sales_exec_quota_attainment)/4)*Inter_quarter_revenue_distribution_month_1),0)</f>
        <v>#REF!</v>
      </c>
      <c r="R6" s="40" t="e">
        <f>ROUNDUP((#REF!*1000)/(((americas_channel_sales_execs_quota*americas_sales_exec_quota_attainment)/4)*Inter_quarter_revenue_distribution_month_2),0)</f>
        <v>#REF!</v>
      </c>
      <c r="S6" s="40" t="e">
        <f>ROUNDUP((#REF!*1000)/(((americas_channel_sales_execs_quota*americas_sales_exec_quota_attainment)/4)*Inter_quarter_revenue_distribution_month_3),0)</f>
        <v>#REF!</v>
      </c>
      <c r="T6" s="40" t="e">
        <f>ROUNDUP((#REF!*1000)/(((americas_channel_sales_execs_quota*americas_sales_exec_quota_attainment)/4)*Inter_quarter_revenue_distribution_month_1),0)</f>
        <v>#REF!</v>
      </c>
      <c r="U6" s="40" t="e">
        <f>ROUNDUP((#REF!*1000)/(((americas_channel_sales_execs_quota*americas_sales_exec_quota_attainment)/4)*Inter_quarter_revenue_distribution_month_2),0)</f>
        <v>#REF!</v>
      </c>
      <c r="V6" s="40" t="e">
        <f>ROUNDUP((#REF!*1000)/(((americas_channel_sales_execs_quota*americas_sales_exec_quota_attainment)/4)*Inter_quarter_revenue_distribution_month_3),0)</f>
        <v>#REF!</v>
      </c>
      <c r="W6" s="40" t="e">
        <f>ROUNDUP((#REF!*1000)/(((americas_channel_sales_execs_quota*americas_sales_exec_quota_attainment)/4)*Inter_quarter_revenue_distribution_month_1),0)</f>
        <v>#REF!</v>
      </c>
      <c r="X6" s="40" t="e">
        <f>ROUNDUP((#REF!*1000)/(((americas_channel_sales_execs_quota*americas_sales_exec_quota_attainment)/4)*Inter_quarter_revenue_distribution_month_2),0)</f>
        <v>#REF!</v>
      </c>
      <c r="Y6" s="40" t="e">
        <f>ROUNDUP((#REF!*1000)/(((americas_channel_sales_execs_quota*americas_sales_exec_quota_attainment)/4)*Inter_quarter_revenue_distribution_month_3),0)</f>
        <v>#REF!</v>
      </c>
      <c r="Z6" s="40" t="e">
        <f>ROUNDUP((#REF!*1000)/(((americas_channel_sales_execs_quota*americas_sales_exec_quota_attainment)/4)*Inter_quarter_revenue_distribution_month_1),0)</f>
        <v>#REF!</v>
      </c>
      <c r="AA6" s="40" t="e">
        <f>ROUNDUP((#REF!*1000)/(((americas_channel_sales_execs_quota*americas_sales_exec_quota_attainment)/4)*Inter_quarter_revenue_distribution_month_2),0)</f>
        <v>#REF!</v>
      </c>
      <c r="AB6" s="40" t="e">
        <f>ROUNDUP((#REF!*1000)/(((americas_channel_sales_execs_quota*americas_sales_exec_quota_attainment)/4)*Inter_quarter_revenue_distribution_month_3),0)</f>
        <v>#REF!</v>
      </c>
      <c r="AC6" s="40" t="e">
        <f>ROUNDUP((#REF!*1000)/(((americas_channel_sales_execs_quota*americas_sales_exec_quota_attainment)/4)*Inter_quarter_revenue_distribution_month_1),0)</f>
        <v>#REF!</v>
      </c>
      <c r="AD6" s="40" t="e">
        <f>ROUNDUP((#REF!*1000)/(((americas_channel_sales_execs_quota*americas_sales_exec_quota_attainment)/4)*Inter_quarter_revenue_distribution_month_2),0)</f>
        <v>#REF!</v>
      </c>
      <c r="AE6" s="40" t="e">
        <f>ROUNDUP((#REF!*1000)/(((americas_channel_sales_execs_quota*americas_sales_exec_quota_attainment)/4)*Inter_quarter_revenue_distribution_month_3),0)</f>
        <v>#REF!</v>
      </c>
      <c r="AF6" s="40" t="e">
        <f>ROUNDUP((#REF!*1000)/(((americas_channel_sales_execs_quota*americas_sales_exec_quota_attainment)/4)*Inter_quarter_revenue_distribution_month_1),0)</f>
        <v>#REF!</v>
      </c>
      <c r="AG6" s="40" t="e">
        <f>ROUNDUP((#REF!*1000)/(((americas_channel_sales_execs_quota*americas_sales_exec_quota_attainment)/4)*Inter_quarter_revenue_distribution_month_2),0)</f>
        <v>#REF!</v>
      </c>
      <c r="AH6" s="40" t="e">
        <f>ROUNDUP((#REF!*1000)/(((americas_channel_sales_execs_quota*americas_sales_exec_quota_attainment)/4)*Inter_quarter_revenue_distribution_month_3),0)</f>
        <v>#REF!</v>
      </c>
      <c r="AI6" s="40" t="e">
        <f>ROUNDUP((#REF!*1000)/(((americas_channel_sales_execs_quota*americas_sales_exec_quota_attainment)/4)*Inter_quarter_revenue_distribution_month_1),0)</f>
        <v>#REF!</v>
      </c>
      <c r="AJ6" s="40" t="e">
        <f>ROUNDUP((#REF!*1000)/(((americas_channel_sales_execs_quota*americas_sales_exec_quota_attainment)/4)*Inter_quarter_revenue_distribution_month_2),0)</f>
        <v>#REF!</v>
      </c>
      <c r="AK6" s="40" t="e">
        <f>ROUNDUP((#REF!*1000)/(((americas_channel_sales_execs_quota*americas_sales_exec_quota_attainment)/4)*Inter_quarter_revenue_distribution_month_3),0)</f>
        <v>#REF!</v>
      </c>
      <c r="BJ6" s="3"/>
    </row>
    <row r="7" spans="1:62" x14ac:dyDescent="0.3">
      <c r="A7" s="6" t="s">
        <v>53</v>
      </c>
      <c r="B7" s="40" t="e">
        <f>ROUNDUP((#REF!*1000)/(((americas_Inside_sales_quota*americas_sales_quota_attainment)/4)*Inter_quarter_revenue_distribution_month_1),0)</f>
        <v>#REF!</v>
      </c>
      <c r="C7" s="40" t="e">
        <f>ROUNDUP((#REF!*1000)/(((americas_Inside_sales_quota*americas_sales_quota_attainment)/4)*Inter_quarter_revenue_distribution_month_2),0)</f>
        <v>#REF!</v>
      </c>
      <c r="D7" s="40" t="e">
        <f>ROUNDUP((#REF!*1000)/(((americas_Inside_sales_quota*americas_sales_quota_attainment)/4)*Inter_quarter_revenue_distribution_month_3),0)</f>
        <v>#REF!</v>
      </c>
      <c r="E7" s="40" t="e">
        <f>ROUNDUP((#REF!*1000)/(((americas_Inside_sales_quota*americas_sales_quota_attainment)/4)*Inter_quarter_revenue_distribution_month_1),0)</f>
        <v>#REF!</v>
      </c>
      <c r="F7" s="40" t="e">
        <f>ROUNDUP((#REF!*1000)/(((americas_Inside_sales_quota*americas_sales_quota_attainment)/4)*Inter_quarter_revenue_distribution_month_2),0)</f>
        <v>#REF!</v>
      </c>
      <c r="G7" s="40" t="e">
        <f>ROUNDUP((#REF!*1000)/(((americas_Inside_sales_quota*americas_sales_quota_attainment)/4)*Inter_quarter_revenue_distribution_month_3),0)</f>
        <v>#REF!</v>
      </c>
      <c r="H7" s="40" t="e">
        <f>ROUNDUP((#REF!*1000)/(((americas_Inside_sales_quota*americas_sales_quota_attainment)/4)*Inter_quarter_revenue_distribution_month_1),0)</f>
        <v>#REF!</v>
      </c>
      <c r="I7" s="40" t="e">
        <f>ROUNDUP((#REF!*1000)/(((americas_Inside_sales_quota*americas_sales_quota_attainment)/4)*Inter_quarter_revenue_distribution_month_2),0)</f>
        <v>#REF!</v>
      </c>
      <c r="J7" s="40" t="e">
        <f>ROUNDUP((#REF!*1000)/(((americas_Inside_sales_quota*americas_sales_quota_attainment)/4)*Inter_quarter_revenue_distribution_month_3),0)</f>
        <v>#REF!</v>
      </c>
      <c r="K7" s="40" t="e">
        <f>ROUNDUP((#REF!*1000)/(((americas_Inside_sales_quota*americas_sales_quota_attainment)/4)*Inter_quarter_revenue_distribution_month_1),0)</f>
        <v>#REF!</v>
      </c>
      <c r="L7" s="40" t="e">
        <f>ROUNDUP((#REF!*1000)/(((americas_Inside_sales_quota*americas_sales_quota_attainment)/4)*Inter_quarter_revenue_distribution_month_2),0)</f>
        <v>#REF!</v>
      </c>
      <c r="M7" s="40" t="e">
        <f>ROUNDUP((#REF!*1000)/(((americas_Inside_sales_quota*americas_sales_quota_attainment)/4)*Inter_quarter_revenue_distribution_month_3),0)</f>
        <v>#REF!</v>
      </c>
      <c r="N7" s="40" t="e">
        <f>ROUNDUP((#REF!*1000)/(((americas_Inside_sales_quota*americas_sales_quota_attainment)/4)*Inter_quarter_revenue_distribution_month_1),0)</f>
        <v>#REF!</v>
      </c>
      <c r="O7" s="40" t="e">
        <f>ROUNDUP((#REF!*1000)/(((americas_Inside_sales_quota*americas_sales_quota_attainment)/4)*Inter_quarter_revenue_distribution_month_2),0)</f>
        <v>#REF!</v>
      </c>
      <c r="P7" s="40" t="e">
        <f>ROUNDUP((#REF!*1000)/(((americas_Inside_sales_quota*americas_sales_quota_attainment)/4)*Inter_quarter_revenue_distribution_month_3),0)</f>
        <v>#REF!</v>
      </c>
      <c r="Q7" s="40" t="e">
        <f>ROUNDUP((#REF!*1000)/(((americas_Inside_sales_quota*americas_sales_quota_attainment)/4)*Inter_quarter_revenue_distribution_month_1),0)</f>
        <v>#REF!</v>
      </c>
      <c r="R7" s="40" t="e">
        <f>ROUNDUP((#REF!*1000)/(((americas_Inside_sales_quota*americas_sales_quota_attainment)/4)*Inter_quarter_revenue_distribution_month_2),0)</f>
        <v>#REF!</v>
      </c>
      <c r="S7" s="40" t="e">
        <f>ROUNDUP((#REF!*1000)/(((americas_Inside_sales_quota*americas_sales_quota_attainment)/4)*Inter_quarter_revenue_distribution_month_3),0)</f>
        <v>#REF!</v>
      </c>
      <c r="T7" s="40" t="e">
        <f>ROUNDUP((#REF!*1000)/(((americas_Inside_sales_quota*americas_sales_quota_attainment)/4)*Inter_quarter_revenue_distribution_month_1),0)</f>
        <v>#REF!</v>
      </c>
      <c r="U7" s="40" t="e">
        <f>ROUNDUP((#REF!*1000)/(((americas_Inside_sales_quota*americas_sales_quota_attainment)/4)*Inter_quarter_revenue_distribution_month_2),0)</f>
        <v>#REF!</v>
      </c>
      <c r="V7" s="40" t="e">
        <f>ROUNDUP((#REF!*1000)/(((americas_Inside_sales_quota*americas_sales_quota_attainment)/4)*Inter_quarter_revenue_distribution_month_3),0)</f>
        <v>#REF!</v>
      </c>
      <c r="W7" s="40" t="e">
        <f>ROUNDUP((#REF!*1000)/(((americas_Inside_sales_quota*americas_sales_quota_attainment)/4)*Inter_quarter_revenue_distribution_month_1),0)</f>
        <v>#REF!</v>
      </c>
      <c r="X7" s="40" t="e">
        <f>ROUNDUP((#REF!*1000)/(((americas_Inside_sales_quota*americas_sales_quota_attainment)/4)*Inter_quarter_revenue_distribution_month_2),0)</f>
        <v>#REF!</v>
      </c>
      <c r="Y7" s="40" t="e">
        <f>ROUNDUP((#REF!*1000)/(((americas_Inside_sales_quota*americas_sales_quota_attainment)/4)*Inter_quarter_revenue_distribution_month_3),0)</f>
        <v>#REF!</v>
      </c>
      <c r="Z7" s="40" t="e">
        <f>ROUNDUP((#REF!*1000)/(((americas_Inside_sales_quota*americas_sales_quota_attainment)/4)*Inter_quarter_revenue_distribution_month_1),0)</f>
        <v>#REF!</v>
      </c>
      <c r="AA7" s="40" t="e">
        <f>ROUNDUP((#REF!*1000)/(((americas_Inside_sales_quota*americas_sales_quota_attainment)/4)*Inter_quarter_revenue_distribution_month_2),0)</f>
        <v>#REF!</v>
      </c>
      <c r="AB7" s="40" t="e">
        <f>ROUNDUP((#REF!*1000)/(((americas_Inside_sales_quota*americas_sales_quota_attainment)/4)*Inter_quarter_revenue_distribution_month_3),0)</f>
        <v>#REF!</v>
      </c>
      <c r="AC7" s="40" t="e">
        <f>ROUNDUP((#REF!*1000)/(((americas_Inside_sales_quota*americas_sales_quota_attainment)/4)*Inter_quarter_revenue_distribution_month_1),0)</f>
        <v>#REF!</v>
      </c>
      <c r="AD7" s="40" t="e">
        <f>ROUNDUP((#REF!*1000)/(((americas_Inside_sales_quota*americas_sales_quota_attainment)/4)*Inter_quarter_revenue_distribution_month_2),0)</f>
        <v>#REF!</v>
      </c>
      <c r="AE7" s="40" t="e">
        <f>ROUNDUP((#REF!*1000)/(((americas_Inside_sales_quota*americas_sales_quota_attainment)/4)*Inter_quarter_revenue_distribution_month_3),0)</f>
        <v>#REF!</v>
      </c>
      <c r="AF7" s="40" t="e">
        <f>ROUNDUP((#REF!*1000)/(((americas_Inside_sales_quota*americas_sales_quota_attainment)/4)*Inter_quarter_revenue_distribution_month_1),0)</f>
        <v>#REF!</v>
      </c>
      <c r="AG7" s="40" t="e">
        <f>ROUNDUP((#REF!*1000)/(((americas_Inside_sales_quota*americas_sales_quota_attainment)/4)*Inter_quarter_revenue_distribution_month_2),0)</f>
        <v>#REF!</v>
      </c>
      <c r="AH7" s="40" t="e">
        <f>ROUNDUP((#REF!*1000)/(((americas_Inside_sales_quota*americas_sales_quota_attainment)/4)*Inter_quarter_revenue_distribution_month_3),0)</f>
        <v>#REF!</v>
      </c>
      <c r="AI7" s="40" t="e">
        <f>ROUNDUP((#REF!*1000)/(((americas_Inside_sales_quota*americas_sales_quota_attainment)/4)*Inter_quarter_revenue_distribution_month_1),0)</f>
        <v>#REF!</v>
      </c>
      <c r="AJ7" s="40" t="e">
        <f>ROUNDUP((#REF!*1000)/(((americas_Inside_sales_quota*americas_sales_quota_attainment)/4)*Inter_quarter_revenue_distribution_month_2),0)</f>
        <v>#REF!</v>
      </c>
      <c r="AK7" s="40" t="e">
        <f>ROUNDUP((#REF!*1000)/(((americas_Inside_sales_quota*americas_sales_quota_attainment)/4)*Inter_quarter_revenue_distribution_month_3),0)</f>
        <v>#REF!</v>
      </c>
    </row>
    <row r="8" spans="1:62" x14ac:dyDescent="0.3">
      <c r="A8" s="6" t="s">
        <v>54</v>
      </c>
      <c r="B8" s="40" t="e">
        <f>ROUNDUP((#REF!*1000)/(((americas_Sales_Engineers_quota*americas_engineers_quota_attainment)/4)*Inter_quarter_revenue_distribution_month_1),0)</f>
        <v>#REF!</v>
      </c>
      <c r="C8" s="40" t="e">
        <f>ROUNDUP((#REF!*1000)/(((americas_Sales_Engineers_quota*americas_engineers_quota_attainment)/4)*Inter_quarter_revenue_distribution_month_2),0)</f>
        <v>#REF!</v>
      </c>
      <c r="D8" s="40" t="e">
        <f>ROUNDUP((#REF!*1000)/(((americas_Sales_Engineers_quota*americas_engineers_quota_attainment)/4)*Inter_quarter_revenue_distribution_month_3),0)</f>
        <v>#REF!</v>
      </c>
      <c r="E8" s="40" t="e">
        <f>ROUNDUP((#REF!*1000)/(((americas_Sales_Engineers_quota*americas_engineers_quota_attainment)/4)*Inter_quarter_revenue_distribution_month_1),0)</f>
        <v>#REF!</v>
      </c>
      <c r="F8" s="40" t="e">
        <f>ROUNDUP((#REF!*1000)/(((americas_Sales_Engineers_quota*americas_engineers_quota_attainment)/4)*Inter_quarter_revenue_distribution_month_2),0)</f>
        <v>#REF!</v>
      </c>
      <c r="G8" s="40" t="e">
        <f>ROUNDUP((#REF!*1000)/(((americas_Sales_Engineers_quota*americas_engineers_quota_attainment)/4)*Inter_quarter_revenue_distribution_month_3),0)</f>
        <v>#REF!</v>
      </c>
      <c r="H8" s="40" t="e">
        <f>ROUNDUP((#REF!*1000)/(((americas_Sales_Engineers_quota*americas_engineers_quota_attainment)/4)*Inter_quarter_revenue_distribution_month_1),0)</f>
        <v>#REF!</v>
      </c>
      <c r="I8" s="40" t="e">
        <f>ROUNDUP((#REF!*1000)/(((americas_Sales_Engineers_quota*americas_engineers_quota_attainment)/4)*Inter_quarter_revenue_distribution_month_2),0)</f>
        <v>#REF!</v>
      </c>
      <c r="J8" s="40" t="e">
        <f>ROUNDUP((#REF!*1000)/(((americas_Sales_Engineers_quota*americas_engineers_quota_attainment)/4)*Inter_quarter_revenue_distribution_month_3),0)</f>
        <v>#REF!</v>
      </c>
      <c r="K8" s="40" t="e">
        <f>ROUNDUP((#REF!*1000)/(((americas_Sales_Engineers_quota*americas_engineers_quota_attainment)/4)*Inter_quarter_revenue_distribution_month_1),0)</f>
        <v>#REF!</v>
      </c>
      <c r="L8" s="40" t="e">
        <f>ROUNDUP((#REF!*1000)/(((americas_Sales_Engineers_quota*americas_engineers_quota_attainment)/4)*Inter_quarter_revenue_distribution_month_2),0)</f>
        <v>#REF!</v>
      </c>
      <c r="M8" s="40" t="e">
        <f>ROUNDUP((#REF!*1000)/(((americas_Sales_Engineers_quota*americas_engineers_quota_attainment)/4)*Inter_quarter_revenue_distribution_month_3),0)</f>
        <v>#REF!</v>
      </c>
      <c r="N8" s="40" t="e">
        <f>ROUNDUP((#REF!*1000)/(((americas_Sales_Engineers_quota*americas_engineers_quota_attainment)/4)*Inter_quarter_revenue_distribution_month_1),0)</f>
        <v>#REF!</v>
      </c>
      <c r="O8" s="40" t="e">
        <f>ROUNDUP((#REF!*1000)/(((americas_Sales_Engineers_quota*americas_engineers_quota_attainment)/4)*Inter_quarter_revenue_distribution_month_2),0)</f>
        <v>#REF!</v>
      </c>
      <c r="P8" s="40" t="e">
        <f>ROUNDUP((#REF!*1000)/(((americas_Sales_Engineers_quota*americas_engineers_quota_attainment)/4)*Inter_quarter_revenue_distribution_month_3),0)</f>
        <v>#REF!</v>
      </c>
      <c r="Q8" s="40" t="e">
        <f>ROUNDUP((#REF!*1000)/(((americas_Sales_Engineers_quota*americas_engineers_quota_attainment)/4)*Inter_quarter_revenue_distribution_month_1),0)</f>
        <v>#REF!</v>
      </c>
      <c r="R8" s="40" t="e">
        <f>ROUNDUP((#REF!*1000)/(((americas_Sales_Engineers_quota*americas_engineers_quota_attainment)/4)*Inter_quarter_revenue_distribution_month_2),0)</f>
        <v>#REF!</v>
      </c>
      <c r="S8" s="40" t="e">
        <f>ROUNDUP((#REF!*1000)/(((americas_Sales_Engineers_quota*americas_engineers_quota_attainment)/4)*Inter_quarter_revenue_distribution_month_3),0)</f>
        <v>#REF!</v>
      </c>
      <c r="T8" s="40" t="e">
        <f>ROUNDUP((#REF!*1000)/(((americas_Sales_Engineers_quota*americas_engineers_quota_attainment)/4)*Inter_quarter_revenue_distribution_month_1),0)</f>
        <v>#REF!</v>
      </c>
      <c r="U8" s="40" t="e">
        <f>ROUNDUP((#REF!*1000)/(((americas_Sales_Engineers_quota*americas_engineers_quota_attainment)/4)*Inter_quarter_revenue_distribution_month_2),0)</f>
        <v>#REF!</v>
      </c>
      <c r="V8" s="40" t="e">
        <f>ROUNDUP((#REF!*1000)/(((americas_Sales_Engineers_quota*americas_engineers_quota_attainment)/4)*Inter_quarter_revenue_distribution_month_3),0)</f>
        <v>#REF!</v>
      </c>
      <c r="W8" s="40" t="e">
        <f>ROUNDUP((#REF!*1000)/(((americas_Sales_Engineers_quota*americas_engineers_quota_attainment)/4)*Inter_quarter_revenue_distribution_month_1),0)</f>
        <v>#REF!</v>
      </c>
      <c r="X8" s="40" t="e">
        <f>ROUNDUP((#REF!*1000)/(((americas_Sales_Engineers_quota*americas_engineers_quota_attainment)/4)*Inter_quarter_revenue_distribution_month_2),0)</f>
        <v>#REF!</v>
      </c>
      <c r="Y8" s="40" t="e">
        <f>ROUNDUP((#REF!*1000)/(((americas_Sales_Engineers_quota*americas_engineers_quota_attainment)/4)*Inter_quarter_revenue_distribution_month_3),0)</f>
        <v>#REF!</v>
      </c>
      <c r="Z8" s="40" t="e">
        <f>ROUNDUP((#REF!*1000)/(((americas_Sales_Engineers_quota*americas_engineers_quota_attainment)/4)*Inter_quarter_revenue_distribution_month_1),0)</f>
        <v>#REF!</v>
      </c>
      <c r="AA8" s="40" t="e">
        <f>ROUNDUP((#REF!*1000)/(((americas_Sales_Engineers_quota*americas_engineers_quota_attainment)/4)*Inter_quarter_revenue_distribution_month_2),0)</f>
        <v>#REF!</v>
      </c>
      <c r="AB8" s="40" t="e">
        <f>ROUNDUP((#REF!*1000)/(((americas_Sales_Engineers_quota*americas_engineers_quota_attainment)/4)*Inter_quarter_revenue_distribution_month_3),0)</f>
        <v>#REF!</v>
      </c>
      <c r="AC8" s="40" t="e">
        <f>ROUNDUP((#REF!*1000)/(((americas_Sales_Engineers_quota*americas_engineers_quota_attainment)/4)*Inter_quarter_revenue_distribution_month_1),0)</f>
        <v>#REF!</v>
      </c>
      <c r="AD8" s="40" t="e">
        <f>ROUNDUP((#REF!*1000)/(((americas_Sales_Engineers_quota*americas_engineers_quota_attainment)/4)*Inter_quarter_revenue_distribution_month_2),0)</f>
        <v>#REF!</v>
      </c>
      <c r="AE8" s="40" t="e">
        <f>ROUNDUP((#REF!*1000)/(((americas_Sales_Engineers_quota*americas_engineers_quota_attainment)/4)*Inter_quarter_revenue_distribution_month_3),0)</f>
        <v>#REF!</v>
      </c>
      <c r="AF8" s="40" t="e">
        <f>ROUNDUP((#REF!*1000)/(((americas_Sales_Engineers_quota*americas_engineers_quota_attainment)/4)*Inter_quarter_revenue_distribution_month_1),0)</f>
        <v>#REF!</v>
      </c>
      <c r="AG8" s="40" t="e">
        <f>ROUNDUP((#REF!*1000)/(((americas_Sales_Engineers_quota*americas_engineers_quota_attainment)/4)*Inter_quarter_revenue_distribution_month_2),0)</f>
        <v>#REF!</v>
      </c>
      <c r="AH8" s="40" t="e">
        <f>ROUNDUP((#REF!*1000)/(((americas_Sales_Engineers_quota*americas_engineers_quota_attainment)/4)*Inter_quarter_revenue_distribution_month_3),0)</f>
        <v>#REF!</v>
      </c>
      <c r="AI8" s="40" t="e">
        <f>ROUNDUP((#REF!*1000)/(((americas_Sales_Engineers_quota*americas_engineers_quota_attainment)/4)*Inter_quarter_revenue_distribution_month_1),0)</f>
        <v>#REF!</v>
      </c>
      <c r="AJ8" s="40" t="e">
        <f>ROUNDUP((#REF!*1000)/(((americas_Sales_Engineers_quota*americas_engineers_quota_attainment)/4)*Inter_quarter_revenue_distribution_month_2),0)</f>
        <v>#REF!</v>
      </c>
      <c r="AK8" s="40" t="e">
        <f>ROUNDUP((#REF!*1000)/(((americas_Sales_Engineers_quota*americas_engineers_quota_attainment)/4)*Inter_quarter_revenue_distribution_month_3),0)</f>
        <v>#REF!</v>
      </c>
    </row>
    <row r="10" spans="1:62" x14ac:dyDescent="0.3">
      <c r="A10" t="s">
        <v>50</v>
      </c>
    </row>
    <row r="11" spans="1:62" x14ac:dyDescent="0.3">
      <c r="A11" s="6" t="s">
        <v>52</v>
      </c>
      <c r="B11" s="40" t="e">
        <f>ROUNDUP((#REF!*1000)/((emea_channel_sales_exec_quota/4)*Inter_quarter_revenue_distribution_month_1),0)</f>
        <v>#REF!</v>
      </c>
      <c r="C11" s="40" t="e">
        <f>ROUNDUP((#REF!*1000)/((emea_channel_sales_exec_quota/4)*Inter_quarter_revenue_distribution_month_2),0)</f>
        <v>#REF!</v>
      </c>
      <c r="D11" s="40" t="e">
        <f>ROUNDUP((#REF!*1000)/((emea_channel_sales_exec_quota/4)*Inter_quarter_revenue_distribution_month_3),0)</f>
        <v>#REF!</v>
      </c>
      <c r="E11" s="40" t="e">
        <f>ROUNDUP((#REF!*1000)/((emea_channel_sales_exec_quota/4)*Inter_quarter_revenue_distribution_month_1),0)</f>
        <v>#REF!</v>
      </c>
      <c r="F11" s="40" t="e">
        <f>ROUNDUP((#REF!*1000)/(((emea_channel_sales_exec_quota*emea_sales_exec_quota_attainment)/4)*Inter_quarter_revenue_distribution_month_2),0)</f>
        <v>#REF!</v>
      </c>
      <c r="G11" s="40" t="e">
        <f>ROUNDUP((#REF!*1000)/(((emea_channel_sales_exec_quota*emea_sales_exec_quota_attainment)/4)*Inter_quarter_revenue_distribution_month_3),0)</f>
        <v>#REF!</v>
      </c>
      <c r="H11" s="40" t="e">
        <f>ROUNDUP((#REF!*1000)/(((emea_channel_sales_exec_quota*emea_sales_exec_quota_attainment)/4)*Inter_quarter_revenue_distribution_month_1),0)</f>
        <v>#REF!</v>
      </c>
      <c r="I11" s="40" t="e">
        <f>ROUNDUP((#REF!*1000)/(((emea_channel_sales_exec_quota*emea_sales_exec_quota_attainment)/4)*Inter_quarter_revenue_distribution_month_2),0)</f>
        <v>#REF!</v>
      </c>
      <c r="J11" s="40" t="e">
        <f>ROUNDUP((#REF!*1000)/(((emea_channel_sales_exec_quota*emea_sales_exec_quota_attainment)/4)*Inter_quarter_revenue_distribution_month_3),0)</f>
        <v>#REF!</v>
      </c>
      <c r="K11" s="40" t="e">
        <f>ROUNDUP((#REF!*1000)/(((emea_channel_sales_exec_quota*emea_sales_exec_quota_attainment)/4)*Inter_quarter_revenue_distribution_month_1),0)</f>
        <v>#REF!</v>
      </c>
      <c r="L11" s="40" t="e">
        <f>ROUNDUP((#REF!*1000)/(((emea_channel_sales_exec_quota*emea_sales_exec_quota_attainment)/4)*Inter_quarter_revenue_distribution_month_2),0)</f>
        <v>#REF!</v>
      </c>
      <c r="M11" s="40" t="e">
        <f>ROUNDUP((#REF!*1000)/(((emea_channel_sales_exec_quota*emea_sales_exec_quota_attainment)/4)*Inter_quarter_revenue_distribution_month_3),0)</f>
        <v>#REF!</v>
      </c>
      <c r="N11" s="40" t="e">
        <f>ROUNDUP((#REF!*1000)/(((emea_channel_sales_exec_quota*emea_sales_exec_quota_attainment)/4)*Inter_quarter_revenue_distribution_month_1),0)</f>
        <v>#REF!</v>
      </c>
      <c r="O11" s="40" t="e">
        <f>ROUNDUP((#REF!*1000)/(((emea_channel_sales_exec_quota*emea_sales_exec_quota_attainment)/4)*Inter_quarter_revenue_distribution_month_2),0)</f>
        <v>#REF!</v>
      </c>
      <c r="P11" s="40" t="e">
        <f>ROUNDUP((#REF!*1000)/(((emea_channel_sales_exec_quota*emea_sales_exec_quota_attainment)/4)*Inter_quarter_revenue_distribution_month_3),0)</f>
        <v>#REF!</v>
      </c>
      <c r="Q11" s="40" t="e">
        <f>ROUNDUP((#REF!*1000)/(((emea_channel_sales_exec_quota*emea_sales_exec_quota_attainment)/4)*Inter_quarter_revenue_distribution_month_1),0)</f>
        <v>#REF!</v>
      </c>
      <c r="R11" s="40" t="e">
        <f>ROUNDUP((#REF!*1000)/(((emea_channel_sales_exec_quota*emea_sales_exec_quota_attainment)/4)*Inter_quarter_revenue_distribution_month_2),0)</f>
        <v>#REF!</v>
      </c>
      <c r="S11" s="40" t="e">
        <f>ROUNDUP((#REF!*1000)/(((emea_channel_sales_exec_quota*emea_sales_exec_quota_attainment)/4)*Inter_quarter_revenue_distribution_month_3),0)</f>
        <v>#REF!</v>
      </c>
      <c r="T11" s="40" t="e">
        <f>ROUNDUP((#REF!*1000)/(((emea_channel_sales_exec_quota*emea_sales_exec_quota_attainment)/4)*Inter_quarter_revenue_distribution_month_1),0)</f>
        <v>#REF!</v>
      </c>
      <c r="U11" s="40" t="e">
        <f>ROUNDUP((#REF!*1000)/(((emea_channel_sales_exec_quota*emea_sales_exec_quota_attainment)/4)*Inter_quarter_revenue_distribution_month_2),0)</f>
        <v>#REF!</v>
      </c>
      <c r="V11" s="40" t="e">
        <f>ROUNDUP((#REF!*1000)/(((emea_channel_sales_exec_quota*emea_sales_exec_quota_attainment)/4)*Inter_quarter_revenue_distribution_month_3),0)</f>
        <v>#REF!</v>
      </c>
      <c r="W11" s="40" t="e">
        <f>ROUNDUP((#REF!*1000)/(((emea_channel_sales_exec_quota*emea_sales_exec_quota_attainment)/4)*Inter_quarter_revenue_distribution_month_1),0)</f>
        <v>#REF!</v>
      </c>
      <c r="X11" s="40" t="e">
        <f>ROUNDUP((#REF!*1000)/(((emea_channel_sales_exec_quota*emea_sales_exec_quota_attainment)/4)*Inter_quarter_revenue_distribution_month_2),0)</f>
        <v>#REF!</v>
      </c>
      <c r="Y11" s="40" t="e">
        <f>ROUNDUP((#REF!*1000)/(((emea_channel_sales_exec_quota*emea_sales_exec_quota_attainment)/4)*Inter_quarter_revenue_distribution_month_3),0)</f>
        <v>#REF!</v>
      </c>
      <c r="Z11" s="40" t="e">
        <f>ROUNDUP((#REF!*1000)/(((emea_channel_sales_exec_quota*emea_sales_exec_quota_attainment)/4)*Inter_quarter_revenue_distribution_month_1),0)</f>
        <v>#REF!</v>
      </c>
      <c r="AA11" s="40" t="e">
        <f>ROUNDUP((#REF!*1000)/(((emea_channel_sales_exec_quota*emea_sales_exec_quota_attainment)/4)*Inter_quarter_revenue_distribution_month_2),0)</f>
        <v>#REF!</v>
      </c>
      <c r="AB11" s="40" t="e">
        <f>ROUNDUP((#REF!*1000)/(((emea_channel_sales_exec_quota*emea_sales_exec_quota_attainment)/4)*Inter_quarter_revenue_distribution_month_3),0)</f>
        <v>#REF!</v>
      </c>
      <c r="AC11" s="40" t="e">
        <f>ROUNDUP((#REF!*1000)/(((emea_channel_sales_exec_quota*emea_sales_exec_quota_attainment)/4)*Inter_quarter_revenue_distribution_month_1),0)</f>
        <v>#REF!</v>
      </c>
      <c r="AD11" s="40" t="e">
        <f>ROUNDUP((#REF!*1000)/(((emea_channel_sales_exec_quota*emea_sales_exec_quota_attainment)/4)*Inter_quarter_revenue_distribution_month_2),0)</f>
        <v>#REF!</v>
      </c>
      <c r="AE11" s="40" t="e">
        <f>ROUNDUP((#REF!*1000)/(((emea_channel_sales_exec_quota*emea_sales_exec_quota_attainment)/4)*Inter_quarter_revenue_distribution_month_3),0)</f>
        <v>#REF!</v>
      </c>
      <c r="AF11" s="40" t="e">
        <f>ROUNDUP((#REF!*1000)/(((emea_channel_sales_exec_quota*emea_sales_exec_quota_attainment)/4)*Inter_quarter_revenue_distribution_month_1),0)</f>
        <v>#REF!</v>
      </c>
      <c r="AG11" s="40" t="e">
        <f>ROUNDUP((#REF!*1000)/(((emea_channel_sales_exec_quota*emea_sales_exec_quota_attainment)/4)*Inter_quarter_revenue_distribution_month_2),0)</f>
        <v>#REF!</v>
      </c>
      <c r="AH11" s="40" t="e">
        <f>ROUNDUP((#REF!*1000)/(((emea_channel_sales_exec_quota*emea_sales_exec_quota_attainment)/4)*Inter_quarter_revenue_distribution_month_3),0)</f>
        <v>#REF!</v>
      </c>
      <c r="AI11" s="40" t="e">
        <f>ROUNDUP((#REF!*1000)/(((emea_channel_sales_exec_quota*emea_sales_exec_quota_attainment)/4)*Inter_quarter_revenue_distribution_month_1),0)</f>
        <v>#REF!</v>
      </c>
      <c r="AJ11" s="40" t="e">
        <f>ROUNDUP((#REF!*1000)/(((emea_channel_sales_exec_quota*emea_sales_exec_quota_attainment)/4)*Inter_quarter_revenue_distribution_month_2),0)</f>
        <v>#REF!</v>
      </c>
      <c r="AK11" s="40" t="e">
        <f>ROUNDUP((#REF!*1000)/(((emea_channel_sales_exec_quota*emea_sales_exec_quota_attainment)/4)*Inter_quarter_revenue_distribution_month_3),0)</f>
        <v>#REF!</v>
      </c>
    </row>
    <row r="12" spans="1:62" x14ac:dyDescent="0.3">
      <c r="A12" s="6" t="s">
        <v>53</v>
      </c>
      <c r="B12" s="40" t="e">
        <f>ROUNDUP((#REF!*1000)/(((emea_Inside_sales_quota*emea_sales_quota_attainment)/4)*Inter_quarter_revenue_distribution_month_1),0)</f>
        <v>#REF!</v>
      </c>
      <c r="C12" s="40" t="e">
        <f>ROUNDUP((#REF!*1000)/(((emea_Inside_sales_quota*emea_sales_quota_attainment)/4)*Inter_quarter_revenue_distribution_month_2),0)</f>
        <v>#REF!</v>
      </c>
      <c r="D12" s="40" t="e">
        <f>ROUNDUP((#REF!*1000)/(((emea_Inside_sales_quota*emea_sales_quota_attainment)/4)*Inter_quarter_revenue_distribution_month_3),0)</f>
        <v>#REF!</v>
      </c>
      <c r="E12" s="40" t="e">
        <f>ROUNDUP((#REF!*1000)/(((emea_Inside_sales_quota*emea_sales_quota_attainment)/4)*Inter_quarter_revenue_distribution_month_1),0)</f>
        <v>#REF!</v>
      </c>
      <c r="F12" s="40" t="e">
        <f>ROUNDUP((#REF!*1000)/(((emea_Inside_sales_quota*emea_sales_quota_attainment)/4)*Inter_quarter_revenue_distribution_month_2),0)</f>
        <v>#REF!</v>
      </c>
      <c r="G12" s="40" t="e">
        <f>ROUNDUP((#REF!*1000)/(((emea_Inside_sales_quota*emea_sales_quota_attainment)/4)*Inter_quarter_revenue_distribution_month_3),0)</f>
        <v>#REF!</v>
      </c>
      <c r="H12" s="40" t="e">
        <f>ROUNDUP((#REF!*1000)/(((emea_Inside_sales_quota*emea_sales_quota_attainment)/4)*Inter_quarter_revenue_distribution_month_1),0)</f>
        <v>#REF!</v>
      </c>
      <c r="I12" s="40" t="e">
        <f>ROUNDUP((#REF!*1000)/(((emea_Inside_sales_quota*emea_sales_quota_attainment)/4)*Inter_quarter_revenue_distribution_month_2),0)</f>
        <v>#REF!</v>
      </c>
      <c r="J12" s="40" t="e">
        <f>ROUNDUP((#REF!*1000)/(((emea_Inside_sales_quota*emea_sales_quota_attainment)/4)*Inter_quarter_revenue_distribution_month_3),0)</f>
        <v>#REF!</v>
      </c>
      <c r="K12" s="40" t="e">
        <f>ROUNDUP((#REF!*1000)/(((emea_Inside_sales_quota*emea_sales_quota_attainment)/4)*Inter_quarter_revenue_distribution_month_1),0)</f>
        <v>#REF!</v>
      </c>
      <c r="L12" s="40" t="e">
        <f>ROUNDUP((#REF!*1000)/(((emea_Inside_sales_quota*emea_sales_quota_attainment)/4)*Inter_quarter_revenue_distribution_month_2),0)</f>
        <v>#REF!</v>
      </c>
      <c r="M12" s="40" t="e">
        <f>ROUNDUP((#REF!*1000)/(((emea_Inside_sales_quota*emea_sales_quota_attainment)/4)*Inter_quarter_revenue_distribution_month_3),0)</f>
        <v>#REF!</v>
      </c>
      <c r="N12" s="40" t="e">
        <f>ROUNDUP((#REF!*1000)/(((emea_Inside_sales_quota*emea_sales_quota_attainment)/4)*Inter_quarter_revenue_distribution_month_1),0)</f>
        <v>#REF!</v>
      </c>
      <c r="O12" s="40" t="e">
        <f>ROUNDUP((#REF!*1000)/(((emea_Inside_sales_quota*emea_sales_quota_attainment)/4)*Inter_quarter_revenue_distribution_month_2),0)</f>
        <v>#REF!</v>
      </c>
      <c r="P12" s="40" t="e">
        <f>ROUNDUP((#REF!*1000)/(((emea_Inside_sales_quota*emea_sales_quota_attainment)/4)*Inter_quarter_revenue_distribution_month_3),0)</f>
        <v>#REF!</v>
      </c>
      <c r="Q12" s="40" t="e">
        <f>ROUNDUP((#REF!*1000)/(((emea_Inside_sales_quota*emea_sales_quota_attainment)/4)*Inter_quarter_revenue_distribution_month_1),0)</f>
        <v>#REF!</v>
      </c>
      <c r="R12" s="40" t="e">
        <f>ROUNDUP((#REF!*1000)/(((emea_Inside_sales_quota*emea_sales_quota_attainment)/4)*Inter_quarter_revenue_distribution_month_2),0)</f>
        <v>#REF!</v>
      </c>
      <c r="S12" s="40" t="e">
        <f>ROUNDUP((#REF!*1000)/(((emea_Inside_sales_quota*emea_sales_quota_attainment)/4)*Inter_quarter_revenue_distribution_month_3),0)</f>
        <v>#REF!</v>
      </c>
      <c r="T12" s="40" t="e">
        <f>ROUNDUP((#REF!*1000)/(((emea_Inside_sales_quota*emea_sales_quota_attainment)/4)*Inter_quarter_revenue_distribution_month_1),0)</f>
        <v>#REF!</v>
      </c>
      <c r="U12" s="40" t="e">
        <f>ROUNDUP((#REF!*1000)/(((emea_Inside_sales_quota*emea_sales_quota_attainment)/4)*Inter_quarter_revenue_distribution_month_2),0)</f>
        <v>#REF!</v>
      </c>
      <c r="V12" s="40" t="e">
        <f>ROUNDUP((#REF!*1000)/(((emea_Inside_sales_quota*emea_sales_quota_attainment)/4)*Inter_quarter_revenue_distribution_month_3),0)</f>
        <v>#REF!</v>
      </c>
      <c r="W12" s="40" t="e">
        <f>ROUNDUP((#REF!*1000)/(((emea_Inside_sales_quota*emea_sales_quota_attainment)/4)*Inter_quarter_revenue_distribution_month_1),0)</f>
        <v>#REF!</v>
      </c>
      <c r="X12" s="40" t="e">
        <f>ROUNDUP((#REF!*1000)/(((emea_Inside_sales_quota*emea_sales_quota_attainment)/4)*Inter_quarter_revenue_distribution_month_2),0)</f>
        <v>#REF!</v>
      </c>
      <c r="Y12" s="40" t="e">
        <f>ROUNDUP((#REF!*1000)/(((emea_Inside_sales_quota*emea_sales_quota_attainment)/4)*Inter_quarter_revenue_distribution_month_3),0)</f>
        <v>#REF!</v>
      </c>
      <c r="Z12" s="40" t="e">
        <f>ROUNDUP((#REF!*1000)/(((emea_Inside_sales_quota*emea_sales_quota_attainment)/4)*Inter_quarter_revenue_distribution_month_1),0)</f>
        <v>#REF!</v>
      </c>
      <c r="AA12" s="40" t="e">
        <f>ROUNDUP((#REF!*1000)/(((emea_Inside_sales_quota*emea_sales_quota_attainment)/4)*Inter_quarter_revenue_distribution_month_2),0)</f>
        <v>#REF!</v>
      </c>
      <c r="AB12" s="40" t="e">
        <f>ROUNDUP((#REF!*1000)/(((emea_Inside_sales_quota*emea_sales_quota_attainment)/4)*Inter_quarter_revenue_distribution_month_3),0)</f>
        <v>#REF!</v>
      </c>
      <c r="AC12" s="40" t="e">
        <f>ROUNDUP((#REF!*1000)/(((emea_Inside_sales_quota*emea_sales_quota_attainment)/4)*Inter_quarter_revenue_distribution_month_1),0)</f>
        <v>#REF!</v>
      </c>
      <c r="AD12" s="40" t="e">
        <f>ROUNDUP((#REF!*1000)/(((emea_Inside_sales_quota*emea_sales_quota_attainment)/4)*Inter_quarter_revenue_distribution_month_2),0)</f>
        <v>#REF!</v>
      </c>
      <c r="AE12" s="40" t="e">
        <f>ROUNDUP((#REF!*1000)/(((emea_Inside_sales_quota*emea_sales_quota_attainment)/4)*Inter_quarter_revenue_distribution_month_3),0)</f>
        <v>#REF!</v>
      </c>
      <c r="AF12" s="40" t="e">
        <f>ROUNDUP((#REF!*1000)/(((emea_Inside_sales_quota*emea_sales_quota_attainment)/4)*Inter_quarter_revenue_distribution_month_1),0)</f>
        <v>#REF!</v>
      </c>
      <c r="AG12" s="40" t="e">
        <f>ROUNDUP((#REF!*1000)/(((emea_Inside_sales_quota*emea_sales_quota_attainment)/4)*Inter_quarter_revenue_distribution_month_2),0)</f>
        <v>#REF!</v>
      </c>
      <c r="AH12" s="40" t="e">
        <f>ROUNDUP((#REF!*1000)/(((emea_Inside_sales_quota*emea_sales_quota_attainment)/4)*Inter_quarter_revenue_distribution_month_3),0)</f>
        <v>#REF!</v>
      </c>
      <c r="AI12" s="40" t="e">
        <f>ROUNDUP((#REF!*1000)/(((emea_Inside_sales_quota*emea_sales_quota_attainment)/4)*Inter_quarter_revenue_distribution_month_1),0)</f>
        <v>#REF!</v>
      </c>
      <c r="AJ12" s="40" t="e">
        <f>ROUNDUP((#REF!*1000)/(((emea_Inside_sales_quota*emea_sales_quota_attainment)/4)*Inter_quarter_revenue_distribution_month_2),0)</f>
        <v>#REF!</v>
      </c>
      <c r="AK12" s="40" t="e">
        <f>ROUNDUP((#REF!*1000)/(((emea_Inside_sales_quota*emea_sales_quota_attainment)/4)*Inter_quarter_revenue_distribution_month_3),0)</f>
        <v>#REF!</v>
      </c>
    </row>
    <row r="13" spans="1:62" x14ac:dyDescent="0.3">
      <c r="A13" s="6" t="s">
        <v>54</v>
      </c>
      <c r="B13" s="40" t="e">
        <f>ROUNDUP((#REF!*1000)/(((emea_Sales_Engineers_quota*emea_engineers_quota_attainment)/4)*Inter_quarter_revenue_distribution_month_1),0)</f>
        <v>#REF!</v>
      </c>
      <c r="C13" s="40" t="e">
        <f>ROUNDUP((#REF!*1000)/(((emea_Sales_Engineers_quota*emea_engineers_quota_attainment)/4)*Inter_quarter_revenue_distribution_month_2),0)</f>
        <v>#REF!</v>
      </c>
      <c r="D13" s="40" t="e">
        <f>ROUNDUP((#REF!*1000)/(((emea_Sales_Engineers_quota*emea_engineers_quota_attainment)/4)*Inter_quarter_revenue_distribution_month_3),0)</f>
        <v>#REF!</v>
      </c>
      <c r="E13" s="40" t="e">
        <f>ROUNDUP((#REF!*1000)/(((emea_Sales_Engineers_quota*emea_engineers_quota_attainment)/4)*Inter_quarter_revenue_distribution_month_1),0)</f>
        <v>#REF!</v>
      </c>
      <c r="F13" s="40" t="e">
        <f>ROUNDUP((#REF!*1000)/(((emea_Sales_Engineers_quota*emea_engineers_quota_attainment)/4)*Inter_quarter_revenue_distribution_month_2),0)</f>
        <v>#REF!</v>
      </c>
      <c r="G13" s="40" t="e">
        <f>ROUNDUP((#REF!*1000)/(((emea_Sales_Engineers_quota*emea_engineers_quota_attainment)/4)*Inter_quarter_revenue_distribution_month_3),0)</f>
        <v>#REF!</v>
      </c>
      <c r="H13" s="40" t="e">
        <f>ROUNDUP((#REF!*1000)/(((emea_Sales_Engineers_quota*emea_engineers_quota_attainment)/4)*Inter_quarter_revenue_distribution_month_1),0)</f>
        <v>#REF!</v>
      </c>
      <c r="I13" s="40" t="e">
        <f>ROUNDUP((#REF!*1000)/(((emea_Sales_Engineers_quota*emea_engineers_quota_attainment)/4)*Inter_quarter_revenue_distribution_month_2),0)</f>
        <v>#REF!</v>
      </c>
      <c r="J13" s="40" t="e">
        <f>ROUNDUP((#REF!*1000)/(((emea_Sales_Engineers_quota*emea_engineers_quota_attainment)/4)*Inter_quarter_revenue_distribution_month_3),0)</f>
        <v>#REF!</v>
      </c>
      <c r="K13" s="40" t="e">
        <f>ROUNDUP((#REF!*1000)/(((emea_Sales_Engineers_quota*emea_engineers_quota_attainment)/4)*Inter_quarter_revenue_distribution_month_1),0)</f>
        <v>#REF!</v>
      </c>
      <c r="L13" s="40" t="e">
        <f>ROUNDUP((#REF!*1000)/(((emea_Sales_Engineers_quota*emea_engineers_quota_attainment)/4)*Inter_quarter_revenue_distribution_month_2),0)</f>
        <v>#REF!</v>
      </c>
      <c r="M13" s="40" t="e">
        <f>ROUNDUP((#REF!*1000)/(((emea_Sales_Engineers_quota*emea_engineers_quota_attainment)/4)*Inter_quarter_revenue_distribution_month_3),0)</f>
        <v>#REF!</v>
      </c>
      <c r="N13" s="40" t="e">
        <f>ROUNDUP((#REF!*1000)/(((emea_Sales_Engineers_quota*emea_engineers_quota_attainment)/4)*Inter_quarter_revenue_distribution_month_1),0)</f>
        <v>#REF!</v>
      </c>
      <c r="O13" s="40" t="e">
        <f>ROUNDUP((#REF!*1000)/(((emea_Sales_Engineers_quota*emea_engineers_quota_attainment)/4)*Inter_quarter_revenue_distribution_month_2),0)</f>
        <v>#REF!</v>
      </c>
      <c r="P13" s="40" t="e">
        <f>ROUNDUP((#REF!*1000)/(((emea_Sales_Engineers_quota*emea_engineers_quota_attainment)/4)*Inter_quarter_revenue_distribution_month_3),0)</f>
        <v>#REF!</v>
      </c>
      <c r="Q13" s="40" t="e">
        <f>ROUNDUP((#REF!*1000)/(((emea_Sales_Engineers_quota*emea_engineers_quota_attainment)/4)*Inter_quarter_revenue_distribution_month_1),0)</f>
        <v>#REF!</v>
      </c>
      <c r="R13" s="40" t="e">
        <f>ROUNDUP((#REF!*1000)/(((emea_Sales_Engineers_quota*emea_engineers_quota_attainment)/4)*Inter_quarter_revenue_distribution_month_2),0)</f>
        <v>#REF!</v>
      </c>
      <c r="S13" s="40" t="e">
        <f>ROUNDUP((#REF!*1000)/(((emea_Sales_Engineers_quota*emea_engineers_quota_attainment)/4)*Inter_quarter_revenue_distribution_month_3),0)</f>
        <v>#REF!</v>
      </c>
      <c r="T13" s="40" t="e">
        <f>ROUNDUP((#REF!*1000)/(((emea_Sales_Engineers_quota*emea_engineers_quota_attainment)/4)*Inter_quarter_revenue_distribution_month_1),0)</f>
        <v>#REF!</v>
      </c>
      <c r="U13" s="40" t="e">
        <f>ROUNDUP((#REF!*1000)/(((emea_Sales_Engineers_quota*emea_engineers_quota_attainment)/4)*Inter_quarter_revenue_distribution_month_2),0)</f>
        <v>#REF!</v>
      </c>
      <c r="V13" s="40" t="e">
        <f>ROUNDUP((#REF!*1000)/(((emea_Sales_Engineers_quota*emea_engineers_quota_attainment)/4)*Inter_quarter_revenue_distribution_month_3),0)</f>
        <v>#REF!</v>
      </c>
      <c r="W13" s="40" t="e">
        <f>ROUNDUP((#REF!*1000)/(((emea_Sales_Engineers_quota*emea_engineers_quota_attainment)/4)*Inter_quarter_revenue_distribution_month_1),0)</f>
        <v>#REF!</v>
      </c>
      <c r="X13" s="40" t="e">
        <f>ROUNDUP((#REF!*1000)/(((emea_Sales_Engineers_quota*emea_engineers_quota_attainment)/4)*Inter_quarter_revenue_distribution_month_2),0)</f>
        <v>#REF!</v>
      </c>
      <c r="Y13" s="40" t="e">
        <f>ROUNDUP((#REF!*1000)/(((emea_Sales_Engineers_quota*emea_engineers_quota_attainment)/4)*Inter_quarter_revenue_distribution_month_3),0)</f>
        <v>#REF!</v>
      </c>
      <c r="Z13" s="40" t="e">
        <f>ROUNDUP((#REF!*1000)/(((emea_Sales_Engineers_quota*emea_engineers_quota_attainment)/4)*Inter_quarter_revenue_distribution_month_1),0)</f>
        <v>#REF!</v>
      </c>
      <c r="AA13" s="40" t="e">
        <f>ROUNDUP((#REF!*1000)/(((emea_Sales_Engineers_quota*emea_engineers_quota_attainment)/4)*Inter_quarter_revenue_distribution_month_2),0)</f>
        <v>#REF!</v>
      </c>
      <c r="AB13" s="40" t="e">
        <f>ROUNDUP((#REF!*1000)/(((emea_Sales_Engineers_quota*emea_engineers_quota_attainment)/4)*Inter_quarter_revenue_distribution_month_3),0)</f>
        <v>#REF!</v>
      </c>
      <c r="AC13" s="40" t="e">
        <f>ROUNDUP((#REF!*1000)/(((emea_Sales_Engineers_quota*emea_engineers_quota_attainment)/4)*Inter_quarter_revenue_distribution_month_1),0)</f>
        <v>#REF!</v>
      </c>
      <c r="AD13" s="40" t="e">
        <f>ROUNDUP((#REF!*1000)/(((emea_Sales_Engineers_quota*emea_engineers_quota_attainment)/4)*Inter_quarter_revenue_distribution_month_2),0)</f>
        <v>#REF!</v>
      </c>
      <c r="AE13" s="40" t="e">
        <f>ROUNDUP((#REF!*1000)/(((emea_Sales_Engineers_quota*emea_engineers_quota_attainment)/4)*Inter_quarter_revenue_distribution_month_3),0)</f>
        <v>#REF!</v>
      </c>
      <c r="AF13" s="40" t="e">
        <f>ROUNDUP((#REF!*1000)/(((emea_Sales_Engineers_quota*emea_engineers_quota_attainment)/4)*Inter_quarter_revenue_distribution_month_1),0)</f>
        <v>#REF!</v>
      </c>
      <c r="AG13" s="40" t="e">
        <f>ROUNDUP((#REF!*1000)/(((emea_Sales_Engineers_quota*emea_engineers_quota_attainment)/4)*Inter_quarter_revenue_distribution_month_2),0)</f>
        <v>#REF!</v>
      </c>
      <c r="AH13" s="40" t="e">
        <f>ROUNDUP((#REF!*1000)/(((emea_Sales_Engineers_quota*emea_engineers_quota_attainment)/4)*Inter_quarter_revenue_distribution_month_3),0)</f>
        <v>#REF!</v>
      </c>
      <c r="AI13" s="40" t="e">
        <f>ROUNDUP((#REF!*1000)/(((emea_Sales_Engineers_quota*emea_engineers_quota_attainment)/4)*Inter_quarter_revenue_distribution_month_1),0)</f>
        <v>#REF!</v>
      </c>
      <c r="AJ13" s="40" t="e">
        <f>ROUNDUP((#REF!*1000)/(((emea_Sales_Engineers_quota*emea_engineers_quota_attainment)/4)*Inter_quarter_revenue_distribution_month_2),0)</f>
        <v>#REF!</v>
      </c>
      <c r="AK13" s="40" t="e">
        <f>ROUNDUP((#REF!*1000)/(((emea_Sales_Engineers_quota*emea_engineers_quota_attainment)/4)*Inter_quarter_revenue_distribution_month_3),0)</f>
        <v>#REF!</v>
      </c>
    </row>
    <row r="15" spans="1:62" x14ac:dyDescent="0.3">
      <c r="A15" t="s">
        <v>51</v>
      </c>
    </row>
    <row r="16" spans="1:62" x14ac:dyDescent="0.3">
      <c r="A16" s="6" t="s">
        <v>52</v>
      </c>
      <c r="B16" s="40" t="e">
        <f>ROUNDUP((#REF!*1000)/(((apac_channel_sales_exec_quota*apac_sales_exec_quota_attainment)/4)*Inter_quarter_revenue_distribution_month_1),0)</f>
        <v>#REF!</v>
      </c>
      <c r="C16" s="40" t="e">
        <f>ROUNDUP((#REF!*1000)/(((apac_channel_sales_exec_quota*apac_sales_exec_quota_attainment)/4)*Inter_quarter_revenue_distribution_month_2),0)</f>
        <v>#REF!</v>
      </c>
      <c r="D16" s="40" t="e">
        <f>ROUNDUP((#REF!*1000)/(((apac_channel_sales_exec_quota*apac_sales_exec_quota_attainment)/4)*Inter_quarter_revenue_distribution_month_3),0)</f>
        <v>#REF!</v>
      </c>
      <c r="E16" s="40" t="e">
        <f>ROUNDUP((#REF!*1000)/(((apac_channel_sales_exec_quota*apac_sales_exec_quota_attainment)/4)*Inter_quarter_revenue_distribution_month_1),0)</f>
        <v>#REF!</v>
      </c>
      <c r="F16" s="40" t="e">
        <f>ROUNDUP((#REF!*1000)/(((apac_channel_sales_exec_quota*apac_sales_exec_quota_attainment)/4)*Inter_quarter_revenue_distribution_month_2),0)</f>
        <v>#REF!</v>
      </c>
      <c r="G16" s="40" t="e">
        <f>ROUNDUP((#REF!*1000)/(((apac_channel_sales_exec_quota*apac_sales_exec_quota_attainment)/4)*Inter_quarter_revenue_distribution_month_3),0)</f>
        <v>#REF!</v>
      </c>
      <c r="H16" s="40" t="e">
        <f>ROUNDUP((#REF!*1000)/(((apac_channel_sales_exec_quota*apac_sales_exec_quota_attainment)/4)*Inter_quarter_revenue_distribution_month_1),0)</f>
        <v>#REF!</v>
      </c>
      <c r="I16" s="40" t="e">
        <f>ROUNDUP((#REF!*1000)/(((apac_channel_sales_exec_quota*apac_sales_exec_quota_attainment)/4)*Inter_quarter_revenue_distribution_month_2),0)</f>
        <v>#REF!</v>
      </c>
      <c r="J16" s="40" t="e">
        <f>ROUNDUP((#REF!*1000)/(((apac_channel_sales_exec_quota*apac_sales_exec_quota_attainment)/4)*Inter_quarter_revenue_distribution_month_3),0)</f>
        <v>#REF!</v>
      </c>
      <c r="K16" s="40" t="e">
        <f>ROUNDUP((#REF!*1000)/(((apac_channel_sales_exec_quota*apac_sales_exec_quota_attainment)/4)*Inter_quarter_revenue_distribution_month_1),0)</f>
        <v>#REF!</v>
      </c>
      <c r="L16" s="40" t="e">
        <f>ROUNDUP((#REF!*1000)/(((apac_channel_sales_exec_quota*apac_sales_exec_quota_attainment)/4)*Inter_quarter_revenue_distribution_month_2),0)</f>
        <v>#REF!</v>
      </c>
      <c r="M16" s="40" t="e">
        <f>ROUNDUP((#REF!*1000)/(((apac_channel_sales_exec_quota*apac_sales_exec_quota_attainment)/4)*Inter_quarter_revenue_distribution_month_3),0)</f>
        <v>#REF!</v>
      </c>
      <c r="N16" s="40" t="e">
        <f>ROUNDUP((#REF!*1000)/(((apac_channel_sales_exec_quota*apac_sales_exec_quota_attainment)/4)*Inter_quarter_revenue_distribution_month_1),0)</f>
        <v>#REF!</v>
      </c>
      <c r="O16" s="40" t="e">
        <f>ROUNDUP((#REF!*1000)/(((apac_channel_sales_exec_quota*apac_sales_exec_quota_attainment)/4)*Inter_quarter_revenue_distribution_month_2),0)</f>
        <v>#REF!</v>
      </c>
      <c r="P16" s="40" t="e">
        <f>ROUNDUP((#REF!*1000)/(((apac_channel_sales_exec_quota*apac_sales_exec_quota_attainment)/4)*Inter_quarter_revenue_distribution_month_3),0)</f>
        <v>#REF!</v>
      </c>
      <c r="Q16" s="40" t="e">
        <f>ROUNDUP((#REF!*1000)/(((apac_channel_sales_exec_quota*apac_sales_exec_quota_attainment)/4)*Inter_quarter_revenue_distribution_month_1),0)</f>
        <v>#REF!</v>
      </c>
      <c r="R16" s="40" t="e">
        <f>ROUNDUP((#REF!*1000)/(((apac_channel_sales_exec_quota*apac_sales_exec_quota_attainment)/4)*Inter_quarter_revenue_distribution_month_2),0)</f>
        <v>#REF!</v>
      </c>
      <c r="S16" s="40" t="e">
        <f>ROUNDUP((#REF!*1000)/(((apac_channel_sales_exec_quota*apac_sales_exec_quota_attainment)/4)*Inter_quarter_revenue_distribution_month_3),0)</f>
        <v>#REF!</v>
      </c>
      <c r="T16" s="40" t="e">
        <f>ROUNDUP((#REF!*1000)/(((apac_channel_sales_exec_quota*apac_sales_exec_quota_attainment)/4)*Inter_quarter_revenue_distribution_month_1),0)</f>
        <v>#REF!</v>
      </c>
      <c r="U16" s="40" t="e">
        <f>ROUNDUP((#REF!*1000)/(((apac_channel_sales_exec_quota*apac_sales_exec_quota_attainment)/4)*Inter_quarter_revenue_distribution_month_2),0)</f>
        <v>#REF!</v>
      </c>
      <c r="V16" s="40" t="e">
        <f>ROUNDUP((#REF!*1000)/(((apac_channel_sales_exec_quota*apac_sales_exec_quota_attainment)/4)*Inter_quarter_revenue_distribution_month_3),0)</f>
        <v>#REF!</v>
      </c>
      <c r="W16" s="40" t="e">
        <f>ROUNDUP((#REF!*1000)/(((apac_channel_sales_exec_quota*apac_sales_exec_quota_attainment)/4)*Inter_quarter_revenue_distribution_month_1),0)</f>
        <v>#REF!</v>
      </c>
      <c r="X16" s="40" t="e">
        <f>ROUNDUP((#REF!*1000)/(((apac_channel_sales_exec_quota*apac_sales_exec_quota_attainment)/4)*Inter_quarter_revenue_distribution_month_2),0)</f>
        <v>#REF!</v>
      </c>
      <c r="Y16" s="40" t="e">
        <f>ROUNDUP((#REF!*1000)/(((apac_channel_sales_exec_quota*apac_sales_exec_quota_attainment)/4)*Inter_quarter_revenue_distribution_month_3),0)</f>
        <v>#REF!</v>
      </c>
      <c r="Z16" s="40" t="e">
        <f>ROUNDUP((#REF!*1000)/(((apac_channel_sales_exec_quota*apac_sales_exec_quota_attainment)/4)*Inter_quarter_revenue_distribution_month_1),0)</f>
        <v>#REF!</v>
      </c>
      <c r="AA16" s="40" t="e">
        <f>ROUNDUP((#REF!*1000)/(((apac_channel_sales_exec_quota*apac_sales_exec_quota_attainment)/4)*Inter_quarter_revenue_distribution_month_2),0)</f>
        <v>#REF!</v>
      </c>
      <c r="AB16" s="40" t="e">
        <f>ROUNDUP((#REF!*1000)/(((apac_channel_sales_exec_quota*apac_sales_exec_quota_attainment)/4)*Inter_quarter_revenue_distribution_month_3),0)</f>
        <v>#REF!</v>
      </c>
      <c r="AC16" s="40" t="e">
        <f>ROUNDUP((#REF!*1000)/(((apac_channel_sales_exec_quota*apac_sales_exec_quota_attainment)/4)*Inter_quarter_revenue_distribution_month_1),0)</f>
        <v>#REF!</v>
      </c>
      <c r="AD16" s="40" t="e">
        <f>ROUNDUP((#REF!*1000)/(((apac_channel_sales_exec_quota*apac_sales_exec_quota_attainment)/4)*Inter_quarter_revenue_distribution_month_2),0)</f>
        <v>#REF!</v>
      </c>
      <c r="AE16" s="40" t="e">
        <f>ROUNDUP((#REF!*1000)/(((apac_channel_sales_exec_quota*apac_sales_exec_quota_attainment)/4)*Inter_quarter_revenue_distribution_month_3),0)</f>
        <v>#REF!</v>
      </c>
      <c r="AF16" s="40" t="e">
        <f>ROUNDUP((#REF!*1000)/(((apac_channel_sales_exec_quota*apac_sales_exec_quota_attainment)/4)*Inter_quarter_revenue_distribution_month_1),0)</f>
        <v>#REF!</v>
      </c>
      <c r="AG16" s="40" t="e">
        <f>ROUNDUP((#REF!*1000)/(((apac_channel_sales_exec_quota*apac_sales_exec_quota_attainment)/4)*Inter_quarter_revenue_distribution_month_2),0)</f>
        <v>#REF!</v>
      </c>
      <c r="AH16" s="40" t="e">
        <f>ROUNDUP((#REF!*1000)/(((apac_channel_sales_exec_quota*apac_sales_exec_quota_attainment)/4)*Inter_quarter_revenue_distribution_month_3),0)</f>
        <v>#REF!</v>
      </c>
      <c r="AI16" s="40" t="e">
        <f>ROUNDUP((#REF!*1000)/(((apac_channel_sales_exec_quota*apac_sales_exec_quota_attainment)/4)*Inter_quarter_revenue_distribution_month_1),0)</f>
        <v>#REF!</v>
      </c>
      <c r="AJ16" s="40" t="e">
        <f>ROUNDUP((#REF!*1000)/(((apac_channel_sales_exec_quota*apac_sales_exec_quota_attainment)/4)*Inter_quarter_revenue_distribution_month_2),0)</f>
        <v>#REF!</v>
      </c>
      <c r="AK16" s="40" t="e">
        <f>ROUNDUP((#REF!*1000)/(((apac_channel_sales_exec_quota*apac_sales_exec_quota_attainment)/4)*Inter_quarter_revenue_distribution_month_3),0)</f>
        <v>#REF!</v>
      </c>
    </row>
    <row r="17" spans="1:62" x14ac:dyDescent="0.3">
      <c r="A17" s="6" t="s">
        <v>53</v>
      </c>
      <c r="B17" s="40" t="e">
        <f>ROUNDUP((#REF!*1000)/(((apac_Inside_sales_quota*apac_sales_quota_attainment)/4)*Inter_quarter_revenue_distribution_month_1),0)</f>
        <v>#REF!</v>
      </c>
      <c r="C17" s="40" t="e">
        <f>ROUNDUP((#REF!*1000)/(((apac_Inside_sales_quota*apac_sales_quota_attainment)/4)*Inter_quarter_revenue_distribution_month_2),0)</f>
        <v>#REF!</v>
      </c>
      <c r="D17" s="40" t="e">
        <f>ROUNDUP((#REF!*1000)/(((apac_Inside_sales_quota*apac_sales_quota_attainment)/4)*Inter_quarter_revenue_distribution_month_3),0)</f>
        <v>#REF!</v>
      </c>
      <c r="E17" s="40" t="e">
        <f>ROUNDUP((#REF!*1000)/(((apac_Inside_sales_quota*apac_sales_quota_attainment)/4)*Inter_quarter_revenue_distribution_month_1),0)</f>
        <v>#REF!</v>
      </c>
      <c r="F17" s="40" t="e">
        <f>ROUNDUP((#REF!*1000)/(((apac_Inside_sales_quota*apac_sales_quota_attainment)/4)*Inter_quarter_revenue_distribution_month_2),0)</f>
        <v>#REF!</v>
      </c>
      <c r="G17" s="40" t="e">
        <f>ROUNDUP((#REF!*1000)/(((apac_Inside_sales_quota*apac_sales_quota_attainment)/4)*Inter_quarter_revenue_distribution_month_3),0)</f>
        <v>#REF!</v>
      </c>
      <c r="H17" s="40" t="e">
        <f>ROUNDUP((#REF!*1000)/(((apac_Inside_sales_quota*apac_sales_quota_attainment)/4)*Inter_quarter_revenue_distribution_month_1),0)</f>
        <v>#REF!</v>
      </c>
      <c r="I17" s="40" t="e">
        <f>ROUNDUP((#REF!*1000)/(((apac_Inside_sales_quota*apac_sales_quota_attainment)/4)*Inter_quarter_revenue_distribution_month_2),0)</f>
        <v>#REF!</v>
      </c>
      <c r="J17" s="40" t="e">
        <f>ROUNDUP((#REF!*1000)/(((apac_Inside_sales_quota*apac_sales_quota_attainment)/4)*Inter_quarter_revenue_distribution_month_3),0)</f>
        <v>#REF!</v>
      </c>
      <c r="K17" s="40" t="e">
        <f>ROUNDUP((#REF!*1000)/(((apac_Inside_sales_quota*apac_sales_quota_attainment)/4)*Inter_quarter_revenue_distribution_month_1),0)</f>
        <v>#REF!</v>
      </c>
      <c r="L17" s="40" t="e">
        <f>ROUNDUP((#REF!*1000)/(((apac_Inside_sales_quota*apac_sales_quota_attainment)/4)*Inter_quarter_revenue_distribution_month_2),0)</f>
        <v>#REF!</v>
      </c>
      <c r="M17" s="40" t="e">
        <f>ROUNDUP((#REF!*1000)/(((apac_Inside_sales_quota*apac_sales_quota_attainment)/4)*Inter_quarter_revenue_distribution_month_3),0)</f>
        <v>#REF!</v>
      </c>
      <c r="N17" s="40" t="e">
        <f>ROUNDUP((#REF!*1000)/(((apac_Inside_sales_quota*apac_sales_quota_attainment)/4)*Inter_quarter_revenue_distribution_month_1),0)</f>
        <v>#REF!</v>
      </c>
      <c r="O17" s="40" t="e">
        <f>ROUNDUP((#REF!*1000)/(((apac_Inside_sales_quota*apac_sales_quota_attainment)/4)*Inter_quarter_revenue_distribution_month_2),0)</f>
        <v>#REF!</v>
      </c>
      <c r="P17" s="40" t="e">
        <f>ROUNDUP((#REF!*1000)/(((apac_Inside_sales_quota*apac_sales_quota_attainment)/4)*Inter_quarter_revenue_distribution_month_3),0)</f>
        <v>#REF!</v>
      </c>
      <c r="Q17" s="40" t="e">
        <f>ROUNDUP((#REF!*1000)/(((apac_Inside_sales_quota*apac_sales_quota_attainment)/4)*Inter_quarter_revenue_distribution_month_1),0)</f>
        <v>#REF!</v>
      </c>
      <c r="R17" s="40" t="e">
        <f>ROUNDUP((#REF!*1000)/(((apac_Inside_sales_quota*apac_sales_quota_attainment)/4)*Inter_quarter_revenue_distribution_month_2),0)</f>
        <v>#REF!</v>
      </c>
      <c r="S17" s="40" t="e">
        <f>ROUNDUP((#REF!*1000)/(((apac_Inside_sales_quota*apac_sales_quota_attainment)/4)*Inter_quarter_revenue_distribution_month_3),0)</f>
        <v>#REF!</v>
      </c>
      <c r="T17" s="40" t="e">
        <f>ROUNDUP((#REF!*1000)/(((apac_Inside_sales_quota*apac_sales_quota_attainment)/4)*Inter_quarter_revenue_distribution_month_1),0)</f>
        <v>#REF!</v>
      </c>
      <c r="U17" s="40" t="e">
        <f>ROUNDUP((#REF!*1000)/(((apac_Inside_sales_quota*apac_sales_quota_attainment)/4)*Inter_quarter_revenue_distribution_month_2),0)</f>
        <v>#REF!</v>
      </c>
      <c r="V17" s="40" t="e">
        <f>ROUNDUP((#REF!*1000)/(((apac_Inside_sales_quota*apac_sales_quota_attainment)/4)*Inter_quarter_revenue_distribution_month_3),0)</f>
        <v>#REF!</v>
      </c>
      <c r="W17" s="40" t="e">
        <f>ROUNDUP((#REF!*1000)/(((apac_Inside_sales_quota*apac_sales_quota_attainment)/4)*Inter_quarter_revenue_distribution_month_1),0)</f>
        <v>#REF!</v>
      </c>
      <c r="X17" s="40" t="e">
        <f>ROUNDUP((#REF!*1000)/(((apac_Inside_sales_quota*apac_sales_quota_attainment)/4)*Inter_quarter_revenue_distribution_month_2),0)</f>
        <v>#REF!</v>
      </c>
      <c r="Y17" s="40" t="e">
        <f>ROUNDUP((#REF!*1000)/(((apac_Inside_sales_quota*apac_sales_quota_attainment)/4)*Inter_quarter_revenue_distribution_month_3),0)</f>
        <v>#REF!</v>
      </c>
      <c r="Z17" s="40" t="e">
        <f>ROUNDUP((#REF!*1000)/(((apac_Inside_sales_quota*apac_sales_quota_attainment)/4)*Inter_quarter_revenue_distribution_month_1),0)</f>
        <v>#REF!</v>
      </c>
      <c r="AA17" s="40" t="e">
        <f>ROUNDUP((#REF!*1000)/(((apac_Inside_sales_quota*apac_sales_quota_attainment)/4)*Inter_quarter_revenue_distribution_month_2),0)</f>
        <v>#REF!</v>
      </c>
      <c r="AB17" s="40" t="e">
        <f>ROUNDUP((#REF!*1000)/(((apac_Inside_sales_quota*apac_sales_quota_attainment)/4)*Inter_quarter_revenue_distribution_month_3),0)</f>
        <v>#REF!</v>
      </c>
      <c r="AC17" s="40" t="e">
        <f>ROUNDUP((#REF!*1000)/(((apac_Inside_sales_quota*apac_sales_quota_attainment)/4)*Inter_quarter_revenue_distribution_month_1),0)</f>
        <v>#REF!</v>
      </c>
      <c r="AD17" s="40" t="e">
        <f>ROUNDUP((#REF!*1000)/(((apac_Inside_sales_quota*apac_sales_quota_attainment)/4)*Inter_quarter_revenue_distribution_month_2),0)</f>
        <v>#REF!</v>
      </c>
      <c r="AE17" s="40" t="e">
        <f>ROUNDUP((#REF!*1000)/(((apac_Inside_sales_quota*apac_sales_quota_attainment)/4)*Inter_quarter_revenue_distribution_month_3),0)</f>
        <v>#REF!</v>
      </c>
      <c r="AF17" s="40" t="e">
        <f>ROUNDUP((#REF!*1000)/(((apac_Inside_sales_quota*apac_sales_quota_attainment)/4)*Inter_quarter_revenue_distribution_month_1),0)</f>
        <v>#REF!</v>
      </c>
      <c r="AG17" s="40" t="e">
        <f>ROUNDUP((#REF!*1000)/(((apac_Inside_sales_quota*apac_sales_quota_attainment)/4)*Inter_quarter_revenue_distribution_month_2),0)</f>
        <v>#REF!</v>
      </c>
      <c r="AH17" s="40" t="e">
        <f>ROUNDUP((#REF!*1000)/(((apac_Inside_sales_quota*apac_sales_quota_attainment)/4)*Inter_quarter_revenue_distribution_month_3),0)</f>
        <v>#REF!</v>
      </c>
      <c r="AI17" s="40" t="e">
        <f>ROUNDUP((#REF!*1000)/(((apac_Inside_sales_quota*apac_sales_quota_attainment)/4)*Inter_quarter_revenue_distribution_month_1),0)</f>
        <v>#REF!</v>
      </c>
      <c r="AJ17" s="40" t="e">
        <f>ROUNDUP((#REF!*1000)/(((apac_Inside_sales_quota*apac_sales_quota_attainment)/4)*Inter_quarter_revenue_distribution_month_2),0)</f>
        <v>#REF!</v>
      </c>
      <c r="AK17" s="40" t="e">
        <f>ROUNDUP((#REF!*1000)/(((apac_Inside_sales_quota*apac_sales_quota_attainment)/4)*Inter_quarter_revenue_distribution_month_3),0)</f>
        <v>#REF!</v>
      </c>
    </row>
    <row r="18" spans="1:62" x14ac:dyDescent="0.3">
      <c r="A18" s="6" t="s">
        <v>54</v>
      </c>
      <c r="B18" s="40" t="e">
        <f>ROUNDUP((#REF!*1000)/(((apac_Sales_Engineers_quota*apac_engineers_quota_attainment)/4)*Inter_quarter_revenue_distribution_month_1),0)</f>
        <v>#REF!</v>
      </c>
      <c r="C18" s="40" t="e">
        <f>ROUNDUP((#REF!*1000)/(((apac_Sales_Engineers_quota*apac_engineers_quota_attainment)/4)*Inter_quarter_revenue_distribution_month_2),0)</f>
        <v>#REF!</v>
      </c>
      <c r="D18" s="40" t="e">
        <f>ROUNDUP((#REF!*1000)/(((apac_Sales_Engineers_quota*apac_engineers_quota_attainment)/4)*Inter_quarter_revenue_distribution_month_3),0)</f>
        <v>#REF!</v>
      </c>
      <c r="E18" s="40" t="e">
        <f>ROUNDUP((#REF!*1000)/(((apac_Sales_Engineers_quota*apac_engineers_quota_attainment)/4)*Inter_quarter_revenue_distribution_month_1),0)</f>
        <v>#REF!</v>
      </c>
      <c r="F18" s="40" t="e">
        <f>ROUNDUP((#REF!*1000)/(((apac_Sales_Engineers_quota*apac_engineers_quota_attainment)/4)*Inter_quarter_revenue_distribution_month_2),0)</f>
        <v>#REF!</v>
      </c>
      <c r="G18" s="40" t="e">
        <f>ROUNDUP((#REF!*1000)/(((apac_Sales_Engineers_quota*apac_engineers_quota_attainment)/4)*Inter_quarter_revenue_distribution_month_3),0)</f>
        <v>#REF!</v>
      </c>
      <c r="H18" s="40" t="e">
        <f>ROUNDUP((#REF!*1000)/(((apac_Sales_Engineers_quota*apac_engineers_quota_attainment)/4)*Inter_quarter_revenue_distribution_month_1),0)</f>
        <v>#REF!</v>
      </c>
      <c r="I18" s="40" t="e">
        <f>ROUNDUP((#REF!*1000)/(((apac_Sales_Engineers_quota*apac_engineers_quota_attainment)/4)*Inter_quarter_revenue_distribution_month_2),0)</f>
        <v>#REF!</v>
      </c>
      <c r="J18" s="40" t="e">
        <f>ROUNDUP((#REF!*1000)/(((apac_Sales_Engineers_quota*apac_engineers_quota_attainment)/4)*Inter_quarter_revenue_distribution_month_3),0)</f>
        <v>#REF!</v>
      </c>
      <c r="K18" s="40" t="e">
        <f>ROUNDUP((#REF!*1000)/(((apac_Sales_Engineers_quota*apac_engineers_quota_attainment)/4)*Inter_quarter_revenue_distribution_month_1),0)</f>
        <v>#REF!</v>
      </c>
      <c r="L18" s="40" t="e">
        <f>ROUNDUP((#REF!*1000)/(((apac_Sales_Engineers_quota*apac_engineers_quota_attainment)/4)*Inter_quarter_revenue_distribution_month_2),0)</f>
        <v>#REF!</v>
      </c>
      <c r="M18" s="40" t="e">
        <f>ROUNDUP((#REF!*1000)/(((apac_Sales_Engineers_quota*apac_engineers_quota_attainment)/4)*Inter_quarter_revenue_distribution_month_3),0)</f>
        <v>#REF!</v>
      </c>
      <c r="N18" s="40" t="e">
        <f>ROUNDUP((#REF!*1000)/(((apac_Sales_Engineers_quota*apac_engineers_quota_attainment)/4)*Inter_quarter_revenue_distribution_month_1),0)</f>
        <v>#REF!</v>
      </c>
      <c r="O18" s="40" t="e">
        <f>ROUNDUP((#REF!*1000)/(((apac_Sales_Engineers_quota*apac_engineers_quota_attainment)/4)*Inter_quarter_revenue_distribution_month_2),0)</f>
        <v>#REF!</v>
      </c>
      <c r="P18" s="40" t="e">
        <f>ROUNDUP((#REF!*1000)/(((apac_Sales_Engineers_quota*apac_engineers_quota_attainment)/4)*Inter_quarter_revenue_distribution_month_3),0)</f>
        <v>#REF!</v>
      </c>
      <c r="Q18" s="40" t="e">
        <f>ROUNDUP((#REF!*1000)/(((apac_Sales_Engineers_quota*apac_engineers_quota_attainment)/4)*Inter_quarter_revenue_distribution_month_1),0)</f>
        <v>#REF!</v>
      </c>
      <c r="R18" s="40" t="e">
        <f>ROUNDUP((#REF!*1000)/(((apac_Sales_Engineers_quota*apac_engineers_quota_attainment)/4)*Inter_quarter_revenue_distribution_month_2),0)</f>
        <v>#REF!</v>
      </c>
      <c r="S18" s="40" t="e">
        <f>ROUNDUP((#REF!*1000)/(((apac_Sales_Engineers_quota*apac_engineers_quota_attainment)/4)*Inter_quarter_revenue_distribution_month_3),0)</f>
        <v>#REF!</v>
      </c>
      <c r="T18" s="40" t="e">
        <f>ROUNDUP((#REF!*1000)/(((apac_Sales_Engineers_quota*apac_engineers_quota_attainment)/4)*Inter_quarter_revenue_distribution_month_1),0)</f>
        <v>#REF!</v>
      </c>
      <c r="U18" s="40" t="e">
        <f>ROUNDUP((#REF!*1000)/(((apac_Sales_Engineers_quota*apac_engineers_quota_attainment)/4)*Inter_quarter_revenue_distribution_month_2),0)</f>
        <v>#REF!</v>
      </c>
      <c r="V18" s="40" t="e">
        <f>ROUNDUP((#REF!*1000)/(((apac_Sales_Engineers_quota*apac_engineers_quota_attainment)/4)*Inter_quarter_revenue_distribution_month_3),0)</f>
        <v>#REF!</v>
      </c>
      <c r="W18" s="40" t="e">
        <f>ROUNDUP((#REF!*1000)/(((apac_Sales_Engineers_quota*apac_engineers_quota_attainment)/4)*Inter_quarter_revenue_distribution_month_1),0)</f>
        <v>#REF!</v>
      </c>
      <c r="X18" s="40" t="e">
        <f>ROUNDUP((#REF!*1000)/(((apac_Sales_Engineers_quota*apac_engineers_quota_attainment)/4)*Inter_quarter_revenue_distribution_month_2),0)</f>
        <v>#REF!</v>
      </c>
      <c r="Y18" s="40" t="e">
        <f>ROUNDUP((#REF!*1000)/(((apac_Sales_Engineers_quota*apac_engineers_quota_attainment)/4)*Inter_quarter_revenue_distribution_month_3),0)</f>
        <v>#REF!</v>
      </c>
      <c r="Z18" s="40" t="e">
        <f>ROUNDUP((#REF!*1000)/(((apac_Sales_Engineers_quota*apac_engineers_quota_attainment)/4)*Inter_quarter_revenue_distribution_month_1),0)</f>
        <v>#REF!</v>
      </c>
      <c r="AA18" s="40" t="e">
        <f>ROUNDUP((#REF!*1000)/(((apac_Sales_Engineers_quota*apac_engineers_quota_attainment)/4)*Inter_quarter_revenue_distribution_month_2),0)</f>
        <v>#REF!</v>
      </c>
      <c r="AB18" s="40" t="e">
        <f>ROUNDUP((#REF!*1000)/(((apac_Sales_Engineers_quota*apac_engineers_quota_attainment)/4)*Inter_quarter_revenue_distribution_month_3),0)</f>
        <v>#REF!</v>
      </c>
      <c r="AC18" s="40" t="e">
        <f>ROUNDUP((#REF!*1000)/(((apac_Sales_Engineers_quota*apac_engineers_quota_attainment)/4)*Inter_quarter_revenue_distribution_month_1),0)</f>
        <v>#REF!</v>
      </c>
      <c r="AD18" s="40" t="e">
        <f>ROUNDUP((#REF!*1000)/(((apac_Sales_Engineers_quota*apac_engineers_quota_attainment)/4)*Inter_quarter_revenue_distribution_month_2),0)</f>
        <v>#REF!</v>
      </c>
      <c r="AE18" s="40" t="e">
        <f>ROUNDUP((#REF!*1000)/(((apac_Sales_Engineers_quota*apac_engineers_quota_attainment)/4)*Inter_quarter_revenue_distribution_month_3),0)</f>
        <v>#REF!</v>
      </c>
      <c r="AF18" s="40" t="e">
        <f>ROUNDUP((#REF!*1000)/(((apac_Sales_Engineers_quota*apac_engineers_quota_attainment)/4)*Inter_quarter_revenue_distribution_month_1),0)</f>
        <v>#REF!</v>
      </c>
      <c r="AG18" s="40" t="e">
        <f>ROUNDUP((#REF!*1000)/(((apac_Sales_Engineers_quota*apac_engineers_quota_attainment)/4)*Inter_quarter_revenue_distribution_month_2),0)</f>
        <v>#REF!</v>
      </c>
      <c r="AH18" s="40" t="e">
        <f>ROUNDUP((#REF!*1000)/(((apac_Sales_Engineers_quota*apac_engineers_quota_attainment)/4)*Inter_quarter_revenue_distribution_month_3),0)</f>
        <v>#REF!</v>
      </c>
      <c r="AI18" s="40" t="e">
        <f>ROUNDUP((#REF!*1000)/(((apac_Sales_Engineers_quota*apac_engineers_quota_attainment)/4)*Inter_quarter_revenue_distribution_month_1),0)</f>
        <v>#REF!</v>
      </c>
      <c r="AJ18" s="40" t="e">
        <f>ROUNDUP((#REF!*1000)/(((apac_Sales_Engineers_quota*apac_engineers_quota_attainment)/4)*Inter_quarter_revenue_distribution_month_2),0)</f>
        <v>#REF!</v>
      </c>
      <c r="AK18" s="40" t="e">
        <f>ROUNDUP((#REF!*1000)/(((apac_Sales_Engineers_quota*apac_engineers_quota_attainment)/4)*Inter_quarter_revenue_distribution_month_3),0)</f>
        <v>#REF!</v>
      </c>
    </row>
    <row r="20" spans="1:62" x14ac:dyDescent="0.3">
      <c r="A20" t="s">
        <v>48</v>
      </c>
    </row>
    <row r="21" spans="1:62" x14ac:dyDescent="0.3">
      <c r="A21" s="6" t="s">
        <v>52</v>
      </c>
      <c r="B21" s="40" t="e">
        <f>ROUNDUP((#REF!*1000)/(((other_channel_sales_exec_quota*other_sales_exec_quota_attainment)/4)*Inter_quarter_revenue_distribution_month_1),0)</f>
        <v>#REF!</v>
      </c>
      <c r="C21" s="40" t="e">
        <f>ROUNDUP((#REF!*1000)/(((other_channel_sales_exec_quota*other_sales_exec_quota_attainment)/4)*Inter_quarter_revenue_distribution_month_2),0)</f>
        <v>#REF!</v>
      </c>
      <c r="D21" s="40" t="e">
        <f>ROUNDUP((#REF!*1000)/(((other_channel_sales_exec_quota*other_sales_exec_quota_attainment)/4)*Inter_quarter_revenue_distribution_month_3),0)</f>
        <v>#REF!</v>
      </c>
      <c r="E21" s="40" t="e">
        <f>ROUNDUP((#REF!*1000)/(((other_channel_sales_exec_quota*other_sales_exec_quota_attainment)/4)*Inter_quarter_revenue_distribution_month_1),0)</f>
        <v>#REF!</v>
      </c>
      <c r="F21" s="40" t="e">
        <f>ROUNDUP((#REF!*1000)/(((other_channel_sales_exec_quota*other_sales_exec_quota_attainment)/4)*Inter_quarter_revenue_distribution_month_2),0)</f>
        <v>#REF!</v>
      </c>
      <c r="G21" s="40" t="e">
        <f>ROUNDUP((#REF!*1000)/(((other_channel_sales_exec_quota*other_sales_exec_quota_attainment)/4)*Inter_quarter_revenue_distribution_month_3),0)</f>
        <v>#REF!</v>
      </c>
      <c r="H21" s="40" t="e">
        <f>ROUNDUP((#REF!*1000)/(((other_channel_sales_exec_quota*other_sales_exec_quota_attainment)/4)*Inter_quarter_revenue_distribution_month_1),0)</f>
        <v>#REF!</v>
      </c>
      <c r="I21" s="40" t="e">
        <f>ROUNDUP((#REF!*1000)/(((other_channel_sales_exec_quota*other_sales_exec_quota_attainment)/4)*Inter_quarter_revenue_distribution_month_2),0)</f>
        <v>#REF!</v>
      </c>
      <c r="J21" s="40" t="e">
        <f>ROUNDUP((#REF!*1000)/(((other_channel_sales_exec_quota*other_sales_exec_quota_attainment)/4)*Inter_quarter_revenue_distribution_month_3),0)</f>
        <v>#REF!</v>
      </c>
      <c r="K21" s="40" t="e">
        <f>ROUNDUP((#REF!*1000)/(((other_channel_sales_exec_quota*other_sales_exec_quota_attainment)/4)*Inter_quarter_revenue_distribution_month_1),0)</f>
        <v>#REF!</v>
      </c>
      <c r="L21" s="40" t="e">
        <f>ROUNDUP((#REF!*1000)/(((other_channel_sales_exec_quota*other_sales_exec_quota_attainment)/4)*Inter_quarter_revenue_distribution_month_2),0)</f>
        <v>#REF!</v>
      </c>
      <c r="M21" s="40" t="e">
        <f>ROUNDUP((#REF!*1000)/(((other_channel_sales_exec_quota*other_sales_exec_quota_attainment)/4)*Inter_quarter_revenue_distribution_month_3),0)</f>
        <v>#REF!</v>
      </c>
      <c r="N21" s="40" t="e">
        <f>ROUNDUP((#REF!*1000)/(((other_channel_sales_exec_quota*other_sales_exec_quota_attainment)/4)*Inter_quarter_revenue_distribution_month_1),0)</f>
        <v>#REF!</v>
      </c>
      <c r="O21" s="40" t="e">
        <f>ROUNDUP((#REF!*1000)/(((other_channel_sales_exec_quota*other_sales_exec_quota_attainment)/4)*Inter_quarter_revenue_distribution_month_2),0)</f>
        <v>#REF!</v>
      </c>
      <c r="P21" s="40" t="e">
        <f>ROUNDUP((#REF!*1000)/(((other_channel_sales_exec_quota*other_sales_exec_quota_attainment)/4)*Inter_quarter_revenue_distribution_month_3),0)</f>
        <v>#REF!</v>
      </c>
      <c r="Q21" s="40" t="e">
        <f>ROUNDUP((#REF!*1000)/(((other_channel_sales_exec_quota*other_sales_exec_quota_attainment)/4)*Inter_quarter_revenue_distribution_month_1),0)</f>
        <v>#REF!</v>
      </c>
      <c r="R21" s="40" t="e">
        <f>ROUNDUP((#REF!*1000)/(((other_channel_sales_exec_quota*other_sales_exec_quota_attainment)/4)*Inter_quarter_revenue_distribution_month_2),0)</f>
        <v>#REF!</v>
      </c>
      <c r="S21" s="40" t="e">
        <f>ROUNDUP((#REF!*1000)/(((other_channel_sales_exec_quota*other_sales_exec_quota_attainment)/4)*Inter_quarter_revenue_distribution_month_3),0)</f>
        <v>#REF!</v>
      </c>
      <c r="T21" s="40" t="e">
        <f>ROUNDUP((#REF!*1000)/(((other_channel_sales_exec_quota*other_sales_exec_quota_attainment)/4)*Inter_quarter_revenue_distribution_month_1),0)</f>
        <v>#REF!</v>
      </c>
      <c r="U21" s="40" t="e">
        <f>ROUNDUP((#REF!*1000)/(((other_channel_sales_exec_quota*other_sales_exec_quota_attainment)/4)*Inter_quarter_revenue_distribution_month_2),0)</f>
        <v>#REF!</v>
      </c>
      <c r="V21" s="40" t="e">
        <f>ROUNDUP((#REF!*1000)/(((other_channel_sales_exec_quota*other_sales_exec_quota_attainment)/4)*Inter_quarter_revenue_distribution_month_3),0)</f>
        <v>#REF!</v>
      </c>
      <c r="W21" s="40" t="e">
        <f>ROUNDUP((#REF!*1000)/(((other_channel_sales_exec_quota*other_sales_exec_quota_attainment)/4)*Inter_quarter_revenue_distribution_month_1),0)</f>
        <v>#REF!</v>
      </c>
      <c r="X21" s="40" t="e">
        <f>ROUNDUP((#REF!*1000)/(((other_channel_sales_exec_quota*other_sales_exec_quota_attainment)/4)*Inter_quarter_revenue_distribution_month_2),0)</f>
        <v>#REF!</v>
      </c>
      <c r="Y21" s="40" t="e">
        <f>ROUNDUP((#REF!*1000)/(((other_channel_sales_exec_quota*other_sales_exec_quota_attainment)/4)*Inter_quarter_revenue_distribution_month_3),0)</f>
        <v>#REF!</v>
      </c>
      <c r="Z21" s="40" t="e">
        <f>ROUNDUP((#REF!*1000)/(((other_channel_sales_exec_quota*other_sales_exec_quota_attainment)/4)*Inter_quarter_revenue_distribution_month_1),0)</f>
        <v>#REF!</v>
      </c>
      <c r="AA21" s="40" t="e">
        <f>ROUNDUP((#REF!*1000)/(((other_channel_sales_exec_quota*other_sales_exec_quota_attainment)/4)*Inter_quarter_revenue_distribution_month_2),0)</f>
        <v>#REF!</v>
      </c>
      <c r="AB21" s="40" t="e">
        <f>ROUNDUP((#REF!*1000)/(((other_channel_sales_exec_quota*other_sales_exec_quota_attainment)/4)*Inter_quarter_revenue_distribution_month_3),0)</f>
        <v>#REF!</v>
      </c>
      <c r="AC21" s="40" t="e">
        <f>ROUNDUP((#REF!*1000)/(((other_channel_sales_exec_quota*other_sales_exec_quota_attainment)/4)*Inter_quarter_revenue_distribution_month_1),0)</f>
        <v>#REF!</v>
      </c>
      <c r="AD21" s="40" t="e">
        <f>ROUNDUP((#REF!*1000)/(((other_channel_sales_exec_quota*other_sales_exec_quota_attainment)/4)*Inter_quarter_revenue_distribution_month_2),0)</f>
        <v>#REF!</v>
      </c>
      <c r="AE21" s="40" t="e">
        <f>ROUNDUP((#REF!*1000)/(((other_channel_sales_exec_quota*other_sales_exec_quota_attainment)/4)*Inter_quarter_revenue_distribution_month_3),0)</f>
        <v>#REF!</v>
      </c>
      <c r="AF21" s="40" t="e">
        <f>ROUNDUP((#REF!*1000)/(((other_channel_sales_exec_quota*other_sales_exec_quota_attainment)/4)*Inter_quarter_revenue_distribution_month_1),0)</f>
        <v>#REF!</v>
      </c>
      <c r="AG21" s="40" t="e">
        <f>ROUNDUP((#REF!*1000)/(((other_channel_sales_exec_quota*other_sales_exec_quota_attainment)/4)*Inter_quarter_revenue_distribution_month_2),0)</f>
        <v>#REF!</v>
      </c>
      <c r="AH21" s="40" t="e">
        <f>ROUNDUP((#REF!*1000)/(((other_channel_sales_exec_quota*other_sales_exec_quota_attainment)/4)*Inter_quarter_revenue_distribution_month_3),0)</f>
        <v>#REF!</v>
      </c>
      <c r="AI21" s="40" t="e">
        <f>ROUNDUP((#REF!*1000)/(((other_channel_sales_exec_quota*other_sales_exec_quota_attainment)/4)*Inter_quarter_revenue_distribution_month_1),0)</f>
        <v>#REF!</v>
      </c>
      <c r="AJ21" s="40" t="e">
        <f>ROUNDUP((#REF!*1000)/(((other_channel_sales_exec_quota*other_sales_exec_quota_attainment)/4)*Inter_quarter_revenue_distribution_month_2),0)</f>
        <v>#REF!</v>
      </c>
      <c r="AK21" s="40" t="e">
        <f>ROUNDUP((#REF!*1000)/(((other_channel_sales_exec_quota*other_sales_exec_quota_attainment)/4)*Inter_quarter_revenue_distribution_month_3),0)</f>
        <v>#REF!</v>
      </c>
    </row>
    <row r="22" spans="1:62" x14ac:dyDescent="0.3">
      <c r="A22" s="6" t="s">
        <v>53</v>
      </c>
      <c r="B22" s="40" t="e">
        <f>ROUNDUP((#REF!*1000)/(((other_Inside_sales_quota*other_sales_quota_attainment)/4)*Inter_quarter_revenue_distribution_month_1),0)</f>
        <v>#REF!</v>
      </c>
      <c r="C22" s="40" t="e">
        <f>ROUNDUP((#REF!*1000)/(((other_Inside_sales_quota*other_sales_quota_attainment)/4)*Inter_quarter_revenue_distribution_month_2),0)</f>
        <v>#REF!</v>
      </c>
      <c r="D22" s="40" t="e">
        <f>ROUNDUP((#REF!*1000)/(((other_Inside_sales_quota*other_sales_quota_attainment)/4)*Inter_quarter_revenue_distribution_month_3),0)</f>
        <v>#REF!</v>
      </c>
      <c r="E22" s="40" t="e">
        <f>ROUNDUP((#REF!*1000)/(((other_Inside_sales_quota*other_sales_quota_attainment)/4)*Inter_quarter_revenue_distribution_month_1),0)</f>
        <v>#REF!</v>
      </c>
      <c r="F22" s="40" t="e">
        <f>ROUNDUP((#REF!*1000)/(((other_Inside_sales_quota*other_sales_quota_attainment)/4)*Inter_quarter_revenue_distribution_month_2),0)</f>
        <v>#REF!</v>
      </c>
      <c r="G22" s="40" t="e">
        <f>ROUNDUP((#REF!*1000)/(((other_Inside_sales_quota*other_sales_quota_attainment)/4)*Inter_quarter_revenue_distribution_month_3),0)</f>
        <v>#REF!</v>
      </c>
      <c r="H22" s="40" t="e">
        <f>ROUNDUP((#REF!*1000)/(((other_Inside_sales_quota*other_sales_quota_attainment)/4)*Inter_quarter_revenue_distribution_month_1),0)</f>
        <v>#REF!</v>
      </c>
      <c r="I22" s="40" t="e">
        <f>ROUNDUP((#REF!*1000)/(((other_Inside_sales_quota*other_sales_quota_attainment)/4)*Inter_quarter_revenue_distribution_month_2),0)</f>
        <v>#REF!</v>
      </c>
      <c r="J22" s="40" t="e">
        <f>ROUNDUP((#REF!*1000)/(((other_Inside_sales_quota*other_sales_quota_attainment)/4)*Inter_quarter_revenue_distribution_month_3),0)</f>
        <v>#REF!</v>
      </c>
      <c r="K22" s="40" t="e">
        <f>ROUNDUP((#REF!*1000)/(((other_Inside_sales_quota*other_sales_quota_attainment)/4)*Inter_quarter_revenue_distribution_month_1),0)</f>
        <v>#REF!</v>
      </c>
      <c r="L22" s="40" t="e">
        <f>ROUNDUP((#REF!*1000)/(((other_Inside_sales_quota*other_sales_quota_attainment)/4)*Inter_quarter_revenue_distribution_month_2),0)</f>
        <v>#REF!</v>
      </c>
      <c r="M22" s="40" t="e">
        <f>ROUNDUP((#REF!*1000)/(((other_Inside_sales_quota*other_sales_quota_attainment)/4)*Inter_quarter_revenue_distribution_month_3),0)</f>
        <v>#REF!</v>
      </c>
      <c r="N22" s="40" t="e">
        <f>ROUNDUP((#REF!*1000)/(((other_Inside_sales_quota*other_sales_quota_attainment)/4)*Inter_quarter_revenue_distribution_month_1),0)</f>
        <v>#REF!</v>
      </c>
      <c r="O22" s="40" t="e">
        <f>ROUNDUP((#REF!*1000)/(((other_Inside_sales_quota*other_sales_quota_attainment)/4)*Inter_quarter_revenue_distribution_month_2),0)</f>
        <v>#REF!</v>
      </c>
      <c r="P22" s="40" t="e">
        <f>ROUNDUP((#REF!*1000)/(((other_Inside_sales_quota*other_sales_quota_attainment)/4)*Inter_quarter_revenue_distribution_month_3),0)</f>
        <v>#REF!</v>
      </c>
      <c r="Q22" s="40" t="e">
        <f>ROUNDUP((#REF!*1000)/(((other_Inside_sales_quota*other_sales_quota_attainment)/4)*Inter_quarter_revenue_distribution_month_1),0)</f>
        <v>#REF!</v>
      </c>
      <c r="R22" s="40" t="e">
        <f>ROUNDUP((#REF!*1000)/(((other_Inside_sales_quota*other_sales_quota_attainment)/4)*Inter_quarter_revenue_distribution_month_2),0)</f>
        <v>#REF!</v>
      </c>
      <c r="S22" s="40" t="e">
        <f>ROUNDUP((#REF!*1000)/(((other_Inside_sales_quota*other_sales_quota_attainment)/4)*Inter_quarter_revenue_distribution_month_3),0)</f>
        <v>#REF!</v>
      </c>
      <c r="T22" s="40" t="e">
        <f>ROUNDUP((#REF!*1000)/(((other_Inside_sales_quota*other_sales_quota_attainment)/4)*Inter_quarter_revenue_distribution_month_1),0)</f>
        <v>#REF!</v>
      </c>
      <c r="U22" s="40" t="e">
        <f>ROUNDUP((#REF!*1000)/(((other_Inside_sales_quota*other_sales_quota_attainment)/4)*Inter_quarter_revenue_distribution_month_2),0)</f>
        <v>#REF!</v>
      </c>
      <c r="V22" s="40" t="e">
        <f>ROUNDUP((#REF!*1000)/(((other_Inside_sales_quota*other_sales_quota_attainment)/4)*Inter_quarter_revenue_distribution_month_3),0)</f>
        <v>#REF!</v>
      </c>
      <c r="W22" s="40" t="e">
        <f>ROUNDUP((#REF!*1000)/(((other_Inside_sales_quota*other_sales_quota_attainment)/4)*Inter_quarter_revenue_distribution_month_1),0)</f>
        <v>#REF!</v>
      </c>
      <c r="X22" s="40" t="e">
        <f>ROUNDUP((#REF!*1000)/(((other_Inside_sales_quota*other_sales_quota_attainment)/4)*Inter_quarter_revenue_distribution_month_2),0)</f>
        <v>#REF!</v>
      </c>
      <c r="Y22" s="40" t="e">
        <f>ROUNDUP((#REF!*1000)/(((other_Inside_sales_quota*other_sales_quota_attainment)/4)*Inter_quarter_revenue_distribution_month_3),0)</f>
        <v>#REF!</v>
      </c>
      <c r="Z22" s="40" t="e">
        <f>ROUNDUP((#REF!*1000)/(((other_Inside_sales_quota*other_sales_quota_attainment)/4)*Inter_quarter_revenue_distribution_month_1),0)</f>
        <v>#REF!</v>
      </c>
      <c r="AA22" s="40" t="e">
        <f>ROUNDUP((#REF!*1000)/(((other_Inside_sales_quota*other_sales_quota_attainment)/4)*Inter_quarter_revenue_distribution_month_2),0)</f>
        <v>#REF!</v>
      </c>
      <c r="AB22" s="40" t="e">
        <f>ROUNDUP((#REF!*1000)/(((other_Inside_sales_quota*other_sales_quota_attainment)/4)*Inter_quarter_revenue_distribution_month_3),0)</f>
        <v>#REF!</v>
      </c>
      <c r="AC22" s="40" t="e">
        <f>ROUNDUP((#REF!*1000)/(((other_Inside_sales_quota*other_sales_quota_attainment)/4)*Inter_quarter_revenue_distribution_month_1),0)</f>
        <v>#REF!</v>
      </c>
      <c r="AD22" s="40" t="e">
        <f>ROUNDUP((#REF!*1000)/(((other_Inside_sales_quota*other_sales_quota_attainment)/4)*Inter_quarter_revenue_distribution_month_2),0)</f>
        <v>#REF!</v>
      </c>
      <c r="AE22" s="40" t="e">
        <f>ROUNDUP((#REF!*1000)/(((other_Inside_sales_quota*other_sales_quota_attainment)/4)*Inter_quarter_revenue_distribution_month_3),0)</f>
        <v>#REF!</v>
      </c>
      <c r="AF22" s="40" t="e">
        <f>ROUNDUP((#REF!*1000)/(((other_Inside_sales_quota*other_sales_quota_attainment)/4)*Inter_quarter_revenue_distribution_month_1),0)</f>
        <v>#REF!</v>
      </c>
      <c r="AG22" s="40" t="e">
        <f>ROUNDUP((#REF!*1000)/(((other_Inside_sales_quota*other_sales_quota_attainment)/4)*Inter_quarter_revenue_distribution_month_2),0)</f>
        <v>#REF!</v>
      </c>
      <c r="AH22" s="40" t="e">
        <f>ROUNDUP((#REF!*1000)/(((other_Inside_sales_quota*other_sales_quota_attainment)/4)*Inter_quarter_revenue_distribution_month_3),0)</f>
        <v>#REF!</v>
      </c>
      <c r="AI22" s="40" t="e">
        <f>ROUNDUP((#REF!*1000)/(((other_Inside_sales_quota*other_sales_quota_attainment)/4)*Inter_quarter_revenue_distribution_month_1),0)</f>
        <v>#REF!</v>
      </c>
      <c r="AJ22" s="40" t="e">
        <f>ROUNDUP((#REF!*1000)/(((other_Inside_sales_quota*other_sales_quota_attainment)/4)*Inter_quarter_revenue_distribution_month_2),0)</f>
        <v>#REF!</v>
      </c>
      <c r="AK22" s="40" t="e">
        <f>ROUNDUP((#REF!*1000)/(((other_Inside_sales_quota*other_sales_quota_attainment)/4)*Inter_quarter_revenue_distribution_month_3),0)</f>
        <v>#REF!</v>
      </c>
    </row>
    <row r="23" spans="1:62" x14ac:dyDescent="0.3">
      <c r="A23" s="6" t="s">
        <v>54</v>
      </c>
      <c r="B23" s="40" t="e">
        <f>ROUNDUP((#REF!*1000)/(((other_Sales_Engineers_quota*other_engineers_quota_attainment)/4)*Inter_quarter_revenue_distribution_month_1),0)</f>
        <v>#REF!</v>
      </c>
      <c r="C23" s="40" t="e">
        <f>ROUNDUP((#REF!*1000)/(((other_Sales_Engineers_quota*other_engineers_quota_attainment)/4)*Inter_quarter_revenue_distribution_month_2),0)</f>
        <v>#REF!</v>
      </c>
      <c r="D23" s="40" t="e">
        <f>ROUNDUP((#REF!*1000)/(((other_Sales_Engineers_quota*other_engineers_quota_attainment)/4)*Inter_quarter_revenue_distribution_month_3),0)</f>
        <v>#REF!</v>
      </c>
      <c r="E23" s="40" t="e">
        <f>ROUNDUP((#REF!*1000)/(((other_Sales_Engineers_quota*other_engineers_quota_attainment)/4)*Inter_quarter_revenue_distribution_month_1),0)</f>
        <v>#REF!</v>
      </c>
      <c r="F23" s="40" t="e">
        <f>ROUNDUP((#REF!*1000)/(((other_Sales_Engineers_quota*other_engineers_quota_attainment)/4)*Inter_quarter_revenue_distribution_month_2),0)</f>
        <v>#REF!</v>
      </c>
      <c r="G23" s="40" t="e">
        <f>ROUNDUP((#REF!*1000)/(((other_Sales_Engineers_quota*other_engineers_quota_attainment)/4)*Inter_quarter_revenue_distribution_month_3),0)</f>
        <v>#REF!</v>
      </c>
      <c r="H23" s="40" t="e">
        <f>ROUNDUP((#REF!*1000)/(((other_Sales_Engineers_quota*other_engineers_quota_attainment)/4)*Inter_quarter_revenue_distribution_month_1),0)</f>
        <v>#REF!</v>
      </c>
      <c r="I23" s="40" t="e">
        <f>ROUNDUP((#REF!*1000)/(((other_Sales_Engineers_quota*other_engineers_quota_attainment)/4)*Inter_quarter_revenue_distribution_month_2),0)</f>
        <v>#REF!</v>
      </c>
      <c r="J23" s="40" t="e">
        <f>ROUNDUP((#REF!*1000)/(((other_Sales_Engineers_quota*other_engineers_quota_attainment)/4)*Inter_quarter_revenue_distribution_month_3),0)</f>
        <v>#REF!</v>
      </c>
      <c r="K23" s="40" t="e">
        <f>ROUNDUP((#REF!*1000)/(((other_Sales_Engineers_quota*other_engineers_quota_attainment)/4)*Inter_quarter_revenue_distribution_month_1),0)</f>
        <v>#REF!</v>
      </c>
      <c r="L23" s="40" t="e">
        <f>ROUNDUP((#REF!*1000)/(((other_Sales_Engineers_quota*other_engineers_quota_attainment)/4)*Inter_quarter_revenue_distribution_month_2),0)</f>
        <v>#REF!</v>
      </c>
      <c r="M23" s="40" t="e">
        <f>ROUNDUP((#REF!*1000)/(((other_Sales_Engineers_quota*other_engineers_quota_attainment)/4)*Inter_quarter_revenue_distribution_month_3),0)</f>
        <v>#REF!</v>
      </c>
      <c r="N23" s="40" t="e">
        <f>ROUNDUP((#REF!*1000)/(((other_Sales_Engineers_quota*other_engineers_quota_attainment)/4)*Inter_quarter_revenue_distribution_month_1),0)</f>
        <v>#REF!</v>
      </c>
      <c r="O23" s="40" t="e">
        <f>ROUNDUP((#REF!*1000)/(((other_Sales_Engineers_quota*other_engineers_quota_attainment)/4)*Inter_quarter_revenue_distribution_month_2),0)</f>
        <v>#REF!</v>
      </c>
      <c r="P23" s="40" t="e">
        <f>ROUNDUP((#REF!*1000)/(((other_Sales_Engineers_quota*other_engineers_quota_attainment)/4)*Inter_quarter_revenue_distribution_month_3),0)</f>
        <v>#REF!</v>
      </c>
      <c r="Q23" s="40" t="e">
        <f>ROUNDUP((#REF!*1000)/(((other_Sales_Engineers_quota*other_engineers_quota_attainment)/4)*Inter_quarter_revenue_distribution_month_1),0)</f>
        <v>#REF!</v>
      </c>
      <c r="R23" s="40" t="e">
        <f>ROUNDUP((#REF!*1000)/(((other_Sales_Engineers_quota*other_engineers_quota_attainment)/4)*Inter_quarter_revenue_distribution_month_2),0)</f>
        <v>#REF!</v>
      </c>
      <c r="S23" s="40" t="e">
        <f>ROUNDUP((#REF!*1000)/(((other_Sales_Engineers_quota*other_engineers_quota_attainment)/4)*Inter_quarter_revenue_distribution_month_3),0)</f>
        <v>#REF!</v>
      </c>
      <c r="T23" s="40" t="e">
        <f>ROUNDUP((#REF!*1000)/(((other_Sales_Engineers_quota*other_engineers_quota_attainment)/4)*Inter_quarter_revenue_distribution_month_1),0)</f>
        <v>#REF!</v>
      </c>
      <c r="U23" s="40" t="e">
        <f>ROUNDUP((#REF!*1000)/(((other_Sales_Engineers_quota*other_engineers_quota_attainment)/4)*Inter_quarter_revenue_distribution_month_2),0)</f>
        <v>#REF!</v>
      </c>
      <c r="V23" s="40" t="e">
        <f>ROUNDUP((#REF!*1000)/(((other_Sales_Engineers_quota*other_engineers_quota_attainment)/4)*Inter_quarter_revenue_distribution_month_3),0)</f>
        <v>#REF!</v>
      </c>
      <c r="W23" s="40" t="e">
        <f>ROUNDUP((#REF!*1000)/(((other_Sales_Engineers_quota*other_engineers_quota_attainment)/4)*Inter_quarter_revenue_distribution_month_1),0)</f>
        <v>#REF!</v>
      </c>
      <c r="X23" s="40" t="e">
        <f>ROUNDUP((#REF!*1000)/(((other_Sales_Engineers_quota*other_engineers_quota_attainment)/4)*Inter_quarter_revenue_distribution_month_2),0)</f>
        <v>#REF!</v>
      </c>
      <c r="Y23" s="40" t="e">
        <f>ROUNDUP((#REF!*1000)/(((other_Sales_Engineers_quota*other_engineers_quota_attainment)/4)*Inter_quarter_revenue_distribution_month_3),0)</f>
        <v>#REF!</v>
      </c>
      <c r="Z23" s="40" t="e">
        <f>ROUNDUP((#REF!*1000)/(((other_Sales_Engineers_quota*other_engineers_quota_attainment)/4)*Inter_quarter_revenue_distribution_month_1),0)</f>
        <v>#REF!</v>
      </c>
      <c r="AA23" s="40" t="e">
        <f>ROUNDUP((#REF!*1000)/(((other_Sales_Engineers_quota*other_engineers_quota_attainment)/4)*Inter_quarter_revenue_distribution_month_2),0)</f>
        <v>#REF!</v>
      </c>
      <c r="AB23" s="40" t="e">
        <f>ROUNDUP((#REF!*1000)/(((other_Sales_Engineers_quota*other_engineers_quota_attainment)/4)*Inter_quarter_revenue_distribution_month_3),0)</f>
        <v>#REF!</v>
      </c>
      <c r="AC23" s="40" t="e">
        <f>ROUNDUP((#REF!*1000)/(((other_Sales_Engineers_quota*other_engineers_quota_attainment)/4)*Inter_quarter_revenue_distribution_month_1),0)</f>
        <v>#REF!</v>
      </c>
      <c r="AD23" s="40" t="e">
        <f>ROUNDUP((#REF!*1000)/(((other_Sales_Engineers_quota*other_engineers_quota_attainment)/4)*Inter_quarter_revenue_distribution_month_2),0)</f>
        <v>#REF!</v>
      </c>
      <c r="AE23" s="40" t="e">
        <f>ROUNDUP((#REF!*1000)/(((other_Sales_Engineers_quota*other_engineers_quota_attainment)/4)*Inter_quarter_revenue_distribution_month_3),0)</f>
        <v>#REF!</v>
      </c>
      <c r="AF23" s="40" t="e">
        <f>ROUNDUP((#REF!*1000)/(((other_Sales_Engineers_quota*other_engineers_quota_attainment)/4)*Inter_quarter_revenue_distribution_month_1),0)</f>
        <v>#REF!</v>
      </c>
      <c r="AG23" s="40" t="e">
        <f>ROUNDUP((#REF!*1000)/(((other_Sales_Engineers_quota*other_engineers_quota_attainment)/4)*Inter_quarter_revenue_distribution_month_2),0)</f>
        <v>#REF!</v>
      </c>
      <c r="AH23" s="40" t="e">
        <f>ROUNDUP((#REF!*1000)/(((other_Sales_Engineers_quota*other_engineers_quota_attainment)/4)*Inter_quarter_revenue_distribution_month_3),0)</f>
        <v>#REF!</v>
      </c>
      <c r="AI23" s="40" t="e">
        <f>ROUNDUP((#REF!*1000)/(((other_Sales_Engineers_quota*other_engineers_quota_attainment)/4)*Inter_quarter_revenue_distribution_month_1),0)</f>
        <v>#REF!</v>
      </c>
      <c r="AJ23" s="40" t="e">
        <f>ROUNDUP((#REF!*1000)/(((other_Sales_Engineers_quota*other_engineers_quota_attainment)/4)*Inter_quarter_revenue_distribution_month_2),0)</f>
        <v>#REF!</v>
      </c>
      <c r="AK23" s="40" t="e">
        <f>ROUNDUP((#REF!*1000)/(((other_Sales_Engineers_quota*other_engineers_quota_attainment)/4)*Inter_quarter_revenue_distribution_month_3),0)</f>
        <v>#REF!</v>
      </c>
    </row>
    <row r="25" spans="1:62" x14ac:dyDescent="0.3">
      <c r="A25" s="6" t="s">
        <v>56</v>
      </c>
    </row>
    <row r="26" spans="1:62" x14ac:dyDescent="0.3">
      <c r="A26" t="s">
        <v>49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BJ26" s="2"/>
    </row>
    <row r="27" spans="1:62" x14ac:dyDescent="0.3">
      <c r="A27" s="6" t="s">
        <v>52</v>
      </c>
      <c r="B27" s="8" t="e">
        <f ca="1">IF(sales_staffing_level="min",MIN(B6:OFFSET(B6,0,0,1,channel_sales_months_to_productivity)),IF(sales_staffing_level="max",MAX(B6:OFFSET(B6,0,0,1,channel_sales_months_to_productivity)),IF(sales_staffing_level="avg",AVERAGE(B6:OFFSET(B6,0,0,1,channel_sales_months_to_productivity)),)))</f>
        <v>#REF!</v>
      </c>
      <c r="C27" s="8" t="e">
        <f ca="1">IF(sales_staffing_level="min",MIN(C6:OFFSET(C6,0,0,1,channel_sales_months_to_productivity)),IF(sales_staffing_level="max",MAX(C6:OFFSET(C6,0,0,1,channel_sales_months_to_productivity)),IF(sales_staffing_level="avg",AVERAGE(C6:OFFSET(C6,0,0,1,channel_sales_months_to_productivity)),)))</f>
        <v>#REF!</v>
      </c>
      <c r="D27" s="8" t="e">
        <f ca="1">IF(sales_staffing_level="min",MIN(D6:OFFSET(D6,0,0,1,channel_sales_months_to_productivity)),IF(sales_staffing_level="max",MAX(D6:OFFSET(D6,0,0,1,channel_sales_months_to_productivity)),IF(sales_staffing_level="avg",AVERAGE(D6:OFFSET(D6,0,0,1,channel_sales_months_to_productivity)),)))</f>
        <v>#REF!</v>
      </c>
      <c r="E27" s="8" t="e">
        <f ca="1">IF(sales_staffing_level="min",MIN(E6:OFFSET(E6,0,0,1,channel_sales_months_to_productivity)),IF(sales_staffing_level="max",MAX(E6:OFFSET(E6,0,0,1,channel_sales_months_to_productivity)),IF(sales_staffing_level="avg",AVERAGE(E6:OFFSET(E6,0,0,1,channel_sales_months_to_productivity)),)))</f>
        <v>#REF!</v>
      </c>
      <c r="F27" s="8" t="e">
        <f ca="1">IF(sales_staffing_level="min",MIN(F6:OFFSET(F6,0,0,1,channel_sales_months_to_productivity)),IF(sales_staffing_level="max",MAX(F6:OFFSET(F6,0,0,1,channel_sales_months_to_productivity)),IF(sales_staffing_level="avg",AVERAGE(F6:OFFSET(F6,0,0,1,channel_sales_months_to_productivity)),)))</f>
        <v>#REF!</v>
      </c>
      <c r="G27" s="8" t="e">
        <f ca="1">IF(sales_staffing_level="min",MIN(G6:OFFSET(G6,0,0,1,channel_sales_months_to_productivity)),IF(sales_staffing_level="max",MAX(G6:OFFSET(G6,0,0,1,channel_sales_months_to_productivity)),IF(sales_staffing_level="avg",AVERAGE(G6:OFFSET(G6,0,0,1,channel_sales_months_to_productivity)),)))</f>
        <v>#REF!</v>
      </c>
      <c r="H27" s="8" t="e">
        <f ca="1">IF(sales_staffing_level="min",MIN(H6:OFFSET(H6,0,0,1,channel_sales_months_to_productivity)),IF(sales_staffing_level="max",MAX(H6:OFFSET(H6,0,0,1,channel_sales_months_to_productivity)),IF(sales_staffing_level="avg",AVERAGE(H6:OFFSET(H6,0,0,1,channel_sales_months_to_productivity)),)))</f>
        <v>#REF!</v>
      </c>
      <c r="I27" s="8" t="e">
        <f ca="1">IF(sales_staffing_level="min",MIN(I6:OFFSET(I6,0,0,1,channel_sales_months_to_productivity)),IF(sales_staffing_level="max",MAX(I6:OFFSET(I6,0,0,1,channel_sales_months_to_productivity)),IF(sales_staffing_level="avg",AVERAGE(I6:OFFSET(I6,0,0,1,channel_sales_months_to_productivity)),)))</f>
        <v>#REF!</v>
      </c>
      <c r="J27" s="8" t="e">
        <f ca="1">IF(sales_staffing_level="min",MIN(J6:OFFSET(J6,0,0,1,channel_sales_months_to_productivity)),IF(sales_staffing_level="max",MAX(J6:OFFSET(J6,0,0,1,channel_sales_months_to_productivity)),IF(sales_staffing_level="avg",AVERAGE(J6:OFFSET(J6,0,0,1,channel_sales_months_to_productivity)),)))</f>
        <v>#REF!</v>
      </c>
      <c r="K27" s="8" t="e">
        <f ca="1">IF(sales_staffing_level="min",MIN(K6:OFFSET(K6,0,0,1,channel_sales_months_to_productivity)),IF(sales_staffing_level="max",MAX(K6:OFFSET(K6,0,0,1,channel_sales_months_to_productivity)),IF(sales_staffing_level="avg",AVERAGE(K6:OFFSET(K6,0,0,1,channel_sales_months_to_productivity)),)))</f>
        <v>#REF!</v>
      </c>
      <c r="L27" s="8" t="e">
        <f ca="1">IF(sales_staffing_level="min",MIN(L6:OFFSET(L6,0,0,1,channel_sales_months_to_productivity)),IF(sales_staffing_level="max",MAX(L6:OFFSET(L6,0,0,1,channel_sales_months_to_productivity)),IF(sales_staffing_level="avg",AVERAGE(L6:OFFSET(L6,0,0,1,channel_sales_months_to_productivity)),)))</f>
        <v>#REF!</v>
      </c>
      <c r="M27" s="8" t="e">
        <f ca="1">IF(sales_staffing_level="min",MIN(M6:OFFSET(M6,0,0,1,channel_sales_months_to_productivity)),IF(sales_staffing_level="max",MAX(M6:OFFSET(M6,0,0,1,channel_sales_months_to_productivity)),IF(sales_staffing_level="avg",AVERAGE(M6:OFFSET(M6,0,0,1,channel_sales_months_to_productivity)),)))</f>
        <v>#REF!</v>
      </c>
      <c r="N27" s="8" t="e">
        <f ca="1">IF(sales_staffing_level="min",MIN(N6:OFFSET(N6,0,0,1,channel_sales_months_to_productivity)),IF(sales_staffing_level="max",MAX(N6:OFFSET(N6,0,0,1,channel_sales_months_to_productivity)),IF(sales_staffing_level="avg",AVERAGE(N6:OFFSET(N6,0,0,1,channel_sales_months_to_productivity)),)))</f>
        <v>#REF!</v>
      </c>
      <c r="O27" s="8" t="e">
        <f ca="1">IF(sales_staffing_level="min",MIN(O6:OFFSET(O6,0,0,1,channel_sales_months_to_productivity)),IF(sales_staffing_level="max",MAX(O6:OFFSET(O6,0,0,1,channel_sales_months_to_productivity)),IF(sales_staffing_level="avg",AVERAGE(O6:OFFSET(O6,0,0,1,channel_sales_months_to_productivity)),)))</f>
        <v>#REF!</v>
      </c>
      <c r="P27" s="8" t="e">
        <f ca="1">IF(sales_staffing_level="min",MIN(P6:OFFSET(P6,0,0,1,channel_sales_months_to_productivity)),IF(sales_staffing_level="max",MAX(P6:OFFSET(P6,0,0,1,channel_sales_months_to_productivity)),IF(sales_staffing_level="avg",AVERAGE(P6:OFFSET(P6,0,0,1,channel_sales_months_to_productivity)),)))</f>
        <v>#REF!</v>
      </c>
      <c r="Q27" s="8" t="e">
        <f ca="1">IF(sales_staffing_level="min",MIN(Q6:OFFSET(Q6,0,0,1,channel_sales_months_to_productivity)),IF(sales_staffing_level="max",MAX(Q6:OFFSET(Q6,0,0,1,channel_sales_months_to_productivity)),IF(sales_staffing_level="avg",AVERAGE(Q6:OFFSET(Q6,0,0,1,channel_sales_months_to_productivity)),)))</f>
        <v>#REF!</v>
      </c>
      <c r="R27" s="8" t="e">
        <f ca="1">IF(sales_staffing_level="min",MIN(R6:OFFSET(R6,0,0,1,channel_sales_months_to_productivity)),IF(sales_staffing_level="max",MAX(R6:OFFSET(R6,0,0,1,channel_sales_months_to_productivity)),IF(sales_staffing_level="avg",AVERAGE(R6:OFFSET(R6,0,0,1,channel_sales_months_to_productivity)),)))</f>
        <v>#REF!</v>
      </c>
      <c r="S27" s="8" t="e">
        <f ca="1">IF(sales_staffing_level="min",MIN(S6:OFFSET(S6,0,0,1,channel_sales_months_to_productivity)),IF(sales_staffing_level="max",MAX(S6:OFFSET(S6,0,0,1,channel_sales_months_to_productivity)),IF(sales_staffing_level="avg",AVERAGE(S6:OFFSET(S6,0,0,1,channel_sales_months_to_productivity)),)))</f>
        <v>#REF!</v>
      </c>
      <c r="T27" s="8" t="e">
        <f ca="1">IF(sales_staffing_level="min",MIN(T6:OFFSET(T6,0,0,1,channel_sales_months_to_productivity)),IF(sales_staffing_level="max",MAX(T6:OFFSET(T6,0,0,1,channel_sales_months_to_productivity)),IF(sales_staffing_level="avg",AVERAGE(T6:OFFSET(T6,0,0,1,channel_sales_months_to_productivity)),)))</f>
        <v>#REF!</v>
      </c>
      <c r="U27" s="8" t="e">
        <f ca="1">IF(sales_staffing_level="min",MIN(U6:OFFSET(U6,0,0,1,channel_sales_months_to_productivity)),IF(sales_staffing_level="max",MAX(U6:OFFSET(U6,0,0,1,channel_sales_months_to_productivity)),IF(sales_staffing_level="avg",AVERAGE(U6:OFFSET(U6,0,0,1,channel_sales_months_to_productivity)),)))</f>
        <v>#REF!</v>
      </c>
      <c r="V27" s="8" t="e">
        <f ca="1">IF(sales_staffing_level="min",MIN(V6:OFFSET(V6,0,0,1,channel_sales_months_to_productivity)),IF(sales_staffing_level="max",MAX(V6:OFFSET(V6,0,0,1,channel_sales_months_to_productivity)),IF(sales_staffing_level="avg",AVERAGE(V6:OFFSET(V6,0,0,1,channel_sales_months_to_productivity)),)))</f>
        <v>#REF!</v>
      </c>
      <c r="W27" s="8" t="e">
        <f ca="1">IF(sales_staffing_level="min",MIN(W6:OFFSET(W6,0,0,1,channel_sales_months_to_productivity)),IF(sales_staffing_level="max",MAX(W6:OFFSET(W6,0,0,1,channel_sales_months_to_productivity)),IF(sales_staffing_level="avg",AVERAGE(W6:OFFSET(W6,0,0,1,channel_sales_months_to_productivity)),)))</f>
        <v>#REF!</v>
      </c>
      <c r="X27" s="8" t="e">
        <f ca="1">IF(sales_staffing_level="min",MIN(X6:OFFSET(X6,0,0,1,channel_sales_months_to_productivity)),IF(sales_staffing_level="max",MAX(X6:OFFSET(X6,0,0,1,channel_sales_months_to_productivity)),IF(sales_staffing_level="avg",AVERAGE(X6:OFFSET(X6,0,0,1,channel_sales_months_to_productivity)),)))</f>
        <v>#REF!</v>
      </c>
      <c r="Y27" s="8" t="e">
        <f ca="1">IF(sales_staffing_level="min",MIN(Y6:OFFSET(Y6,0,0,1,channel_sales_months_to_productivity)),IF(sales_staffing_level="max",MAX(Y6:OFFSET(Y6,0,0,1,channel_sales_months_to_productivity)),IF(sales_staffing_level="avg",AVERAGE(Y6:OFFSET(Y6,0,0,1,channel_sales_months_to_productivity)),)))</f>
        <v>#REF!</v>
      </c>
      <c r="Z27" s="8" t="e">
        <f ca="1">IF(sales_staffing_level="min",MIN(Z6:OFFSET(Z6,0,0,1,channel_sales_months_to_productivity)),IF(sales_staffing_level="max",MAX(Z6:OFFSET(Z6,0,0,1,channel_sales_months_to_productivity)),IF(sales_staffing_level="avg",AVERAGE(Z6:OFFSET(Z6,0,0,1,channel_sales_months_to_productivity)),)))</f>
        <v>#REF!</v>
      </c>
      <c r="AA27" s="8" t="e">
        <f ca="1">IF(sales_staffing_level="min",MIN(AA6:OFFSET(AA6,0,0,1,channel_sales_months_to_productivity)),IF(sales_staffing_level="max",MAX(AA6:OFFSET(AA6,0,0,1,channel_sales_months_to_productivity)),IF(sales_staffing_level="avg",AVERAGE(AA6:OFFSET(AA6,0,0,1,channel_sales_months_to_productivity)),)))</f>
        <v>#REF!</v>
      </c>
      <c r="AB27" s="8" t="e">
        <f ca="1">IF(sales_staffing_level="min",MIN(AB6:OFFSET(AB6,0,0,1,channel_sales_months_to_productivity)),IF(sales_staffing_level="max",MAX(AB6:OFFSET(AB6,0,0,1,channel_sales_months_to_productivity)),IF(sales_staffing_level="avg",AVERAGE(AB6:OFFSET(AB6,0,0,1,channel_sales_months_to_productivity)),)))</f>
        <v>#REF!</v>
      </c>
      <c r="AC27" s="8" t="e">
        <f ca="1">IF(sales_staffing_level="min",MIN(AC6:OFFSET(AC6,0,0,1,channel_sales_months_to_productivity)),IF(sales_staffing_level="max",MAX(AC6:OFFSET(AC6,0,0,1,channel_sales_months_to_productivity)),IF(sales_staffing_level="avg",AVERAGE(AC6:OFFSET(AC6,0,0,1,channel_sales_months_to_productivity)),)))</f>
        <v>#REF!</v>
      </c>
      <c r="AD27" s="8" t="e">
        <f ca="1">IF(sales_staffing_level="min",MIN(AD6:OFFSET(AD6,0,0,1,channel_sales_months_to_productivity)),IF(sales_staffing_level="max",MAX(AD6:OFFSET(AD6,0,0,1,channel_sales_months_to_productivity)),IF(sales_staffing_level="avg",AVERAGE(AD6:OFFSET(AD6,0,0,1,channel_sales_months_to_productivity)),)))</f>
        <v>#REF!</v>
      </c>
      <c r="AE27" s="8" t="e">
        <f ca="1">IF(sales_staffing_level="min",MIN(AE6:OFFSET(AE6,0,0,1,channel_sales_months_to_productivity)),IF(sales_staffing_level="max",MAX(AE6:OFFSET(AE6,0,0,1,channel_sales_months_to_productivity)),IF(sales_staffing_level="avg",AVERAGE(AE6:OFFSET(AE6,0,0,1,channel_sales_months_to_productivity)),)))</f>
        <v>#REF!</v>
      </c>
      <c r="AF27" s="8" t="e">
        <f ca="1">IF(sales_staffing_level="min",MIN(AF6:OFFSET(AF6,0,0,1,channel_sales_months_to_productivity)),IF(sales_staffing_level="max",MAX(AF6:OFFSET(AF6,0,0,1,channel_sales_months_to_productivity)),IF(sales_staffing_level="avg",AVERAGE(AF6:OFFSET(AF6,0,0,1,channel_sales_months_to_productivity)),)))</f>
        <v>#REF!</v>
      </c>
      <c r="AG27" s="8" t="e">
        <f ca="1">IF(sales_staffing_level="min",MIN(AG6:OFFSET(AG6,0,0,1,channel_sales_months_to_productivity)),IF(sales_staffing_level="max",MAX(AG6:OFFSET(AG6,0,0,1,channel_sales_months_to_productivity)),IF(sales_staffing_level="avg",AVERAGE(AG6:OFFSET(AG6,0,0,1,channel_sales_months_to_productivity)),)))</f>
        <v>#REF!</v>
      </c>
      <c r="AH27" s="8" t="e">
        <f ca="1">IF(sales_staffing_level="min",MIN(AH6:OFFSET(AH6,0,0,1,channel_sales_months_to_productivity)),IF(sales_staffing_level="max",MAX(AH6:OFFSET(AH6,0,0,1,channel_sales_months_to_productivity)),IF(sales_staffing_level="avg",AVERAGE(AH6:OFFSET(AH6,0,0,1,channel_sales_months_to_productivity)),)))</f>
        <v>#REF!</v>
      </c>
      <c r="AI27" s="8" t="e">
        <f ca="1">IF(sales_staffing_level="min",MIN(AI6:OFFSET(AI6,0,0,1,channel_sales_months_to_productivity)),IF(sales_staffing_level="max",MAX(AI6:OFFSET(AI6,0,0,1,channel_sales_months_to_productivity)),IF(sales_staffing_level="avg",AVERAGE(AI6:OFFSET(AI6,0,0,1,channel_sales_months_to_productivity)),)))</f>
        <v>#REF!</v>
      </c>
      <c r="AJ27" s="8" t="e">
        <f ca="1">IF(sales_staffing_level="min",MIN(AJ6:OFFSET(AJ6,0,0,1,channel_sales_months_to_productivity)),IF(sales_staffing_level="max",MAX(AJ6:OFFSET(AJ6,0,0,1,channel_sales_months_to_productivity)),IF(sales_staffing_level="avg",AVERAGE(AJ6:OFFSET(AJ6,0,0,1,channel_sales_months_to_productivity)),)))</f>
        <v>#REF!</v>
      </c>
      <c r="AK27" s="8" t="e">
        <f ca="1">IF(sales_staffing_level="min",MIN(AK6:OFFSET(AK6,0,0,1,channel_sales_months_to_productivity)),IF(sales_staffing_level="max",MAX(AK6:OFFSET(AK6,0,0,1,channel_sales_months_to_productivity)),IF(sales_staffing_level="avg",AVERAGE(AK6:OFFSET(AK6,0,0,1,channel_sales_months_to_productivity)),)))</f>
        <v>#REF!</v>
      </c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</row>
    <row r="28" spans="1:62" x14ac:dyDescent="0.3">
      <c r="A28" s="6" t="s">
        <v>53</v>
      </c>
      <c r="B28" s="8" t="e">
        <f ca="1">IF(sales_staffing_level="min",MIN(B7:OFFSET(B7,0,0,1,channel_sales_months_to_productivity)),IF(sales_staffing_level="max",MAX(B7:OFFSET(B7,0,0,1,channel_sales_months_to_productivity)),IF(sales_staffing_level="avg",AVERAGE(B7:OFFSET(B7,0,0,1,channel_sales_months_to_productivity)),)))</f>
        <v>#REF!</v>
      </c>
      <c r="C28" s="8" t="e">
        <f ca="1">IF(sales_staffing_level="min",MIN(C7:OFFSET(C7,0,0,1,channel_sales_months_to_productivity)),IF(sales_staffing_level="max",MAX(C7:OFFSET(C7,0,0,1,channel_sales_months_to_productivity)),IF(sales_staffing_level="avg",AVERAGE(C7:OFFSET(C7,0,0,1,channel_sales_months_to_productivity)),)))</f>
        <v>#REF!</v>
      </c>
      <c r="D28" s="8" t="e">
        <f ca="1">IF(sales_staffing_level="min",MIN(D7:OFFSET(D7,0,0,1,channel_sales_months_to_productivity)),IF(sales_staffing_level="max",MAX(D7:OFFSET(D7,0,0,1,channel_sales_months_to_productivity)),IF(sales_staffing_level="avg",AVERAGE(D7:OFFSET(D7,0,0,1,channel_sales_months_to_productivity)),)))</f>
        <v>#REF!</v>
      </c>
      <c r="E28" s="8" t="e">
        <f ca="1">IF(sales_staffing_level="min",MIN(E7:OFFSET(E7,0,0,1,channel_sales_months_to_productivity)),IF(sales_staffing_level="max",MAX(E7:OFFSET(E7,0,0,1,channel_sales_months_to_productivity)),IF(sales_staffing_level="avg",AVERAGE(E7:OFFSET(E7,0,0,1,channel_sales_months_to_productivity)),)))</f>
        <v>#REF!</v>
      </c>
      <c r="F28" s="8" t="e">
        <f ca="1">IF(sales_staffing_level="min",MIN(F7:OFFSET(F7,0,0,1,channel_sales_months_to_productivity)),IF(sales_staffing_level="max",MAX(F7:OFFSET(F7,0,0,1,channel_sales_months_to_productivity)),IF(sales_staffing_level="avg",AVERAGE(F7:OFFSET(F7,0,0,1,channel_sales_months_to_productivity)),)))</f>
        <v>#REF!</v>
      </c>
      <c r="G28" s="8" t="e">
        <f ca="1">IF(sales_staffing_level="min",MIN(G7:OFFSET(G7,0,0,1,channel_sales_months_to_productivity)),IF(sales_staffing_level="max",MAX(G7:OFFSET(G7,0,0,1,channel_sales_months_to_productivity)),IF(sales_staffing_level="avg",AVERAGE(G7:OFFSET(G7,0,0,1,channel_sales_months_to_productivity)),)))</f>
        <v>#REF!</v>
      </c>
      <c r="H28" s="8" t="e">
        <f ca="1">IF(sales_staffing_level="min",MIN(H7:OFFSET(H7,0,0,1,channel_sales_months_to_productivity)),IF(sales_staffing_level="max",MAX(H7:OFFSET(H7,0,0,1,channel_sales_months_to_productivity)),IF(sales_staffing_level="avg",AVERAGE(H7:OFFSET(H7,0,0,1,channel_sales_months_to_productivity)),)))</f>
        <v>#REF!</v>
      </c>
      <c r="I28" s="8" t="e">
        <f ca="1">IF(sales_staffing_level="min",MIN(I7:OFFSET(I7,0,0,1,channel_sales_months_to_productivity)),IF(sales_staffing_level="max",MAX(I7:OFFSET(I7,0,0,1,channel_sales_months_to_productivity)),IF(sales_staffing_level="avg",AVERAGE(I7:OFFSET(I7,0,0,1,channel_sales_months_to_productivity)),)))</f>
        <v>#REF!</v>
      </c>
      <c r="J28" s="8" t="e">
        <f ca="1">IF(sales_staffing_level="min",MIN(J7:OFFSET(J7,0,0,1,channel_sales_months_to_productivity)),IF(sales_staffing_level="max",MAX(J7:OFFSET(J7,0,0,1,channel_sales_months_to_productivity)),IF(sales_staffing_level="avg",AVERAGE(J7:OFFSET(J7,0,0,1,channel_sales_months_to_productivity)),)))</f>
        <v>#REF!</v>
      </c>
      <c r="K28" s="8" t="e">
        <f ca="1">IF(sales_staffing_level="min",MIN(K7:OFFSET(K7,0,0,1,channel_sales_months_to_productivity)),IF(sales_staffing_level="max",MAX(K7:OFFSET(K7,0,0,1,channel_sales_months_to_productivity)),IF(sales_staffing_level="avg",AVERAGE(K7:OFFSET(K7,0,0,1,channel_sales_months_to_productivity)),)))</f>
        <v>#REF!</v>
      </c>
      <c r="L28" s="8" t="e">
        <f ca="1">IF(sales_staffing_level="min",MIN(L7:OFFSET(L7,0,0,1,channel_sales_months_to_productivity)),IF(sales_staffing_level="max",MAX(L7:OFFSET(L7,0,0,1,channel_sales_months_to_productivity)),IF(sales_staffing_level="avg",AVERAGE(L7:OFFSET(L7,0,0,1,channel_sales_months_to_productivity)),)))</f>
        <v>#REF!</v>
      </c>
      <c r="M28" s="8" t="e">
        <f ca="1">IF(sales_staffing_level="min",MIN(M7:OFFSET(M7,0,0,1,channel_sales_months_to_productivity)),IF(sales_staffing_level="max",MAX(M7:OFFSET(M7,0,0,1,channel_sales_months_to_productivity)),IF(sales_staffing_level="avg",AVERAGE(M7:OFFSET(M7,0,0,1,channel_sales_months_to_productivity)),)))</f>
        <v>#REF!</v>
      </c>
      <c r="N28" s="8" t="e">
        <f ca="1">IF(sales_staffing_level="min",MIN(N7:OFFSET(N7,0,0,1,channel_sales_months_to_productivity)),IF(sales_staffing_level="max",MAX(N7:OFFSET(N7,0,0,1,channel_sales_months_to_productivity)),IF(sales_staffing_level="avg",AVERAGE(N7:OFFSET(N7,0,0,1,channel_sales_months_to_productivity)),)))</f>
        <v>#REF!</v>
      </c>
      <c r="O28" s="8" t="e">
        <f ca="1">IF(sales_staffing_level="min",MIN(O7:OFFSET(O7,0,0,1,channel_sales_months_to_productivity)),IF(sales_staffing_level="max",MAX(O7:OFFSET(O7,0,0,1,channel_sales_months_to_productivity)),IF(sales_staffing_level="avg",AVERAGE(O7:OFFSET(O7,0,0,1,channel_sales_months_to_productivity)),)))</f>
        <v>#REF!</v>
      </c>
      <c r="P28" s="8" t="e">
        <f ca="1">IF(sales_staffing_level="min",MIN(P7:OFFSET(P7,0,0,1,channel_sales_months_to_productivity)),IF(sales_staffing_level="max",MAX(P7:OFFSET(P7,0,0,1,channel_sales_months_to_productivity)),IF(sales_staffing_level="avg",AVERAGE(P7:OFFSET(P7,0,0,1,channel_sales_months_to_productivity)),)))</f>
        <v>#REF!</v>
      </c>
      <c r="Q28" s="8" t="e">
        <f ca="1">IF(sales_staffing_level="min",MIN(Q7:OFFSET(Q7,0,0,1,channel_sales_months_to_productivity)),IF(sales_staffing_level="max",MAX(Q7:OFFSET(Q7,0,0,1,channel_sales_months_to_productivity)),IF(sales_staffing_level="avg",AVERAGE(Q7:OFFSET(Q7,0,0,1,channel_sales_months_to_productivity)),)))</f>
        <v>#REF!</v>
      </c>
      <c r="R28" s="8" t="e">
        <f ca="1">IF(sales_staffing_level="min",MIN(R7:OFFSET(R7,0,0,1,channel_sales_months_to_productivity)),IF(sales_staffing_level="max",MAX(R7:OFFSET(R7,0,0,1,channel_sales_months_to_productivity)),IF(sales_staffing_level="avg",AVERAGE(R7:OFFSET(R7,0,0,1,channel_sales_months_to_productivity)),)))</f>
        <v>#REF!</v>
      </c>
      <c r="S28" s="8" t="e">
        <f ca="1">IF(sales_staffing_level="min",MIN(S7:OFFSET(S7,0,0,1,channel_sales_months_to_productivity)),IF(sales_staffing_level="max",MAX(S7:OFFSET(S7,0,0,1,channel_sales_months_to_productivity)),IF(sales_staffing_level="avg",AVERAGE(S7:OFFSET(S7,0,0,1,channel_sales_months_to_productivity)),)))</f>
        <v>#REF!</v>
      </c>
      <c r="T28" s="8" t="e">
        <f ca="1">IF(sales_staffing_level="min",MIN(T7:OFFSET(T7,0,0,1,channel_sales_months_to_productivity)),IF(sales_staffing_level="max",MAX(T7:OFFSET(T7,0,0,1,channel_sales_months_to_productivity)),IF(sales_staffing_level="avg",AVERAGE(T7:OFFSET(T7,0,0,1,channel_sales_months_to_productivity)),)))</f>
        <v>#REF!</v>
      </c>
      <c r="U28" s="8" t="e">
        <f ca="1">IF(sales_staffing_level="min",MIN(U7:OFFSET(U7,0,0,1,channel_sales_months_to_productivity)),IF(sales_staffing_level="max",MAX(U7:OFFSET(U7,0,0,1,channel_sales_months_to_productivity)),IF(sales_staffing_level="avg",AVERAGE(U7:OFFSET(U7,0,0,1,channel_sales_months_to_productivity)),)))</f>
        <v>#REF!</v>
      </c>
      <c r="V28" s="8" t="e">
        <f ca="1">IF(sales_staffing_level="min",MIN(V7:OFFSET(V7,0,0,1,channel_sales_months_to_productivity)),IF(sales_staffing_level="max",MAX(V7:OFFSET(V7,0,0,1,channel_sales_months_to_productivity)),IF(sales_staffing_level="avg",AVERAGE(V7:OFFSET(V7,0,0,1,channel_sales_months_to_productivity)),)))</f>
        <v>#REF!</v>
      </c>
      <c r="W28" s="8" t="e">
        <f ca="1">IF(sales_staffing_level="min",MIN(W7:OFFSET(W7,0,0,1,channel_sales_months_to_productivity)),IF(sales_staffing_level="max",MAX(W7:OFFSET(W7,0,0,1,channel_sales_months_to_productivity)),IF(sales_staffing_level="avg",AVERAGE(W7:OFFSET(W7,0,0,1,channel_sales_months_to_productivity)),)))</f>
        <v>#REF!</v>
      </c>
      <c r="X28" s="8" t="e">
        <f ca="1">IF(sales_staffing_level="min",MIN(X7:OFFSET(X7,0,0,1,channel_sales_months_to_productivity)),IF(sales_staffing_level="max",MAX(X7:OFFSET(X7,0,0,1,channel_sales_months_to_productivity)),IF(sales_staffing_level="avg",AVERAGE(X7:OFFSET(X7,0,0,1,channel_sales_months_to_productivity)),)))</f>
        <v>#REF!</v>
      </c>
      <c r="Y28" s="8" t="e">
        <f ca="1">IF(sales_staffing_level="min",MIN(Y7:OFFSET(Y7,0,0,1,channel_sales_months_to_productivity)),IF(sales_staffing_level="max",MAX(Y7:OFFSET(Y7,0,0,1,channel_sales_months_to_productivity)),IF(sales_staffing_level="avg",AVERAGE(Y7:OFFSET(Y7,0,0,1,channel_sales_months_to_productivity)),)))</f>
        <v>#REF!</v>
      </c>
      <c r="Z28" s="8" t="e">
        <f ca="1">IF(sales_staffing_level="min",MIN(Z7:OFFSET(Z7,0,0,1,channel_sales_months_to_productivity)),IF(sales_staffing_level="max",MAX(Z7:OFFSET(Z7,0,0,1,channel_sales_months_to_productivity)),IF(sales_staffing_level="avg",AVERAGE(Z7:OFFSET(Z7,0,0,1,channel_sales_months_to_productivity)),)))</f>
        <v>#REF!</v>
      </c>
      <c r="AA28" s="8" t="e">
        <f ca="1">IF(sales_staffing_level="min",MIN(AA7:OFFSET(AA7,0,0,1,channel_sales_months_to_productivity)),IF(sales_staffing_level="max",MAX(AA7:OFFSET(AA7,0,0,1,channel_sales_months_to_productivity)),IF(sales_staffing_level="avg",AVERAGE(AA7:OFFSET(AA7,0,0,1,channel_sales_months_to_productivity)),)))</f>
        <v>#REF!</v>
      </c>
      <c r="AB28" s="8" t="e">
        <f ca="1">IF(sales_staffing_level="min",MIN(AB7:OFFSET(AB7,0,0,1,channel_sales_months_to_productivity)),IF(sales_staffing_level="max",MAX(AB7:OFFSET(AB7,0,0,1,channel_sales_months_to_productivity)),IF(sales_staffing_level="avg",AVERAGE(AB7:OFFSET(AB7,0,0,1,channel_sales_months_to_productivity)),)))</f>
        <v>#REF!</v>
      </c>
      <c r="AC28" s="8" t="e">
        <f ca="1">IF(sales_staffing_level="min",MIN(AC7:OFFSET(AC7,0,0,1,channel_sales_months_to_productivity)),IF(sales_staffing_level="max",MAX(AC7:OFFSET(AC7,0,0,1,channel_sales_months_to_productivity)),IF(sales_staffing_level="avg",AVERAGE(AC7:OFFSET(AC7,0,0,1,channel_sales_months_to_productivity)),)))</f>
        <v>#REF!</v>
      </c>
      <c r="AD28" s="8" t="e">
        <f ca="1">IF(sales_staffing_level="min",MIN(AD7:OFFSET(AD7,0,0,1,channel_sales_months_to_productivity)),IF(sales_staffing_level="max",MAX(AD7:OFFSET(AD7,0,0,1,channel_sales_months_to_productivity)),IF(sales_staffing_level="avg",AVERAGE(AD7:OFFSET(AD7,0,0,1,channel_sales_months_to_productivity)),)))</f>
        <v>#REF!</v>
      </c>
      <c r="AE28" s="8" t="e">
        <f ca="1">IF(sales_staffing_level="min",MIN(AE7:OFFSET(AE7,0,0,1,channel_sales_months_to_productivity)),IF(sales_staffing_level="max",MAX(AE7:OFFSET(AE7,0,0,1,channel_sales_months_to_productivity)),IF(sales_staffing_level="avg",AVERAGE(AE7:OFFSET(AE7,0,0,1,channel_sales_months_to_productivity)),)))</f>
        <v>#REF!</v>
      </c>
      <c r="AF28" s="8" t="e">
        <f ca="1">IF(sales_staffing_level="min",MIN(AF7:OFFSET(AF7,0,0,1,channel_sales_months_to_productivity)),IF(sales_staffing_level="max",MAX(AF7:OFFSET(AF7,0,0,1,channel_sales_months_to_productivity)),IF(sales_staffing_level="avg",AVERAGE(AF7:OFFSET(AF7,0,0,1,channel_sales_months_to_productivity)),)))</f>
        <v>#REF!</v>
      </c>
      <c r="AG28" s="8" t="e">
        <f ca="1">IF(sales_staffing_level="min",MIN(AG7:OFFSET(AG7,0,0,1,channel_sales_months_to_productivity)),IF(sales_staffing_level="max",MAX(AG7:OFFSET(AG7,0,0,1,channel_sales_months_to_productivity)),IF(sales_staffing_level="avg",AVERAGE(AG7:OFFSET(AG7,0,0,1,channel_sales_months_to_productivity)),)))</f>
        <v>#REF!</v>
      </c>
      <c r="AH28" s="8" t="e">
        <f ca="1">IF(sales_staffing_level="min",MIN(AH7:OFFSET(AH7,0,0,1,channel_sales_months_to_productivity)),IF(sales_staffing_level="max",MAX(AH7:OFFSET(AH7,0,0,1,channel_sales_months_to_productivity)),IF(sales_staffing_level="avg",AVERAGE(AH7:OFFSET(AH7,0,0,1,channel_sales_months_to_productivity)),)))</f>
        <v>#REF!</v>
      </c>
      <c r="AI28" s="8" t="e">
        <f ca="1">IF(sales_staffing_level="min",MIN(AI7:OFFSET(AI7,0,0,1,channel_sales_months_to_productivity)),IF(sales_staffing_level="max",MAX(AI7:OFFSET(AI7,0,0,1,channel_sales_months_to_productivity)),IF(sales_staffing_level="avg",AVERAGE(AI7:OFFSET(AI7,0,0,1,channel_sales_months_to_productivity)),)))</f>
        <v>#REF!</v>
      </c>
      <c r="AJ28" s="8" t="e">
        <f ca="1">IF(sales_staffing_level="min",MIN(AJ7:OFFSET(AJ7,0,0,1,channel_sales_months_to_productivity)),IF(sales_staffing_level="max",MAX(AJ7:OFFSET(AJ7,0,0,1,channel_sales_months_to_productivity)),IF(sales_staffing_level="avg",AVERAGE(AJ7:OFFSET(AJ7,0,0,1,channel_sales_months_to_productivity)),)))</f>
        <v>#REF!</v>
      </c>
      <c r="AK28" s="8" t="e">
        <f ca="1">IF(sales_staffing_level="min",MIN(AK7:OFFSET(AK7,0,0,1,channel_sales_months_to_productivity)),IF(sales_staffing_level="max",MAX(AK7:OFFSET(AK7,0,0,1,channel_sales_months_to_productivity)),IF(sales_staffing_level="avg",AVERAGE(AK7:OFFSET(AK7,0,0,1,channel_sales_months_to_productivity)),)))</f>
        <v>#REF!</v>
      </c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</row>
    <row r="29" spans="1:62" x14ac:dyDescent="0.3">
      <c r="A29" s="6" t="s">
        <v>54</v>
      </c>
      <c r="B29" s="8" t="e">
        <f ca="1">IF(sales_staffing_level="min",MIN(B8:OFFSET(B8,0,0,1,channel_sales_months_to_productivity)),IF(sales_staffing_level="max",MAX(B8:OFFSET(B8,0,0,1,channel_sales_months_to_productivity)),IF(sales_staffing_level="avg",AVERAGE(B8:OFFSET(B8,0,0,1,channel_sales_months_to_productivity)),)))</f>
        <v>#REF!</v>
      </c>
      <c r="C29" s="8" t="e">
        <f ca="1">IF(sales_staffing_level="min",MIN(C8:OFFSET(C8,0,0,1,channel_sales_months_to_productivity)),IF(sales_staffing_level="max",MAX(C8:OFFSET(C8,0,0,1,channel_sales_months_to_productivity)),IF(sales_staffing_level="avg",AVERAGE(C8:OFFSET(C8,0,0,1,channel_sales_months_to_productivity)),)))</f>
        <v>#REF!</v>
      </c>
      <c r="D29" s="8" t="e">
        <f ca="1">IF(sales_staffing_level="min",MIN(D8:OFFSET(D8,0,0,1,channel_sales_months_to_productivity)),IF(sales_staffing_level="max",MAX(D8:OFFSET(D8,0,0,1,channel_sales_months_to_productivity)),IF(sales_staffing_level="avg",AVERAGE(D8:OFFSET(D8,0,0,1,channel_sales_months_to_productivity)),)))</f>
        <v>#REF!</v>
      </c>
      <c r="E29" s="8" t="e">
        <f ca="1">IF(sales_staffing_level="min",MIN(E8:OFFSET(E8,0,0,1,channel_sales_months_to_productivity)),IF(sales_staffing_level="max",MAX(E8:OFFSET(E8,0,0,1,channel_sales_months_to_productivity)),IF(sales_staffing_level="avg",AVERAGE(E8:OFFSET(E8,0,0,1,channel_sales_months_to_productivity)),)))</f>
        <v>#REF!</v>
      </c>
      <c r="F29" s="8" t="e">
        <f ca="1">IF(sales_staffing_level="min",MIN(F8:OFFSET(F8,0,0,1,channel_sales_months_to_productivity)),IF(sales_staffing_level="max",MAX(F8:OFFSET(F8,0,0,1,channel_sales_months_to_productivity)),IF(sales_staffing_level="avg",AVERAGE(F8:OFFSET(F8,0,0,1,channel_sales_months_to_productivity)),)))</f>
        <v>#REF!</v>
      </c>
      <c r="G29" s="8" t="e">
        <f ca="1">IF(sales_staffing_level="min",MIN(G8:OFFSET(G8,0,0,1,channel_sales_months_to_productivity)),IF(sales_staffing_level="max",MAX(G8:OFFSET(G8,0,0,1,channel_sales_months_to_productivity)),IF(sales_staffing_level="avg",AVERAGE(G8:OFFSET(G8,0,0,1,channel_sales_months_to_productivity)),)))</f>
        <v>#REF!</v>
      </c>
      <c r="H29" s="8" t="e">
        <f ca="1">IF(sales_staffing_level="min",MIN(H8:OFFSET(H8,0,0,1,channel_sales_months_to_productivity)),IF(sales_staffing_level="max",MAX(H8:OFFSET(H8,0,0,1,channel_sales_months_to_productivity)),IF(sales_staffing_level="avg",AVERAGE(H8:OFFSET(H8,0,0,1,channel_sales_months_to_productivity)),)))</f>
        <v>#REF!</v>
      </c>
      <c r="I29" s="8" t="e">
        <f ca="1">IF(sales_staffing_level="min",MIN(I8:OFFSET(I8,0,0,1,channel_sales_months_to_productivity)),IF(sales_staffing_level="max",MAX(I8:OFFSET(I8,0,0,1,channel_sales_months_to_productivity)),IF(sales_staffing_level="avg",AVERAGE(I8:OFFSET(I8,0,0,1,channel_sales_months_to_productivity)),)))</f>
        <v>#REF!</v>
      </c>
      <c r="J29" s="8" t="e">
        <f ca="1">IF(sales_staffing_level="min",MIN(J8:OFFSET(J8,0,0,1,channel_sales_months_to_productivity)),IF(sales_staffing_level="max",MAX(J8:OFFSET(J8,0,0,1,channel_sales_months_to_productivity)),IF(sales_staffing_level="avg",AVERAGE(J8:OFFSET(J8,0,0,1,channel_sales_months_to_productivity)),)))</f>
        <v>#REF!</v>
      </c>
      <c r="K29" s="8" t="e">
        <f ca="1">IF(sales_staffing_level="min",MIN(K8:OFFSET(K8,0,0,1,channel_sales_months_to_productivity)),IF(sales_staffing_level="max",MAX(K8:OFFSET(K8,0,0,1,channel_sales_months_to_productivity)),IF(sales_staffing_level="avg",AVERAGE(K8:OFFSET(K8,0,0,1,channel_sales_months_to_productivity)),)))</f>
        <v>#REF!</v>
      </c>
      <c r="L29" s="8" t="e">
        <f ca="1">IF(sales_staffing_level="min",MIN(L8:OFFSET(L8,0,0,1,channel_sales_months_to_productivity)),IF(sales_staffing_level="max",MAX(L8:OFFSET(L8,0,0,1,channel_sales_months_to_productivity)),IF(sales_staffing_level="avg",AVERAGE(L8:OFFSET(L8,0,0,1,channel_sales_months_to_productivity)),)))</f>
        <v>#REF!</v>
      </c>
      <c r="M29" s="8" t="e">
        <f ca="1">IF(sales_staffing_level="min",MIN(M8:OFFSET(M8,0,0,1,channel_sales_months_to_productivity)),IF(sales_staffing_level="max",MAX(M8:OFFSET(M8,0,0,1,channel_sales_months_to_productivity)),IF(sales_staffing_level="avg",AVERAGE(M8:OFFSET(M8,0,0,1,channel_sales_months_to_productivity)),)))</f>
        <v>#REF!</v>
      </c>
      <c r="N29" s="8" t="e">
        <f ca="1">IF(sales_staffing_level="min",MIN(N8:OFFSET(N8,0,0,1,channel_sales_months_to_productivity)),IF(sales_staffing_level="max",MAX(N8:OFFSET(N8,0,0,1,channel_sales_months_to_productivity)),IF(sales_staffing_level="avg",AVERAGE(N8:OFFSET(N8,0,0,1,channel_sales_months_to_productivity)),)))</f>
        <v>#REF!</v>
      </c>
      <c r="O29" s="8" t="e">
        <f ca="1">IF(sales_staffing_level="min",MIN(O8:OFFSET(O8,0,0,1,channel_sales_months_to_productivity)),IF(sales_staffing_level="max",MAX(O8:OFFSET(O8,0,0,1,channel_sales_months_to_productivity)),IF(sales_staffing_level="avg",AVERAGE(O8:OFFSET(O8,0,0,1,channel_sales_months_to_productivity)),)))</f>
        <v>#REF!</v>
      </c>
      <c r="P29" s="8" t="e">
        <f ca="1">IF(sales_staffing_level="min",MIN(P8:OFFSET(P8,0,0,1,channel_sales_months_to_productivity)),IF(sales_staffing_level="max",MAX(P8:OFFSET(P8,0,0,1,channel_sales_months_to_productivity)),IF(sales_staffing_level="avg",AVERAGE(P8:OFFSET(P8,0,0,1,channel_sales_months_to_productivity)),)))</f>
        <v>#REF!</v>
      </c>
      <c r="Q29" s="8" t="e">
        <f ca="1">IF(sales_staffing_level="min",MIN(Q8:OFFSET(Q8,0,0,1,channel_sales_months_to_productivity)),IF(sales_staffing_level="max",MAX(Q8:OFFSET(Q8,0,0,1,channel_sales_months_to_productivity)),IF(sales_staffing_level="avg",AVERAGE(Q8:OFFSET(Q8,0,0,1,channel_sales_months_to_productivity)),)))</f>
        <v>#REF!</v>
      </c>
      <c r="R29" s="8" t="e">
        <f ca="1">IF(sales_staffing_level="min",MIN(R8:OFFSET(R8,0,0,1,channel_sales_months_to_productivity)),IF(sales_staffing_level="max",MAX(R8:OFFSET(R8,0,0,1,channel_sales_months_to_productivity)),IF(sales_staffing_level="avg",AVERAGE(R8:OFFSET(R8,0,0,1,channel_sales_months_to_productivity)),)))</f>
        <v>#REF!</v>
      </c>
      <c r="S29" s="8" t="e">
        <f ca="1">IF(sales_staffing_level="min",MIN(S8:OFFSET(S8,0,0,1,channel_sales_months_to_productivity)),IF(sales_staffing_level="max",MAX(S8:OFFSET(S8,0,0,1,channel_sales_months_to_productivity)),IF(sales_staffing_level="avg",AVERAGE(S8:OFFSET(S8,0,0,1,channel_sales_months_to_productivity)),)))</f>
        <v>#REF!</v>
      </c>
      <c r="T29" s="8" t="e">
        <f ca="1">IF(sales_staffing_level="min",MIN(T8:OFFSET(T8,0,0,1,channel_sales_months_to_productivity)),IF(sales_staffing_level="max",MAX(T8:OFFSET(T8,0,0,1,channel_sales_months_to_productivity)),IF(sales_staffing_level="avg",AVERAGE(T8:OFFSET(T8,0,0,1,channel_sales_months_to_productivity)),)))</f>
        <v>#REF!</v>
      </c>
      <c r="U29" s="8" t="e">
        <f ca="1">IF(sales_staffing_level="min",MIN(U8:OFFSET(U8,0,0,1,channel_sales_months_to_productivity)),IF(sales_staffing_level="max",MAX(U8:OFFSET(U8,0,0,1,channel_sales_months_to_productivity)),IF(sales_staffing_level="avg",AVERAGE(U8:OFFSET(U8,0,0,1,channel_sales_months_to_productivity)),)))</f>
        <v>#REF!</v>
      </c>
      <c r="V29" s="8" t="e">
        <f ca="1">IF(sales_staffing_level="min",MIN(V8:OFFSET(V8,0,0,1,channel_sales_months_to_productivity)),IF(sales_staffing_level="max",MAX(V8:OFFSET(V8,0,0,1,channel_sales_months_to_productivity)),IF(sales_staffing_level="avg",AVERAGE(V8:OFFSET(V8,0,0,1,channel_sales_months_to_productivity)),)))</f>
        <v>#REF!</v>
      </c>
      <c r="W29" s="8" t="e">
        <f ca="1">IF(sales_staffing_level="min",MIN(W8:OFFSET(W8,0,0,1,channel_sales_months_to_productivity)),IF(sales_staffing_level="max",MAX(W8:OFFSET(W8,0,0,1,channel_sales_months_to_productivity)),IF(sales_staffing_level="avg",AVERAGE(W8:OFFSET(W8,0,0,1,channel_sales_months_to_productivity)),)))</f>
        <v>#REF!</v>
      </c>
      <c r="X29" s="8" t="e">
        <f ca="1">IF(sales_staffing_level="min",MIN(X8:OFFSET(X8,0,0,1,channel_sales_months_to_productivity)),IF(sales_staffing_level="max",MAX(X8:OFFSET(X8,0,0,1,channel_sales_months_to_productivity)),IF(sales_staffing_level="avg",AVERAGE(X8:OFFSET(X8,0,0,1,channel_sales_months_to_productivity)),)))</f>
        <v>#REF!</v>
      </c>
      <c r="Y29" s="8" t="e">
        <f ca="1">IF(sales_staffing_level="min",MIN(Y8:OFFSET(Y8,0,0,1,channel_sales_months_to_productivity)),IF(sales_staffing_level="max",MAX(Y8:OFFSET(Y8,0,0,1,channel_sales_months_to_productivity)),IF(sales_staffing_level="avg",AVERAGE(Y8:OFFSET(Y8,0,0,1,channel_sales_months_to_productivity)),)))</f>
        <v>#REF!</v>
      </c>
      <c r="Z29" s="8" t="e">
        <f ca="1">IF(sales_staffing_level="min",MIN(Z8:OFFSET(Z8,0,0,1,channel_sales_months_to_productivity)),IF(sales_staffing_level="max",MAX(Z8:OFFSET(Z8,0,0,1,channel_sales_months_to_productivity)),IF(sales_staffing_level="avg",AVERAGE(Z8:OFFSET(Z8,0,0,1,channel_sales_months_to_productivity)),)))</f>
        <v>#REF!</v>
      </c>
      <c r="AA29" s="8" t="e">
        <f ca="1">IF(sales_staffing_level="min",MIN(AA8:OFFSET(AA8,0,0,1,channel_sales_months_to_productivity)),IF(sales_staffing_level="max",MAX(AA8:OFFSET(AA8,0,0,1,channel_sales_months_to_productivity)),IF(sales_staffing_level="avg",AVERAGE(AA8:OFFSET(AA8,0,0,1,channel_sales_months_to_productivity)),)))</f>
        <v>#REF!</v>
      </c>
      <c r="AB29" s="8" t="e">
        <f ca="1">IF(sales_staffing_level="min",MIN(AB8:OFFSET(AB8,0,0,1,channel_sales_months_to_productivity)),IF(sales_staffing_level="max",MAX(AB8:OFFSET(AB8,0,0,1,channel_sales_months_to_productivity)),IF(sales_staffing_level="avg",AVERAGE(AB8:OFFSET(AB8,0,0,1,channel_sales_months_to_productivity)),)))</f>
        <v>#REF!</v>
      </c>
      <c r="AC29" s="8" t="e">
        <f ca="1">IF(sales_staffing_level="min",MIN(AC8:OFFSET(AC8,0,0,1,channel_sales_months_to_productivity)),IF(sales_staffing_level="max",MAX(AC8:OFFSET(AC8,0,0,1,channel_sales_months_to_productivity)),IF(sales_staffing_level="avg",AVERAGE(AC8:OFFSET(AC8,0,0,1,channel_sales_months_to_productivity)),)))</f>
        <v>#REF!</v>
      </c>
      <c r="AD29" s="8" t="e">
        <f ca="1">IF(sales_staffing_level="min",MIN(AD8:OFFSET(AD8,0,0,1,channel_sales_months_to_productivity)),IF(sales_staffing_level="max",MAX(AD8:OFFSET(AD8,0,0,1,channel_sales_months_to_productivity)),IF(sales_staffing_level="avg",AVERAGE(AD8:OFFSET(AD8,0,0,1,channel_sales_months_to_productivity)),)))</f>
        <v>#REF!</v>
      </c>
      <c r="AE29" s="8" t="e">
        <f ca="1">IF(sales_staffing_level="min",MIN(AE8:OFFSET(AE8,0,0,1,channel_sales_months_to_productivity)),IF(sales_staffing_level="max",MAX(AE8:OFFSET(AE8,0,0,1,channel_sales_months_to_productivity)),IF(sales_staffing_level="avg",AVERAGE(AE8:OFFSET(AE8,0,0,1,channel_sales_months_to_productivity)),)))</f>
        <v>#REF!</v>
      </c>
      <c r="AF29" s="8" t="e">
        <f ca="1">IF(sales_staffing_level="min",MIN(AF8:OFFSET(AF8,0,0,1,channel_sales_months_to_productivity)),IF(sales_staffing_level="max",MAX(AF8:OFFSET(AF8,0,0,1,channel_sales_months_to_productivity)),IF(sales_staffing_level="avg",AVERAGE(AF8:OFFSET(AF8,0,0,1,channel_sales_months_to_productivity)),)))</f>
        <v>#REF!</v>
      </c>
      <c r="AG29" s="8" t="e">
        <f ca="1">IF(sales_staffing_level="min",MIN(AG8:OFFSET(AG8,0,0,1,channel_sales_months_to_productivity)),IF(sales_staffing_level="max",MAX(AG8:OFFSET(AG8,0,0,1,channel_sales_months_to_productivity)),IF(sales_staffing_level="avg",AVERAGE(AG8:OFFSET(AG8,0,0,1,channel_sales_months_to_productivity)),)))</f>
        <v>#REF!</v>
      </c>
      <c r="AH29" s="8" t="e">
        <f ca="1">IF(sales_staffing_level="min",MIN(AH8:OFFSET(AH8,0,0,1,channel_sales_months_to_productivity)),IF(sales_staffing_level="max",MAX(AH8:OFFSET(AH8,0,0,1,channel_sales_months_to_productivity)),IF(sales_staffing_level="avg",AVERAGE(AH8:OFFSET(AH8,0,0,1,channel_sales_months_to_productivity)),)))</f>
        <v>#REF!</v>
      </c>
      <c r="AI29" s="8" t="e">
        <f ca="1">IF(sales_staffing_level="min",MIN(AI8:OFFSET(AI8,0,0,1,channel_sales_months_to_productivity)),IF(sales_staffing_level="max",MAX(AI8:OFFSET(AI8,0,0,1,channel_sales_months_to_productivity)),IF(sales_staffing_level="avg",AVERAGE(AI8:OFFSET(AI8,0,0,1,channel_sales_months_to_productivity)),)))</f>
        <v>#REF!</v>
      </c>
      <c r="AJ29" s="8" t="e">
        <f ca="1">IF(sales_staffing_level="min",MIN(AJ8:OFFSET(AJ8,0,0,1,channel_sales_months_to_productivity)),IF(sales_staffing_level="max",MAX(AJ8:OFFSET(AJ8,0,0,1,channel_sales_months_to_productivity)),IF(sales_staffing_level="avg",AVERAGE(AJ8:OFFSET(AJ8,0,0,1,channel_sales_months_to_productivity)),)))</f>
        <v>#REF!</v>
      </c>
      <c r="AK29" s="8" t="e">
        <f ca="1">IF(sales_staffing_level="min",MIN(AK8:OFFSET(AK8,0,0,1,channel_sales_months_to_productivity)),IF(sales_staffing_level="max",MAX(AK8:OFFSET(AK8,0,0,1,channel_sales_months_to_productivity)),IF(sales_staffing_level="avg",AVERAGE(AK8:OFFSET(AK8,0,0,1,channel_sales_months_to_productivity)),)))</f>
        <v>#REF!</v>
      </c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</row>
    <row r="30" spans="1:62" x14ac:dyDescent="0.3">
      <c r="A30" s="6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</row>
    <row r="31" spans="1:62" x14ac:dyDescent="0.3">
      <c r="A31" t="s">
        <v>50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</row>
    <row r="32" spans="1:62" x14ac:dyDescent="0.3">
      <c r="A32" s="6" t="s">
        <v>52</v>
      </c>
      <c r="B32" s="8" t="e">
        <f ca="1">IF(sales_staffing_level="min",MIN(B11:OFFSET(B11,0,0,1,channel_sales_months_to_productivity)),IF(sales_staffing_level="max",MAX(B11:OFFSET(B11,0,0,1,channel_sales_months_to_productivity)),IF(sales_staffing_level="avg",AVERAGE(B11:OFFSET(B11,0,0,1,channel_sales_months_to_productivity)),)))</f>
        <v>#REF!</v>
      </c>
      <c r="C32" s="8" t="e">
        <f ca="1">IF(sales_staffing_level="min",MIN(C11:OFFSET(C11,0,0,1,channel_sales_months_to_productivity)),IF(sales_staffing_level="max",MAX(C11:OFFSET(C11,0,0,1,channel_sales_months_to_productivity)),IF(sales_staffing_level="avg",AVERAGE(C11:OFFSET(C11,0,0,1,channel_sales_months_to_productivity)),)))</f>
        <v>#REF!</v>
      </c>
      <c r="D32" s="8" t="e">
        <f ca="1">IF(sales_staffing_level="min",MIN(D11:OFFSET(D11,0,0,1,channel_sales_months_to_productivity)),IF(sales_staffing_level="max",MAX(D11:OFFSET(D11,0,0,1,channel_sales_months_to_productivity)),IF(sales_staffing_level="avg",AVERAGE(D11:OFFSET(D11,0,0,1,channel_sales_months_to_productivity)),)))</f>
        <v>#REF!</v>
      </c>
      <c r="E32" s="8" t="e">
        <f ca="1">IF(sales_staffing_level="min",MIN(E11:OFFSET(E11,0,0,1,channel_sales_months_to_productivity)),IF(sales_staffing_level="max",MAX(E11:OFFSET(E11,0,0,1,channel_sales_months_to_productivity)),IF(sales_staffing_level="avg",AVERAGE(E11:OFFSET(E11,0,0,1,channel_sales_months_to_productivity)),)))</f>
        <v>#REF!</v>
      </c>
      <c r="F32" s="8" t="e">
        <f ca="1">IF(sales_staffing_level="min",MIN(F11:OFFSET(F11,0,0,1,channel_sales_months_to_productivity)),IF(sales_staffing_level="max",MAX(F11:OFFSET(F11,0,0,1,channel_sales_months_to_productivity)),IF(sales_staffing_level="avg",AVERAGE(F11:OFFSET(F11,0,0,1,channel_sales_months_to_productivity)),)))</f>
        <v>#REF!</v>
      </c>
      <c r="G32" s="8" t="e">
        <f ca="1">IF(sales_staffing_level="min",MIN(G11:OFFSET(G11,0,0,1,channel_sales_months_to_productivity)),IF(sales_staffing_level="max",MAX(G11:OFFSET(G11,0,0,1,channel_sales_months_to_productivity)),IF(sales_staffing_level="avg",AVERAGE(G11:OFFSET(G11,0,0,1,channel_sales_months_to_productivity)),)))</f>
        <v>#REF!</v>
      </c>
      <c r="H32" s="8" t="e">
        <f ca="1">IF(sales_staffing_level="min",MIN(H11:OFFSET(H11,0,0,1,channel_sales_months_to_productivity)),IF(sales_staffing_level="max",MAX(H11:OFFSET(H11,0,0,1,channel_sales_months_to_productivity)),IF(sales_staffing_level="avg",AVERAGE(H11:OFFSET(H11,0,0,1,channel_sales_months_to_productivity)),)))</f>
        <v>#REF!</v>
      </c>
      <c r="I32" s="8" t="e">
        <f ca="1">IF(sales_staffing_level="min",MIN(I11:OFFSET(I11,0,0,1,channel_sales_months_to_productivity)),IF(sales_staffing_level="max",MAX(I11:OFFSET(I11,0,0,1,channel_sales_months_to_productivity)),IF(sales_staffing_level="avg",AVERAGE(I11:OFFSET(I11,0,0,1,channel_sales_months_to_productivity)),)))</f>
        <v>#REF!</v>
      </c>
      <c r="J32" s="8" t="e">
        <f ca="1">IF(sales_staffing_level="min",MIN(J11:OFFSET(J11,0,0,1,channel_sales_months_to_productivity)),IF(sales_staffing_level="max",MAX(J11:OFFSET(J11,0,0,1,channel_sales_months_to_productivity)),IF(sales_staffing_level="avg",AVERAGE(J11:OFFSET(J11,0,0,1,channel_sales_months_to_productivity)),)))</f>
        <v>#REF!</v>
      </c>
      <c r="K32" s="8" t="e">
        <f ca="1">IF(sales_staffing_level="min",MIN(K11:OFFSET(K11,0,0,1,channel_sales_months_to_productivity)),IF(sales_staffing_level="max",MAX(K11:OFFSET(K11,0,0,1,channel_sales_months_to_productivity)),IF(sales_staffing_level="avg",AVERAGE(K11:OFFSET(K11,0,0,1,channel_sales_months_to_productivity)),)))</f>
        <v>#REF!</v>
      </c>
      <c r="L32" s="8" t="e">
        <f ca="1">IF(sales_staffing_level="min",MIN(L11:OFFSET(L11,0,0,1,channel_sales_months_to_productivity)),IF(sales_staffing_level="max",MAX(L11:OFFSET(L11,0,0,1,channel_sales_months_to_productivity)),IF(sales_staffing_level="avg",AVERAGE(L11:OFFSET(L11,0,0,1,channel_sales_months_to_productivity)),)))</f>
        <v>#REF!</v>
      </c>
      <c r="M32" s="8" t="e">
        <f ca="1">IF(sales_staffing_level="min",MIN(M11:OFFSET(M11,0,0,1,channel_sales_months_to_productivity)),IF(sales_staffing_level="max",MAX(M11:OFFSET(M11,0,0,1,channel_sales_months_to_productivity)),IF(sales_staffing_level="avg",AVERAGE(M11:OFFSET(M11,0,0,1,channel_sales_months_to_productivity)),)))</f>
        <v>#REF!</v>
      </c>
      <c r="N32" s="8" t="e">
        <f ca="1">IF(sales_staffing_level="min",MIN(N11:OFFSET(N11,0,0,1,channel_sales_months_to_productivity)),IF(sales_staffing_level="max",MAX(N11:OFFSET(N11,0,0,1,channel_sales_months_to_productivity)),IF(sales_staffing_level="avg",AVERAGE(N11:OFFSET(N11,0,0,1,channel_sales_months_to_productivity)),)))</f>
        <v>#REF!</v>
      </c>
      <c r="O32" s="8" t="e">
        <f ca="1">IF(sales_staffing_level="min",MIN(O11:OFFSET(O11,0,0,1,channel_sales_months_to_productivity)),IF(sales_staffing_level="max",MAX(O11:OFFSET(O11,0,0,1,channel_sales_months_to_productivity)),IF(sales_staffing_level="avg",AVERAGE(O11:OFFSET(O11,0,0,1,channel_sales_months_to_productivity)),)))</f>
        <v>#REF!</v>
      </c>
      <c r="P32" s="8" t="e">
        <f ca="1">IF(sales_staffing_level="min",MIN(P11:OFFSET(P11,0,0,1,channel_sales_months_to_productivity)),IF(sales_staffing_level="max",MAX(P11:OFFSET(P11,0,0,1,channel_sales_months_to_productivity)),IF(sales_staffing_level="avg",AVERAGE(P11:OFFSET(P11,0,0,1,channel_sales_months_to_productivity)),)))</f>
        <v>#REF!</v>
      </c>
      <c r="Q32" s="8" t="e">
        <f ca="1">IF(sales_staffing_level="min",MIN(Q11:OFFSET(Q11,0,0,1,channel_sales_months_to_productivity)),IF(sales_staffing_level="max",MAX(Q11:OFFSET(Q11,0,0,1,channel_sales_months_to_productivity)),IF(sales_staffing_level="avg",AVERAGE(Q11:OFFSET(Q11,0,0,1,channel_sales_months_to_productivity)),)))</f>
        <v>#REF!</v>
      </c>
      <c r="R32" s="8" t="e">
        <f ca="1">IF(sales_staffing_level="min",MIN(R11:OFFSET(R11,0,0,1,channel_sales_months_to_productivity)),IF(sales_staffing_level="max",MAX(R11:OFFSET(R11,0,0,1,channel_sales_months_to_productivity)),IF(sales_staffing_level="avg",AVERAGE(R11:OFFSET(R11,0,0,1,channel_sales_months_to_productivity)),)))</f>
        <v>#REF!</v>
      </c>
      <c r="S32" s="8" t="e">
        <f ca="1">IF(sales_staffing_level="min",MIN(S11:OFFSET(S11,0,0,1,channel_sales_months_to_productivity)),IF(sales_staffing_level="max",MAX(S11:OFFSET(S11,0,0,1,channel_sales_months_to_productivity)),IF(sales_staffing_level="avg",AVERAGE(S11:OFFSET(S11,0,0,1,channel_sales_months_to_productivity)),)))</f>
        <v>#REF!</v>
      </c>
      <c r="T32" s="8" t="e">
        <f ca="1">IF(sales_staffing_level="min",MIN(T11:OFFSET(T11,0,0,1,channel_sales_months_to_productivity)),IF(sales_staffing_level="max",MAX(T11:OFFSET(T11,0,0,1,channel_sales_months_to_productivity)),IF(sales_staffing_level="avg",AVERAGE(T11:OFFSET(T11,0,0,1,channel_sales_months_to_productivity)),)))</f>
        <v>#REF!</v>
      </c>
      <c r="U32" s="8" t="e">
        <f ca="1">IF(sales_staffing_level="min",MIN(U11:OFFSET(U11,0,0,1,channel_sales_months_to_productivity)),IF(sales_staffing_level="max",MAX(U11:OFFSET(U11,0,0,1,channel_sales_months_to_productivity)),IF(sales_staffing_level="avg",AVERAGE(U11:OFFSET(U11,0,0,1,channel_sales_months_to_productivity)),)))</f>
        <v>#REF!</v>
      </c>
      <c r="V32" s="8" t="e">
        <f ca="1">IF(sales_staffing_level="min",MIN(V11:OFFSET(V11,0,0,1,channel_sales_months_to_productivity)),IF(sales_staffing_level="max",MAX(V11:OFFSET(V11,0,0,1,channel_sales_months_to_productivity)),IF(sales_staffing_level="avg",AVERAGE(V11:OFFSET(V11,0,0,1,channel_sales_months_to_productivity)),)))</f>
        <v>#REF!</v>
      </c>
      <c r="W32" s="8" t="e">
        <f ca="1">IF(sales_staffing_level="min",MIN(W11:OFFSET(W11,0,0,1,channel_sales_months_to_productivity)),IF(sales_staffing_level="max",MAX(W11:OFFSET(W11,0,0,1,channel_sales_months_to_productivity)),IF(sales_staffing_level="avg",AVERAGE(W11:OFFSET(W11,0,0,1,channel_sales_months_to_productivity)),)))</f>
        <v>#REF!</v>
      </c>
      <c r="X32" s="8" t="e">
        <f ca="1">IF(sales_staffing_level="min",MIN(X11:OFFSET(X11,0,0,1,channel_sales_months_to_productivity)),IF(sales_staffing_level="max",MAX(X11:OFFSET(X11,0,0,1,channel_sales_months_to_productivity)),IF(sales_staffing_level="avg",AVERAGE(X11:OFFSET(X11,0,0,1,channel_sales_months_to_productivity)),)))</f>
        <v>#REF!</v>
      </c>
      <c r="Y32" s="8" t="e">
        <f ca="1">IF(sales_staffing_level="min",MIN(Y11:OFFSET(Y11,0,0,1,channel_sales_months_to_productivity)),IF(sales_staffing_level="max",MAX(Y11:OFFSET(Y11,0,0,1,channel_sales_months_to_productivity)),IF(sales_staffing_level="avg",AVERAGE(Y11:OFFSET(Y11,0,0,1,channel_sales_months_to_productivity)),)))</f>
        <v>#REF!</v>
      </c>
      <c r="Z32" s="8" t="e">
        <f ca="1">IF(sales_staffing_level="min",MIN(Z11:OFFSET(Z11,0,0,1,channel_sales_months_to_productivity)),IF(sales_staffing_level="max",MAX(Z11:OFFSET(Z11,0,0,1,channel_sales_months_to_productivity)),IF(sales_staffing_level="avg",AVERAGE(Z11:OFFSET(Z11,0,0,1,channel_sales_months_to_productivity)),)))</f>
        <v>#REF!</v>
      </c>
      <c r="AA32" s="8" t="e">
        <f ca="1">IF(sales_staffing_level="min",MIN(AA11:OFFSET(AA11,0,0,1,channel_sales_months_to_productivity)),IF(sales_staffing_level="max",MAX(AA11:OFFSET(AA11,0,0,1,channel_sales_months_to_productivity)),IF(sales_staffing_level="avg",AVERAGE(AA11:OFFSET(AA11,0,0,1,channel_sales_months_to_productivity)),)))</f>
        <v>#REF!</v>
      </c>
      <c r="AB32" s="8" t="e">
        <f ca="1">IF(sales_staffing_level="min",MIN(AB11:OFFSET(AB11,0,0,1,channel_sales_months_to_productivity)),IF(sales_staffing_level="max",MAX(AB11:OFFSET(AB11,0,0,1,channel_sales_months_to_productivity)),IF(sales_staffing_level="avg",AVERAGE(AB11:OFFSET(AB11,0,0,1,channel_sales_months_to_productivity)),)))</f>
        <v>#REF!</v>
      </c>
      <c r="AC32" s="8" t="e">
        <f ca="1">IF(sales_staffing_level="min",MIN(AC11:OFFSET(AC11,0,0,1,channel_sales_months_to_productivity)),IF(sales_staffing_level="max",MAX(AC11:OFFSET(AC11,0,0,1,channel_sales_months_to_productivity)),IF(sales_staffing_level="avg",AVERAGE(AC11:OFFSET(AC11,0,0,1,channel_sales_months_to_productivity)),)))</f>
        <v>#REF!</v>
      </c>
      <c r="AD32" s="8" t="e">
        <f ca="1">IF(sales_staffing_level="min",MIN(AD11:OFFSET(AD11,0,0,1,channel_sales_months_to_productivity)),IF(sales_staffing_level="max",MAX(AD11:OFFSET(AD11,0,0,1,channel_sales_months_to_productivity)),IF(sales_staffing_level="avg",AVERAGE(AD11:OFFSET(AD11,0,0,1,channel_sales_months_to_productivity)),)))</f>
        <v>#REF!</v>
      </c>
      <c r="AE32" s="8" t="e">
        <f ca="1">IF(sales_staffing_level="min",MIN(AE11:OFFSET(AE11,0,0,1,channel_sales_months_to_productivity)),IF(sales_staffing_level="max",MAX(AE11:OFFSET(AE11,0,0,1,channel_sales_months_to_productivity)),IF(sales_staffing_level="avg",AVERAGE(AE11:OFFSET(AE11,0,0,1,channel_sales_months_to_productivity)),)))</f>
        <v>#REF!</v>
      </c>
      <c r="AF32" s="8" t="e">
        <f ca="1">IF(sales_staffing_level="min",MIN(AF11:OFFSET(AF11,0,0,1,channel_sales_months_to_productivity)),IF(sales_staffing_level="max",MAX(AF11:OFFSET(AF11,0,0,1,channel_sales_months_to_productivity)),IF(sales_staffing_level="avg",AVERAGE(AF11:OFFSET(AF11,0,0,1,channel_sales_months_to_productivity)),)))</f>
        <v>#REF!</v>
      </c>
      <c r="AG32" s="8" t="e">
        <f ca="1">IF(sales_staffing_level="min",MIN(AG11:OFFSET(AG11,0,0,1,channel_sales_months_to_productivity)),IF(sales_staffing_level="max",MAX(AG11:OFFSET(AG11,0,0,1,channel_sales_months_to_productivity)),IF(sales_staffing_level="avg",AVERAGE(AG11:OFFSET(AG11,0,0,1,channel_sales_months_to_productivity)),)))</f>
        <v>#REF!</v>
      </c>
      <c r="AH32" s="8" t="e">
        <f ca="1">IF(sales_staffing_level="min",MIN(AH11:OFFSET(AH11,0,0,1,channel_sales_months_to_productivity)),IF(sales_staffing_level="max",MAX(AH11:OFFSET(AH11,0,0,1,channel_sales_months_to_productivity)),IF(sales_staffing_level="avg",AVERAGE(AH11:OFFSET(AH11,0,0,1,channel_sales_months_to_productivity)),)))</f>
        <v>#REF!</v>
      </c>
      <c r="AI32" s="8" t="e">
        <f ca="1">IF(sales_staffing_level="min",MIN(AI11:OFFSET(AI11,0,0,1,channel_sales_months_to_productivity)),IF(sales_staffing_level="max",MAX(AI11:OFFSET(AI11,0,0,1,channel_sales_months_to_productivity)),IF(sales_staffing_level="avg",AVERAGE(AI11:OFFSET(AI11,0,0,1,channel_sales_months_to_productivity)),)))</f>
        <v>#REF!</v>
      </c>
      <c r="AJ32" s="8" t="e">
        <f ca="1">IF(sales_staffing_level="min",MIN(AJ11:OFFSET(AJ11,0,0,1,channel_sales_months_to_productivity)),IF(sales_staffing_level="max",MAX(AJ11:OFFSET(AJ11,0,0,1,channel_sales_months_to_productivity)),IF(sales_staffing_level="avg",AVERAGE(AJ11:OFFSET(AJ11,0,0,1,channel_sales_months_to_productivity)),)))</f>
        <v>#REF!</v>
      </c>
      <c r="AK32" s="8" t="e">
        <f ca="1">IF(sales_staffing_level="min",MIN(AK11:OFFSET(AK11,0,0,1,channel_sales_months_to_productivity)),IF(sales_staffing_level="max",MAX(AK11:OFFSET(AK11,0,0,1,channel_sales_months_to_productivity)),IF(sales_staffing_level="avg",AVERAGE(AK11:OFFSET(AK11,0,0,1,channel_sales_months_to_productivity)),)))</f>
        <v>#REF!</v>
      </c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</row>
    <row r="33" spans="1:61" x14ac:dyDescent="0.3">
      <c r="A33" s="6" t="s">
        <v>53</v>
      </c>
      <c r="B33" s="8" t="e">
        <f ca="1">IF(sales_staffing_level="min",MIN(B12:OFFSET(B12,0,0,1,channel_sales_months_to_productivity)),IF(sales_staffing_level="max",MAX(B12:OFFSET(B12,0,0,1,channel_sales_months_to_productivity)),IF(sales_staffing_level="avg",AVERAGE(B12:OFFSET(B12,0,0,1,channel_sales_months_to_productivity)),)))</f>
        <v>#REF!</v>
      </c>
      <c r="C33" s="8" t="e">
        <f ca="1">IF(sales_staffing_level="min",MIN(C12:OFFSET(C12,0,0,1,channel_sales_months_to_productivity)),IF(sales_staffing_level="max",MAX(C12:OFFSET(C12,0,0,1,channel_sales_months_to_productivity)),IF(sales_staffing_level="avg",AVERAGE(C12:OFFSET(C12,0,0,1,channel_sales_months_to_productivity)),)))</f>
        <v>#REF!</v>
      </c>
      <c r="D33" s="8" t="e">
        <f ca="1">IF(sales_staffing_level="min",MIN(D12:OFFSET(D12,0,0,1,channel_sales_months_to_productivity)),IF(sales_staffing_level="max",MAX(D12:OFFSET(D12,0,0,1,channel_sales_months_to_productivity)),IF(sales_staffing_level="avg",AVERAGE(D12:OFFSET(D12,0,0,1,channel_sales_months_to_productivity)),)))</f>
        <v>#REF!</v>
      </c>
      <c r="E33" s="8" t="e">
        <f ca="1">IF(sales_staffing_level="min",MIN(E12:OFFSET(E12,0,0,1,channel_sales_months_to_productivity)),IF(sales_staffing_level="max",MAX(E12:OFFSET(E12,0,0,1,channel_sales_months_to_productivity)),IF(sales_staffing_level="avg",AVERAGE(E12:OFFSET(E12,0,0,1,channel_sales_months_to_productivity)),)))</f>
        <v>#REF!</v>
      </c>
      <c r="F33" s="8" t="e">
        <f ca="1">IF(sales_staffing_level="min",MIN(F12:OFFSET(F12,0,0,1,channel_sales_months_to_productivity)),IF(sales_staffing_level="max",MAX(F12:OFFSET(F12,0,0,1,channel_sales_months_to_productivity)),IF(sales_staffing_level="avg",AVERAGE(F12:OFFSET(F12,0,0,1,channel_sales_months_to_productivity)),)))</f>
        <v>#REF!</v>
      </c>
      <c r="G33" s="8" t="e">
        <f ca="1">IF(sales_staffing_level="min",MIN(G12:OFFSET(G12,0,0,1,channel_sales_months_to_productivity)),IF(sales_staffing_level="max",MAX(G12:OFFSET(G12,0,0,1,channel_sales_months_to_productivity)),IF(sales_staffing_level="avg",AVERAGE(G12:OFFSET(G12,0,0,1,channel_sales_months_to_productivity)),)))</f>
        <v>#REF!</v>
      </c>
      <c r="H33" s="8" t="e">
        <f ca="1">IF(sales_staffing_level="min",MIN(H12:OFFSET(H12,0,0,1,channel_sales_months_to_productivity)),IF(sales_staffing_level="max",MAX(H12:OFFSET(H12,0,0,1,channel_sales_months_to_productivity)),IF(sales_staffing_level="avg",AVERAGE(H12:OFFSET(H12,0,0,1,channel_sales_months_to_productivity)),)))</f>
        <v>#REF!</v>
      </c>
      <c r="I33" s="8" t="e">
        <f ca="1">IF(sales_staffing_level="min",MIN(I12:OFFSET(I12,0,0,1,channel_sales_months_to_productivity)),IF(sales_staffing_level="max",MAX(I12:OFFSET(I12,0,0,1,channel_sales_months_to_productivity)),IF(sales_staffing_level="avg",AVERAGE(I12:OFFSET(I12,0,0,1,channel_sales_months_to_productivity)),)))</f>
        <v>#REF!</v>
      </c>
      <c r="J33" s="8" t="e">
        <f ca="1">IF(sales_staffing_level="min",MIN(J12:OFFSET(J12,0,0,1,channel_sales_months_to_productivity)),IF(sales_staffing_level="max",MAX(J12:OFFSET(J12,0,0,1,channel_sales_months_to_productivity)),IF(sales_staffing_level="avg",AVERAGE(J12:OFFSET(J12,0,0,1,channel_sales_months_to_productivity)),)))</f>
        <v>#REF!</v>
      </c>
      <c r="K33" s="8" t="e">
        <f ca="1">IF(sales_staffing_level="min",MIN(K12:OFFSET(K12,0,0,1,channel_sales_months_to_productivity)),IF(sales_staffing_level="max",MAX(K12:OFFSET(K12,0,0,1,channel_sales_months_to_productivity)),IF(sales_staffing_level="avg",AVERAGE(K12:OFFSET(K12,0,0,1,channel_sales_months_to_productivity)),)))</f>
        <v>#REF!</v>
      </c>
      <c r="L33" s="8" t="e">
        <f ca="1">IF(sales_staffing_level="min",MIN(L12:OFFSET(L12,0,0,1,channel_sales_months_to_productivity)),IF(sales_staffing_level="max",MAX(L12:OFFSET(L12,0,0,1,channel_sales_months_to_productivity)),IF(sales_staffing_level="avg",AVERAGE(L12:OFFSET(L12,0,0,1,channel_sales_months_to_productivity)),)))</f>
        <v>#REF!</v>
      </c>
      <c r="M33" s="8" t="e">
        <f ca="1">IF(sales_staffing_level="min",MIN(M12:OFFSET(M12,0,0,1,channel_sales_months_to_productivity)),IF(sales_staffing_level="max",MAX(M12:OFFSET(M12,0,0,1,channel_sales_months_to_productivity)),IF(sales_staffing_level="avg",AVERAGE(M12:OFFSET(M12,0,0,1,channel_sales_months_to_productivity)),)))</f>
        <v>#REF!</v>
      </c>
      <c r="N33" s="8" t="e">
        <f ca="1">IF(sales_staffing_level="min",MIN(N12:OFFSET(N12,0,0,1,channel_sales_months_to_productivity)),IF(sales_staffing_level="max",MAX(N12:OFFSET(N12,0,0,1,channel_sales_months_to_productivity)),IF(sales_staffing_level="avg",AVERAGE(N12:OFFSET(N12,0,0,1,channel_sales_months_to_productivity)),)))</f>
        <v>#REF!</v>
      </c>
      <c r="O33" s="8" t="e">
        <f ca="1">IF(sales_staffing_level="min",MIN(O12:OFFSET(O12,0,0,1,channel_sales_months_to_productivity)),IF(sales_staffing_level="max",MAX(O12:OFFSET(O12,0,0,1,channel_sales_months_to_productivity)),IF(sales_staffing_level="avg",AVERAGE(O12:OFFSET(O12,0,0,1,channel_sales_months_to_productivity)),)))</f>
        <v>#REF!</v>
      </c>
      <c r="P33" s="8" t="e">
        <f ca="1">IF(sales_staffing_level="min",MIN(P12:OFFSET(P12,0,0,1,channel_sales_months_to_productivity)),IF(sales_staffing_level="max",MAX(P12:OFFSET(P12,0,0,1,channel_sales_months_to_productivity)),IF(sales_staffing_level="avg",AVERAGE(P12:OFFSET(P12,0,0,1,channel_sales_months_to_productivity)),)))</f>
        <v>#REF!</v>
      </c>
      <c r="Q33" s="8" t="e">
        <f ca="1">IF(sales_staffing_level="min",MIN(Q12:OFFSET(Q12,0,0,1,channel_sales_months_to_productivity)),IF(sales_staffing_level="max",MAX(Q12:OFFSET(Q12,0,0,1,channel_sales_months_to_productivity)),IF(sales_staffing_level="avg",AVERAGE(Q12:OFFSET(Q12,0,0,1,channel_sales_months_to_productivity)),)))</f>
        <v>#REF!</v>
      </c>
      <c r="R33" s="8" t="e">
        <f ca="1">IF(sales_staffing_level="min",MIN(R12:OFFSET(R12,0,0,1,channel_sales_months_to_productivity)),IF(sales_staffing_level="max",MAX(R12:OFFSET(R12,0,0,1,channel_sales_months_to_productivity)),IF(sales_staffing_level="avg",AVERAGE(R12:OFFSET(R12,0,0,1,channel_sales_months_to_productivity)),)))</f>
        <v>#REF!</v>
      </c>
      <c r="S33" s="8" t="e">
        <f ca="1">IF(sales_staffing_level="min",MIN(S12:OFFSET(S12,0,0,1,channel_sales_months_to_productivity)),IF(sales_staffing_level="max",MAX(S12:OFFSET(S12,0,0,1,channel_sales_months_to_productivity)),IF(sales_staffing_level="avg",AVERAGE(S12:OFFSET(S12,0,0,1,channel_sales_months_to_productivity)),)))</f>
        <v>#REF!</v>
      </c>
      <c r="T33" s="8" t="e">
        <f ca="1">IF(sales_staffing_level="min",MIN(T12:OFFSET(T12,0,0,1,channel_sales_months_to_productivity)),IF(sales_staffing_level="max",MAX(T12:OFFSET(T12,0,0,1,channel_sales_months_to_productivity)),IF(sales_staffing_level="avg",AVERAGE(T12:OFFSET(T12,0,0,1,channel_sales_months_to_productivity)),)))</f>
        <v>#REF!</v>
      </c>
      <c r="U33" s="8" t="e">
        <f ca="1">IF(sales_staffing_level="min",MIN(U12:OFFSET(U12,0,0,1,channel_sales_months_to_productivity)),IF(sales_staffing_level="max",MAX(U12:OFFSET(U12,0,0,1,channel_sales_months_to_productivity)),IF(sales_staffing_level="avg",AVERAGE(U12:OFFSET(U12,0,0,1,channel_sales_months_to_productivity)),)))</f>
        <v>#REF!</v>
      </c>
      <c r="V33" s="8" t="e">
        <f ca="1">IF(sales_staffing_level="min",MIN(V12:OFFSET(V12,0,0,1,channel_sales_months_to_productivity)),IF(sales_staffing_level="max",MAX(V12:OFFSET(V12,0,0,1,channel_sales_months_to_productivity)),IF(sales_staffing_level="avg",AVERAGE(V12:OFFSET(V12,0,0,1,channel_sales_months_to_productivity)),)))</f>
        <v>#REF!</v>
      </c>
      <c r="W33" s="8" t="e">
        <f ca="1">IF(sales_staffing_level="min",MIN(W12:OFFSET(W12,0,0,1,channel_sales_months_to_productivity)),IF(sales_staffing_level="max",MAX(W12:OFFSET(W12,0,0,1,channel_sales_months_to_productivity)),IF(sales_staffing_level="avg",AVERAGE(W12:OFFSET(W12,0,0,1,channel_sales_months_to_productivity)),)))</f>
        <v>#REF!</v>
      </c>
      <c r="X33" s="8" t="e">
        <f ca="1">IF(sales_staffing_level="min",MIN(X12:OFFSET(X12,0,0,1,channel_sales_months_to_productivity)),IF(sales_staffing_level="max",MAX(X12:OFFSET(X12,0,0,1,channel_sales_months_to_productivity)),IF(sales_staffing_level="avg",AVERAGE(X12:OFFSET(X12,0,0,1,channel_sales_months_to_productivity)),)))</f>
        <v>#REF!</v>
      </c>
      <c r="Y33" s="8" t="e">
        <f ca="1">IF(sales_staffing_level="min",MIN(Y12:OFFSET(Y12,0,0,1,channel_sales_months_to_productivity)),IF(sales_staffing_level="max",MAX(Y12:OFFSET(Y12,0,0,1,channel_sales_months_to_productivity)),IF(sales_staffing_level="avg",AVERAGE(Y12:OFFSET(Y12,0,0,1,channel_sales_months_to_productivity)),)))</f>
        <v>#REF!</v>
      </c>
      <c r="Z33" s="8" t="e">
        <f ca="1">IF(sales_staffing_level="min",MIN(Z12:OFFSET(Z12,0,0,1,channel_sales_months_to_productivity)),IF(sales_staffing_level="max",MAX(Z12:OFFSET(Z12,0,0,1,channel_sales_months_to_productivity)),IF(sales_staffing_level="avg",AVERAGE(Z12:OFFSET(Z12,0,0,1,channel_sales_months_to_productivity)),)))</f>
        <v>#REF!</v>
      </c>
      <c r="AA33" s="8" t="e">
        <f ca="1">IF(sales_staffing_level="min",MIN(AA12:OFFSET(AA12,0,0,1,channel_sales_months_to_productivity)),IF(sales_staffing_level="max",MAX(AA12:OFFSET(AA12,0,0,1,channel_sales_months_to_productivity)),IF(sales_staffing_level="avg",AVERAGE(AA12:OFFSET(AA12,0,0,1,channel_sales_months_to_productivity)),)))</f>
        <v>#REF!</v>
      </c>
      <c r="AB33" s="8" t="e">
        <f ca="1">IF(sales_staffing_level="min",MIN(AB12:OFFSET(AB12,0,0,1,channel_sales_months_to_productivity)),IF(sales_staffing_level="max",MAX(AB12:OFFSET(AB12,0,0,1,channel_sales_months_to_productivity)),IF(sales_staffing_level="avg",AVERAGE(AB12:OFFSET(AB12,0,0,1,channel_sales_months_to_productivity)),)))</f>
        <v>#REF!</v>
      </c>
      <c r="AC33" s="8" t="e">
        <f ca="1">IF(sales_staffing_level="min",MIN(AC12:OFFSET(AC12,0,0,1,channel_sales_months_to_productivity)),IF(sales_staffing_level="max",MAX(AC12:OFFSET(AC12,0,0,1,channel_sales_months_to_productivity)),IF(sales_staffing_level="avg",AVERAGE(AC12:OFFSET(AC12,0,0,1,channel_sales_months_to_productivity)),)))</f>
        <v>#REF!</v>
      </c>
      <c r="AD33" s="8" t="e">
        <f ca="1">IF(sales_staffing_level="min",MIN(AD12:OFFSET(AD12,0,0,1,channel_sales_months_to_productivity)),IF(sales_staffing_level="max",MAX(AD12:OFFSET(AD12,0,0,1,channel_sales_months_to_productivity)),IF(sales_staffing_level="avg",AVERAGE(AD12:OFFSET(AD12,0,0,1,channel_sales_months_to_productivity)),)))</f>
        <v>#REF!</v>
      </c>
      <c r="AE33" s="8" t="e">
        <f ca="1">IF(sales_staffing_level="min",MIN(AE12:OFFSET(AE12,0,0,1,channel_sales_months_to_productivity)),IF(sales_staffing_level="max",MAX(AE12:OFFSET(AE12,0,0,1,channel_sales_months_to_productivity)),IF(sales_staffing_level="avg",AVERAGE(AE12:OFFSET(AE12,0,0,1,channel_sales_months_to_productivity)),)))</f>
        <v>#REF!</v>
      </c>
      <c r="AF33" s="8" t="e">
        <f ca="1">IF(sales_staffing_level="min",MIN(AF12:OFFSET(AF12,0,0,1,channel_sales_months_to_productivity)),IF(sales_staffing_level="max",MAX(AF12:OFFSET(AF12,0,0,1,channel_sales_months_to_productivity)),IF(sales_staffing_level="avg",AVERAGE(AF12:OFFSET(AF12,0,0,1,channel_sales_months_to_productivity)),)))</f>
        <v>#REF!</v>
      </c>
      <c r="AG33" s="8" t="e">
        <f ca="1">IF(sales_staffing_level="min",MIN(AG12:OFFSET(AG12,0,0,1,channel_sales_months_to_productivity)),IF(sales_staffing_level="max",MAX(AG12:OFFSET(AG12,0,0,1,channel_sales_months_to_productivity)),IF(sales_staffing_level="avg",AVERAGE(AG12:OFFSET(AG12,0,0,1,channel_sales_months_to_productivity)),)))</f>
        <v>#REF!</v>
      </c>
      <c r="AH33" s="8" t="e">
        <f ca="1">IF(sales_staffing_level="min",MIN(AH12:OFFSET(AH12,0,0,1,channel_sales_months_to_productivity)),IF(sales_staffing_level="max",MAX(AH12:OFFSET(AH12,0,0,1,channel_sales_months_to_productivity)),IF(sales_staffing_level="avg",AVERAGE(AH12:OFFSET(AH12,0,0,1,channel_sales_months_to_productivity)),)))</f>
        <v>#REF!</v>
      </c>
      <c r="AI33" s="8" t="e">
        <f ca="1">IF(sales_staffing_level="min",MIN(AI12:OFFSET(AI12,0,0,1,channel_sales_months_to_productivity)),IF(sales_staffing_level="max",MAX(AI12:OFFSET(AI12,0,0,1,channel_sales_months_to_productivity)),IF(sales_staffing_level="avg",AVERAGE(AI12:OFFSET(AI12,0,0,1,channel_sales_months_to_productivity)),)))</f>
        <v>#REF!</v>
      </c>
      <c r="AJ33" s="8" t="e">
        <f ca="1">IF(sales_staffing_level="min",MIN(AJ12:OFFSET(AJ12,0,0,1,channel_sales_months_to_productivity)),IF(sales_staffing_level="max",MAX(AJ12:OFFSET(AJ12,0,0,1,channel_sales_months_to_productivity)),IF(sales_staffing_level="avg",AVERAGE(AJ12:OFFSET(AJ12,0,0,1,channel_sales_months_to_productivity)),)))</f>
        <v>#REF!</v>
      </c>
      <c r="AK33" s="8" t="e">
        <f ca="1">IF(sales_staffing_level="min",MIN(AK12:OFFSET(AK12,0,0,1,channel_sales_months_to_productivity)),IF(sales_staffing_level="max",MAX(AK12:OFFSET(AK12,0,0,1,channel_sales_months_to_productivity)),IF(sales_staffing_level="avg",AVERAGE(AK12:OFFSET(AK12,0,0,1,channel_sales_months_to_productivity)),)))</f>
        <v>#REF!</v>
      </c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</row>
    <row r="34" spans="1:61" x14ac:dyDescent="0.3">
      <c r="A34" s="6" t="s">
        <v>54</v>
      </c>
      <c r="B34" s="8" t="e">
        <f ca="1">IF(sales_staffing_level="min",MIN(B13:OFFSET(B13,0,0,1,channel_sales_months_to_productivity)),IF(sales_staffing_level="max",MAX(B13:OFFSET(B13,0,0,1,channel_sales_months_to_productivity)),IF(sales_staffing_level="avg",AVERAGE(B13:OFFSET(B13,0,0,1,channel_sales_months_to_productivity)),)))</f>
        <v>#REF!</v>
      </c>
      <c r="C34" s="8" t="e">
        <f ca="1">IF(sales_staffing_level="min",MIN(C13:OFFSET(C13,0,0,1,channel_sales_months_to_productivity)),IF(sales_staffing_level="max",MAX(C13:OFFSET(C13,0,0,1,channel_sales_months_to_productivity)),IF(sales_staffing_level="avg",AVERAGE(C13:OFFSET(C13,0,0,1,channel_sales_months_to_productivity)),)))</f>
        <v>#REF!</v>
      </c>
      <c r="D34" s="8" t="e">
        <f ca="1">IF(sales_staffing_level="min",MIN(D13:OFFSET(D13,0,0,1,channel_sales_months_to_productivity)),IF(sales_staffing_level="max",MAX(D13:OFFSET(D13,0,0,1,channel_sales_months_to_productivity)),IF(sales_staffing_level="avg",AVERAGE(D13:OFFSET(D13,0,0,1,channel_sales_months_to_productivity)),)))</f>
        <v>#REF!</v>
      </c>
      <c r="E34" s="8" t="e">
        <f ca="1">IF(sales_staffing_level="min",MIN(E13:OFFSET(E13,0,0,1,channel_sales_months_to_productivity)),IF(sales_staffing_level="max",MAX(E13:OFFSET(E13,0,0,1,channel_sales_months_to_productivity)),IF(sales_staffing_level="avg",AVERAGE(E13:OFFSET(E13,0,0,1,channel_sales_months_to_productivity)),)))</f>
        <v>#REF!</v>
      </c>
      <c r="F34" s="8" t="e">
        <f ca="1">IF(sales_staffing_level="min",MIN(F13:OFFSET(F13,0,0,1,channel_sales_months_to_productivity)),IF(sales_staffing_level="max",MAX(F13:OFFSET(F13,0,0,1,channel_sales_months_to_productivity)),IF(sales_staffing_level="avg",AVERAGE(F13:OFFSET(F13,0,0,1,channel_sales_months_to_productivity)),)))</f>
        <v>#REF!</v>
      </c>
      <c r="G34" s="8" t="e">
        <f ca="1">IF(sales_staffing_level="min",MIN(G13:OFFSET(G13,0,0,1,channel_sales_months_to_productivity)),IF(sales_staffing_level="max",MAX(G13:OFFSET(G13,0,0,1,channel_sales_months_to_productivity)),IF(sales_staffing_level="avg",AVERAGE(G13:OFFSET(G13,0,0,1,channel_sales_months_to_productivity)),)))</f>
        <v>#REF!</v>
      </c>
      <c r="H34" s="8" t="e">
        <f ca="1">IF(sales_staffing_level="min",MIN(H13:OFFSET(H13,0,0,1,channel_sales_months_to_productivity)),IF(sales_staffing_level="max",MAX(H13:OFFSET(H13,0,0,1,channel_sales_months_to_productivity)),IF(sales_staffing_level="avg",AVERAGE(H13:OFFSET(H13,0,0,1,channel_sales_months_to_productivity)),)))</f>
        <v>#REF!</v>
      </c>
      <c r="I34" s="8" t="e">
        <f ca="1">IF(sales_staffing_level="min",MIN(I13:OFFSET(I13,0,0,1,channel_sales_months_to_productivity)),IF(sales_staffing_level="max",MAX(I13:OFFSET(I13,0,0,1,channel_sales_months_to_productivity)),IF(sales_staffing_level="avg",AVERAGE(I13:OFFSET(I13,0,0,1,channel_sales_months_to_productivity)),)))</f>
        <v>#REF!</v>
      </c>
      <c r="J34" s="8" t="e">
        <f ca="1">IF(sales_staffing_level="min",MIN(J13:OFFSET(J13,0,0,1,channel_sales_months_to_productivity)),IF(sales_staffing_level="max",MAX(J13:OFFSET(J13,0,0,1,channel_sales_months_to_productivity)),IF(sales_staffing_level="avg",AVERAGE(J13:OFFSET(J13,0,0,1,channel_sales_months_to_productivity)),)))</f>
        <v>#REF!</v>
      </c>
      <c r="K34" s="8" t="e">
        <f ca="1">IF(sales_staffing_level="min",MIN(K13:OFFSET(K13,0,0,1,channel_sales_months_to_productivity)),IF(sales_staffing_level="max",MAX(K13:OFFSET(K13,0,0,1,channel_sales_months_to_productivity)),IF(sales_staffing_level="avg",AVERAGE(K13:OFFSET(K13,0,0,1,channel_sales_months_to_productivity)),)))</f>
        <v>#REF!</v>
      </c>
      <c r="L34" s="8" t="e">
        <f ca="1">IF(sales_staffing_level="min",MIN(L13:OFFSET(L13,0,0,1,channel_sales_months_to_productivity)),IF(sales_staffing_level="max",MAX(L13:OFFSET(L13,0,0,1,channel_sales_months_to_productivity)),IF(sales_staffing_level="avg",AVERAGE(L13:OFFSET(L13,0,0,1,channel_sales_months_to_productivity)),)))</f>
        <v>#REF!</v>
      </c>
      <c r="M34" s="8" t="e">
        <f ca="1">IF(sales_staffing_level="min",MIN(M13:OFFSET(M13,0,0,1,channel_sales_months_to_productivity)),IF(sales_staffing_level="max",MAX(M13:OFFSET(M13,0,0,1,channel_sales_months_to_productivity)),IF(sales_staffing_level="avg",AVERAGE(M13:OFFSET(M13,0,0,1,channel_sales_months_to_productivity)),)))</f>
        <v>#REF!</v>
      </c>
      <c r="N34" s="8" t="e">
        <f ca="1">IF(sales_staffing_level="min",MIN(N13:OFFSET(N13,0,0,1,channel_sales_months_to_productivity)),IF(sales_staffing_level="max",MAX(N13:OFFSET(N13,0,0,1,channel_sales_months_to_productivity)),IF(sales_staffing_level="avg",AVERAGE(N13:OFFSET(N13,0,0,1,channel_sales_months_to_productivity)),)))</f>
        <v>#REF!</v>
      </c>
      <c r="O34" s="8" t="e">
        <f ca="1">IF(sales_staffing_level="min",MIN(O13:OFFSET(O13,0,0,1,channel_sales_months_to_productivity)),IF(sales_staffing_level="max",MAX(O13:OFFSET(O13,0,0,1,channel_sales_months_to_productivity)),IF(sales_staffing_level="avg",AVERAGE(O13:OFFSET(O13,0,0,1,channel_sales_months_to_productivity)),)))</f>
        <v>#REF!</v>
      </c>
      <c r="P34" s="8" t="e">
        <f ca="1">IF(sales_staffing_level="min",MIN(P13:OFFSET(P13,0,0,1,channel_sales_months_to_productivity)),IF(sales_staffing_level="max",MAX(P13:OFFSET(P13,0,0,1,channel_sales_months_to_productivity)),IF(sales_staffing_level="avg",AVERAGE(P13:OFFSET(P13,0,0,1,channel_sales_months_to_productivity)),)))</f>
        <v>#REF!</v>
      </c>
      <c r="Q34" s="8" t="e">
        <f ca="1">IF(sales_staffing_level="min",MIN(Q13:OFFSET(Q13,0,0,1,channel_sales_months_to_productivity)),IF(sales_staffing_level="max",MAX(Q13:OFFSET(Q13,0,0,1,channel_sales_months_to_productivity)),IF(sales_staffing_level="avg",AVERAGE(Q13:OFFSET(Q13,0,0,1,channel_sales_months_to_productivity)),)))</f>
        <v>#REF!</v>
      </c>
      <c r="R34" s="8" t="e">
        <f ca="1">IF(sales_staffing_level="min",MIN(R13:OFFSET(R13,0,0,1,channel_sales_months_to_productivity)),IF(sales_staffing_level="max",MAX(R13:OFFSET(R13,0,0,1,channel_sales_months_to_productivity)),IF(sales_staffing_level="avg",AVERAGE(R13:OFFSET(R13,0,0,1,channel_sales_months_to_productivity)),)))</f>
        <v>#REF!</v>
      </c>
      <c r="S34" s="8" t="e">
        <f ca="1">IF(sales_staffing_level="min",MIN(S13:OFFSET(S13,0,0,1,channel_sales_months_to_productivity)),IF(sales_staffing_level="max",MAX(S13:OFFSET(S13,0,0,1,channel_sales_months_to_productivity)),IF(sales_staffing_level="avg",AVERAGE(S13:OFFSET(S13,0,0,1,channel_sales_months_to_productivity)),)))</f>
        <v>#REF!</v>
      </c>
      <c r="T34" s="8" t="e">
        <f ca="1">IF(sales_staffing_level="min",MIN(T13:OFFSET(T13,0,0,1,channel_sales_months_to_productivity)),IF(sales_staffing_level="max",MAX(T13:OFFSET(T13,0,0,1,channel_sales_months_to_productivity)),IF(sales_staffing_level="avg",AVERAGE(T13:OFFSET(T13,0,0,1,channel_sales_months_to_productivity)),)))</f>
        <v>#REF!</v>
      </c>
      <c r="U34" s="8" t="e">
        <f ca="1">IF(sales_staffing_level="min",MIN(U13:OFFSET(U13,0,0,1,channel_sales_months_to_productivity)),IF(sales_staffing_level="max",MAX(U13:OFFSET(U13,0,0,1,channel_sales_months_to_productivity)),IF(sales_staffing_level="avg",AVERAGE(U13:OFFSET(U13,0,0,1,channel_sales_months_to_productivity)),)))</f>
        <v>#REF!</v>
      </c>
      <c r="V34" s="8" t="e">
        <f ca="1">IF(sales_staffing_level="min",MIN(V13:OFFSET(V13,0,0,1,channel_sales_months_to_productivity)),IF(sales_staffing_level="max",MAX(V13:OFFSET(V13,0,0,1,channel_sales_months_to_productivity)),IF(sales_staffing_level="avg",AVERAGE(V13:OFFSET(V13,0,0,1,channel_sales_months_to_productivity)),)))</f>
        <v>#REF!</v>
      </c>
      <c r="W34" s="8" t="e">
        <f ca="1">IF(sales_staffing_level="min",MIN(W13:OFFSET(W13,0,0,1,channel_sales_months_to_productivity)),IF(sales_staffing_level="max",MAX(W13:OFFSET(W13,0,0,1,channel_sales_months_to_productivity)),IF(sales_staffing_level="avg",AVERAGE(W13:OFFSET(W13,0,0,1,channel_sales_months_to_productivity)),)))</f>
        <v>#REF!</v>
      </c>
      <c r="X34" s="8" t="e">
        <f ca="1">IF(sales_staffing_level="min",MIN(X13:OFFSET(X13,0,0,1,channel_sales_months_to_productivity)),IF(sales_staffing_level="max",MAX(X13:OFFSET(X13,0,0,1,channel_sales_months_to_productivity)),IF(sales_staffing_level="avg",AVERAGE(X13:OFFSET(X13,0,0,1,channel_sales_months_to_productivity)),)))</f>
        <v>#REF!</v>
      </c>
      <c r="Y34" s="8" t="e">
        <f ca="1">IF(sales_staffing_level="min",MIN(Y13:OFFSET(Y13,0,0,1,channel_sales_months_to_productivity)),IF(sales_staffing_level="max",MAX(Y13:OFFSET(Y13,0,0,1,channel_sales_months_to_productivity)),IF(sales_staffing_level="avg",AVERAGE(Y13:OFFSET(Y13,0,0,1,channel_sales_months_to_productivity)),)))</f>
        <v>#REF!</v>
      </c>
      <c r="Z34" s="8" t="e">
        <f ca="1">IF(sales_staffing_level="min",MIN(Z13:OFFSET(Z13,0,0,1,channel_sales_months_to_productivity)),IF(sales_staffing_level="max",MAX(Z13:OFFSET(Z13,0,0,1,channel_sales_months_to_productivity)),IF(sales_staffing_level="avg",AVERAGE(Z13:OFFSET(Z13,0,0,1,channel_sales_months_to_productivity)),)))</f>
        <v>#REF!</v>
      </c>
      <c r="AA34" s="8" t="e">
        <f ca="1">IF(sales_staffing_level="min",MIN(AA13:OFFSET(AA13,0,0,1,channel_sales_months_to_productivity)),IF(sales_staffing_level="max",MAX(AA13:OFFSET(AA13,0,0,1,channel_sales_months_to_productivity)),IF(sales_staffing_level="avg",AVERAGE(AA13:OFFSET(AA13,0,0,1,channel_sales_months_to_productivity)),)))</f>
        <v>#REF!</v>
      </c>
      <c r="AB34" s="8" t="e">
        <f ca="1">IF(sales_staffing_level="min",MIN(AB13:OFFSET(AB13,0,0,1,channel_sales_months_to_productivity)),IF(sales_staffing_level="max",MAX(AB13:OFFSET(AB13,0,0,1,channel_sales_months_to_productivity)),IF(sales_staffing_level="avg",AVERAGE(AB13:OFFSET(AB13,0,0,1,channel_sales_months_to_productivity)),)))</f>
        <v>#REF!</v>
      </c>
      <c r="AC34" s="8" t="e">
        <f ca="1">IF(sales_staffing_level="min",MIN(AC13:OFFSET(AC13,0,0,1,channel_sales_months_to_productivity)),IF(sales_staffing_level="max",MAX(AC13:OFFSET(AC13,0,0,1,channel_sales_months_to_productivity)),IF(sales_staffing_level="avg",AVERAGE(AC13:OFFSET(AC13,0,0,1,channel_sales_months_to_productivity)),)))</f>
        <v>#REF!</v>
      </c>
      <c r="AD34" s="8" t="e">
        <f ca="1">IF(sales_staffing_level="min",MIN(AD13:OFFSET(AD13,0,0,1,channel_sales_months_to_productivity)),IF(sales_staffing_level="max",MAX(AD13:OFFSET(AD13,0,0,1,channel_sales_months_to_productivity)),IF(sales_staffing_level="avg",AVERAGE(AD13:OFFSET(AD13,0,0,1,channel_sales_months_to_productivity)),)))</f>
        <v>#REF!</v>
      </c>
      <c r="AE34" s="8" t="e">
        <f ca="1">IF(sales_staffing_level="min",MIN(AE13:OFFSET(AE13,0,0,1,channel_sales_months_to_productivity)),IF(sales_staffing_level="max",MAX(AE13:OFFSET(AE13,0,0,1,channel_sales_months_to_productivity)),IF(sales_staffing_level="avg",AVERAGE(AE13:OFFSET(AE13,0,0,1,channel_sales_months_to_productivity)),)))</f>
        <v>#REF!</v>
      </c>
      <c r="AF34" s="8" t="e">
        <f ca="1">IF(sales_staffing_level="min",MIN(AF13:OFFSET(AF13,0,0,1,channel_sales_months_to_productivity)),IF(sales_staffing_level="max",MAX(AF13:OFFSET(AF13,0,0,1,channel_sales_months_to_productivity)),IF(sales_staffing_level="avg",AVERAGE(AF13:OFFSET(AF13,0,0,1,channel_sales_months_to_productivity)),)))</f>
        <v>#REF!</v>
      </c>
      <c r="AG34" s="8" t="e">
        <f ca="1">IF(sales_staffing_level="min",MIN(AG13:OFFSET(AG13,0,0,1,channel_sales_months_to_productivity)),IF(sales_staffing_level="max",MAX(AG13:OFFSET(AG13,0,0,1,channel_sales_months_to_productivity)),IF(sales_staffing_level="avg",AVERAGE(AG13:OFFSET(AG13,0,0,1,channel_sales_months_to_productivity)),)))</f>
        <v>#REF!</v>
      </c>
      <c r="AH34" s="8" t="e">
        <f ca="1">IF(sales_staffing_level="min",MIN(AH13:OFFSET(AH13,0,0,1,channel_sales_months_to_productivity)),IF(sales_staffing_level="max",MAX(AH13:OFFSET(AH13,0,0,1,channel_sales_months_to_productivity)),IF(sales_staffing_level="avg",AVERAGE(AH13:OFFSET(AH13,0,0,1,channel_sales_months_to_productivity)),)))</f>
        <v>#REF!</v>
      </c>
      <c r="AI34" s="8" t="e">
        <f ca="1">IF(sales_staffing_level="min",MIN(AI13:OFFSET(AI13,0,0,1,channel_sales_months_to_productivity)),IF(sales_staffing_level="max",MAX(AI13:OFFSET(AI13,0,0,1,channel_sales_months_to_productivity)),IF(sales_staffing_level="avg",AVERAGE(AI13:OFFSET(AI13,0,0,1,channel_sales_months_to_productivity)),)))</f>
        <v>#REF!</v>
      </c>
      <c r="AJ34" s="8" t="e">
        <f ca="1">IF(sales_staffing_level="min",MIN(AJ13:OFFSET(AJ13,0,0,1,channel_sales_months_to_productivity)),IF(sales_staffing_level="max",MAX(AJ13:OFFSET(AJ13,0,0,1,channel_sales_months_to_productivity)),IF(sales_staffing_level="avg",AVERAGE(AJ13:OFFSET(AJ13,0,0,1,channel_sales_months_to_productivity)),)))</f>
        <v>#REF!</v>
      </c>
      <c r="AK34" s="8" t="e">
        <f ca="1">IF(sales_staffing_level="min",MIN(AK13:OFFSET(AK13,0,0,1,channel_sales_months_to_productivity)),IF(sales_staffing_level="max",MAX(AK13:OFFSET(AK13,0,0,1,channel_sales_months_to_productivity)),IF(sales_staffing_level="avg",AVERAGE(AK13:OFFSET(AK13,0,0,1,channel_sales_months_to_productivity)),)))</f>
        <v>#REF!</v>
      </c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</row>
    <row r="36" spans="1:61" x14ac:dyDescent="0.3">
      <c r="A36" t="s">
        <v>51</v>
      </c>
    </row>
    <row r="37" spans="1:61" x14ac:dyDescent="0.3">
      <c r="A37" s="6" t="s">
        <v>52</v>
      </c>
      <c r="B37" s="8" t="e">
        <f ca="1">IF(sales_staffing_level="min",MIN(B16:OFFSET(B16,0,0,1,channel_sales_months_to_productivity)),IF(sales_staffing_level="max",MAX(B16:OFFSET(B16,0,0,1,channel_sales_months_to_productivity)),IF(sales_staffing_level="avg",AVERAGE(B16:OFFSET(B16,0,0,1,channel_sales_months_to_productivity)),)))</f>
        <v>#REF!</v>
      </c>
      <c r="C37" s="8" t="e">
        <f ca="1">IF(sales_staffing_level="min",MIN(C16:OFFSET(C16,0,0,1,channel_sales_months_to_productivity)),IF(sales_staffing_level="max",MAX(C16:OFFSET(C16,0,0,1,channel_sales_months_to_productivity)),IF(sales_staffing_level="avg",AVERAGE(C16:OFFSET(C16,0,0,1,channel_sales_months_to_productivity)),)))</f>
        <v>#REF!</v>
      </c>
      <c r="D37" s="8" t="e">
        <f ca="1">IF(sales_staffing_level="min",MIN(D16:OFFSET(D16,0,0,1,channel_sales_months_to_productivity)),IF(sales_staffing_level="max",MAX(D16:OFFSET(D16,0,0,1,channel_sales_months_to_productivity)),IF(sales_staffing_level="avg",AVERAGE(D16:OFFSET(D16,0,0,1,channel_sales_months_to_productivity)),)))</f>
        <v>#REF!</v>
      </c>
      <c r="E37" s="8" t="e">
        <f ca="1">IF(sales_staffing_level="min",MIN(E16:OFFSET(E16,0,0,1,channel_sales_months_to_productivity)),IF(sales_staffing_level="max",MAX(E16:OFFSET(E16,0,0,1,channel_sales_months_to_productivity)),IF(sales_staffing_level="avg",AVERAGE(E16:OFFSET(E16,0,0,1,channel_sales_months_to_productivity)),)))</f>
        <v>#REF!</v>
      </c>
      <c r="F37" s="8" t="e">
        <f ca="1">IF(sales_staffing_level="min",MIN(F16:OFFSET(F16,0,0,1,channel_sales_months_to_productivity)),IF(sales_staffing_level="max",MAX(F16:OFFSET(F16,0,0,1,channel_sales_months_to_productivity)),IF(sales_staffing_level="avg",AVERAGE(F16:OFFSET(F16,0,0,1,channel_sales_months_to_productivity)),)))</f>
        <v>#REF!</v>
      </c>
      <c r="G37" s="8" t="e">
        <f ca="1">IF(sales_staffing_level="min",MIN(G16:OFFSET(G16,0,0,1,channel_sales_months_to_productivity)),IF(sales_staffing_level="max",MAX(G16:OFFSET(G16,0,0,1,channel_sales_months_to_productivity)),IF(sales_staffing_level="avg",AVERAGE(G16:OFFSET(G16,0,0,1,channel_sales_months_to_productivity)),)))</f>
        <v>#REF!</v>
      </c>
      <c r="H37" s="8" t="e">
        <f ca="1">IF(sales_staffing_level="min",MIN(H16:OFFSET(H16,0,0,1,channel_sales_months_to_productivity)),IF(sales_staffing_level="max",MAX(H16:OFFSET(H16,0,0,1,channel_sales_months_to_productivity)),IF(sales_staffing_level="avg",AVERAGE(H16:OFFSET(H16,0,0,1,channel_sales_months_to_productivity)),)))</f>
        <v>#REF!</v>
      </c>
      <c r="I37" s="8" t="e">
        <f ca="1">IF(sales_staffing_level="min",MIN(I16:OFFSET(I16,0,0,1,channel_sales_months_to_productivity)),IF(sales_staffing_level="max",MAX(I16:OFFSET(I16,0,0,1,channel_sales_months_to_productivity)),IF(sales_staffing_level="avg",AVERAGE(I16:OFFSET(I16,0,0,1,channel_sales_months_to_productivity)),)))</f>
        <v>#REF!</v>
      </c>
      <c r="J37" s="8" t="e">
        <f ca="1">IF(sales_staffing_level="min",MIN(J16:OFFSET(J16,0,0,1,channel_sales_months_to_productivity)),IF(sales_staffing_level="max",MAX(J16:OFFSET(J16,0,0,1,channel_sales_months_to_productivity)),IF(sales_staffing_level="avg",AVERAGE(J16:OFFSET(J16,0,0,1,channel_sales_months_to_productivity)),)))</f>
        <v>#REF!</v>
      </c>
      <c r="K37" s="8" t="e">
        <f ca="1">IF(sales_staffing_level="min",MIN(K16:OFFSET(K16,0,0,1,channel_sales_months_to_productivity)),IF(sales_staffing_level="max",MAX(K16:OFFSET(K16,0,0,1,channel_sales_months_to_productivity)),IF(sales_staffing_level="avg",AVERAGE(K16:OFFSET(K16,0,0,1,channel_sales_months_to_productivity)),)))</f>
        <v>#REF!</v>
      </c>
      <c r="L37" s="8" t="e">
        <f ca="1">IF(sales_staffing_level="min",MIN(L16:OFFSET(L16,0,0,1,channel_sales_months_to_productivity)),IF(sales_staffing_level="max",MAX(L16:OFFSET(L16,0,0,1,channel_sales_months_to_productivity)),IF(sales_staffing_level="avg",AVERAGE(L16:OFFSET(L16,0,0,1,channel_sales_months_to_productivity)),)))</f>
        <v>#REF!</v>
      </c>
      <c r="M37" s="8" t="e">
        <f ca="1">IF(sales_staffing_level="min",MIN(M16:OFFSET(M16,0,0,1,channel_sales_months_to_productivity)),IF(sales_staffing_level="max",MAX(M16:OFFSET(M16,0,0,1,channel_sales_months_to_productivity)),IF(sales_staffing_level="avg",AVERAGE(M16:OFFSET(M16,0,0,1,channel_sales_months_to_productivity)),)))</f>
        <v>#REF!</v>
      </c>
      <c r="N37" s="8" t="e">
        <f ca="1">IF(sales_staffing_level="min",MIN(N16:OFFSET(N16,0,0,1,channel_sales_months_to_productivity)),IF(sales_staffing_level="max",MAX(N16:OFFSET(N16,0,0,1,channel_sales_months_to_productivity)),IF(sales_staffing_level="avg",AVERAGE(N16:OFFSET(N16,0,0,1,channel_sales_months_to_productivity)),)))</f>
        <v>#REF!</v>
      </c>
      <c r="O37" s="8" t="e">
        <f ca="1">IF(sales_staffing_level="min",MIN(O16:OFFSET(O16,0,0,1,channel_sales_months_to_productivity)),IF(sales_staffing_level="max",MAX(O16:OFFSET(O16,0,0,1,channel_sales_months_to_productivity)),IF(sales_staffing_level="avg",AVERAGE(O16:OFFSET(O16,0,0,1,channel_sales_months_to_productivity)),)))</f>
        <v>#REF!</v>
      </c>
      <c r="P37" s="8" t="e">
        <f ca="1">IF(sales_staffing_level="min",MIN(P16:OFFSET(P16,0,0,1,channel_sales_months_to_productivity)),IF(sales_staffing_level="max",MAX(P16:OFFSET(P16,0,0,1,channel_sales_months_to_productivity)),IF(sales_staffing_level="avg",AVERAGE(P16:OFFSET(P16,0,0,1,channel_sales_months_to_productivity)),)))</f>
        <v>#REF!</v>
      </c>
      <c r="Q37" s="8" t="e">
        <f ca="1">IF(sales_staffing_level="min",MIN(Q16:OFFSET(Q16,0,0,1,channel_sales_months_to_productivity)),IF(sales_staffing_level="max",MAX(Q16:OFFSET(Q16,0,0,1,channel_sales_months_to_productivity)),IF(sales_staffing_level="avg",AVERAGE(Q16:OFFSET(Q16,0,0,1,channel_sales_months_to_productivity)),)))</f>
        <v>#REF!</v>
      </c>
      <c r="R37" s="8" t="e">
        <f ca="1">IF(sales_staffing_level="min",MIN(R16:OFFSET(R16,0,0,1,channel_sales_months_to_productivity)),IF(sales_staffing_level="max",MAX(R16:OFFSET(R16,0,0,1,channel_sales_months_to_productivity)),IF(sales_staffing_level="avg",AVERAGE(R16:OFFSET(R16,0,0,1,channel_sales_months_to_productivity)),)))</f>
        <v>#REF!</v>
      </c>
      <c r="S37" s="8" t="e">
        <f ca="1">IF(sales_staffing_level="min",MIN(S16:OFFSET(S16,0,0,1,channel_sales_months_to_productivity)),IF(sales_staffing_level="max",MAX(S16:OFFSET(S16,0,0,1,channel_sales_months_to_productivity)),IF(sales_staffing_level="avg",AVERAGE(S16:OFFSET(S16,0,0,1,channel_sales_months_to_productivity)),)))</f>
        <v>#REF!</v>
      </c>
      <c r="T37" s="8" t="e">
        <f ca="1">IF(sales_staffing_level="min",MIN(T16:OFFSET(T16,0,0,1,channel_sales_months_to_productivity)),IF(sales_staffing_level="max",MAX(T16:OFFSET(T16,0,0,1,channel_sales_months_to_productivity)),IF(sales_staffing_level="avg",AVERAGE(T16:OFFSET(T16,0,0,1,channel_sales_months_to_productivity)),)))</f>
        <v>#REF!</v>
      </c>
      <c r="U37" s="8" t="e">
        <f ca="1">IF(sales_staffing_level="min",MIN(U16:OFFSET(U16,0,0,1,channel_sales_months_to_productivity)),IF(sales_staffing_level="max",MAX(U16:OFFSET(U16,0,0,1,channel_sales_months_to_productivity)),IF(sales_staffing_level="avg",AVERAGE(U16:OFFSET(U16,0,0,1,channel_sales_months_to_productivity)),)))</f>
        <v>#REF!</v>
      </c>
      <c r="V37" s="8" t="e">
        <f ca="1">IF(sales_staffing_level="min",MIN(V16:OFFSET(V16,0,0,1,channel_sales_months_to_productivity)),IF(sales_staffing_level="max",MAX(V16:OFFSET(V16,0,0,1,channel_sales_months_to_productivity)),IF(sales_staffing_level="avg",AVERAGE(V16:OFFSET(V16,0,0,1,channel_sales_months_to_productivity)),)))</f>
        <v>#REF!</v>
      </c>
      <c r="W37" s="8" t="e">
        <f ca="1">IF(sales_staffing_level="min",MIN(W16:OFFSET(W16,0,0,1,channel_sales_months_to_productivity)),IF(sales_staffing_level="max",MAX(W16:OFFSET(W16,0,0,1,channel_sales_months_to_productivity)),IF(sales_staffing_level="avg",AVERAGE(W16:OFFSET(W16,0,0,1,channel_sales_months_to_productivity)),)))</f>
        <v>#REF!</v>
      </c>
      <c r="X37" s="8" t="e">
        <f ca="1">IF(sales_staffing_level="min",MIN(X16:OFFSET(X16,0,0,1,channel_sales_months_to_productivity)),IF(sales_staffing_level="max",MAX(X16:OFFSET(X16,0,0,1,channel_sales_months_to_productivity)),IF(sales_staffing_level="avg",AVERAGE(X16:OFFSET(X16,0,0,1,channel_sales_months_to_productivity)),)))</f>
        <v>#REF!</v>
      </c>
      <c r="Y37" s="8" t="e">
        <f ca="1">IF(sales_staffing_level="min",MIN(Y16:OFFSET(Y16,0,0,1,channel_sales_months_to_productivity)),IF(sales_staffing_level="max",MAX(Y16:OFFSET(Y16,0,0,1,channel_sales_months_to_productivity)),IF(sales_staffing_level="avg",AVERAGE(Y16:OFFSET(Y16,0,0,1,channel_sales_months_to_productivity)),)))</f>
        <v>#REF!</v>
      </c>
      <c r="Z37" s="8" t="e">
        <f ca="1">IF(sales_staffing_level="min",MIN(Z16:OFFSET(Z16,0,0,1,channel_sales_months_to_productivity)),IF(sales_staffing_level="max",MAX(Z16:OFFSET(Z16,0,0,1,channel_sales_months_to_productivity)),IF(sales_staffing_level="avg",AVERAGE(Z16:OFFSET(Z16,0,0,1,channel_sales_months_to_productivity)),)))</f>
        <v>#REF!</v>
      </c>
      <c r="AA37" s="8" t="e">
        <f ca="1">IF(sales_staffing_level="min",MIN(AA16:OFFSET(AA16,0,0,1,channel_sales_months_to_productivity)),IF(sales_staffing_level="max",MAX(AA16:OFFSET(AA16,0,0,1,channel_sales_months_to_productivity)),IF(sales_staffing_level="avg",AVERAGE(AA16:OFFSET(AA16,0,0,1,channel_sales_months_to_productivity)),)))</f>
        <v>#REF!</v>
      </c>
      <c r="AB37" s="8" t="e">
        <f ca="1">IF(sales_staffing_level="min",MIN(AB16:OFFSET(AB16,0,0,1,channel_sales_months_to_productivity)),IF(sales_staffing_level="max",MAX(AB16:OFFSET(AB16,0,0,1,channel_sales_months_to_productivity)),IF(sales_staffing_level="avg",AVERAGE(AB16:OFFSET(AB16,0,0,1,channel_sales_months_to_productivity)),)))</f>
        <v>#REF!</v>
      </c>
      <c r="AC37" s="8" t="e">
        <f ca="1">IF(sales_staffing_level="min",MIN(AC16:OFFSET(AC16,0,0,1,channel_sales_months_to_productivity)),IF(sales_staffing_level="max",MAX(AC16:OFFSET(AC16,0,0,1,channel_sales_months_to_productivity)),IF(sales_staffing_level="avg",AVERAGE(AC16:OFFSET(AC16,0,0,1,channel_sales_months_to_productivity)),)))</f>
        <v>#REF!</v>
      </c>
      <c r="AD37" s="8" t="e">
        <f ca="1">IF(sales_staffing_level="min",MIN(AD16:OFFSET(AD16,0,0,1,channel_sales_months_to_productivity)),IF(sales_staffing_level="max",MAX(AD16:OFFSET(AD16,0,0,1,channel_sales_months_to_productivity)),IF(sales_staffing_level="avg",AVERAGE(AD16:OFFSET(AD16,0,0,1,channel_sales_months_to_productivity)),)))</f>
        <v>#REF!</v>
      </c>
      <c r="AE37" s="8" t="e">
        <f ca="1">IF(sales_staffing_level="min",MIN(AE16:OFFSET(AE16,0,0,1,channel_sales_months_to_productivity)),IF(sales_staffing_level="max",MAX(AE16:OFFSET(AE16,0,0,1,channel_sales_months_to_productivity)),IF(sales_staffing_level="avg",AVERAGE(AE16:OFFSET(AE16,0,0,1,channel_sales_months_to_productivity)),)))</f>
        <v>#REF!</v>
      </c>
      <c r="AF37" s="8" t="e">
        <f ca="1">IF(sales_staffing_level="min",MIN(AF16:OFFSET(AF16,0,0,1,channel_sales_months_to_productivity)),IF(sales_staffing_level="max",MAX(AF16:OFFSET(AF16,0,0,1,channel_sales_months_to_productivity)),IF(sales_staffing_level="avg",AVERAGE(AF16:OFFSET(AF16,0,0,1,channel_sales_months_to_productivity)),)))</f>
        <v>#REF!</v>
      </c>
      <c r="AG37" s="8" t="e">
        <f ca="1">IF(sales_staffing_level="min",MIN(AG16:OFFSET(AG16,0,0,1,channel_sales_months_to_productivity)),IF(sales_staffing_level="max",MAX(AG16:OFFSET(AG16,0,0,1,channel_sales_months_to_productivity)),IF(sales_staffing_level="avg",AVERAGE(AG16:OFFSET(AG16,0,0,1,channel_sales_months_to_productivity)),)))</f>
        <v>#REF!</v>
      </c>
      <c r="AH37" s="8" t="e">
        <f ca="1">IF(sales_staffing_level="min",MIN(AH16:OFFSET(AH16,0,0,1,channel_sales_months_to_productivity)),IF(sales_staffing_level="max",MAX(AH16:OFFSET(AH16,0,0,1,channel_sales_months_to_productivity)),IF(sales_staffing_level="avg",AVERAGE(AH16:OFFSET(AH16,0,0,1,channel_sales_months_to_productivity)),)))</f>
        <v>#REF!</v>
      </c>
      <c r="AI37" s="8" t="e">
        <f ca="1">IF(sales_staffing_level="min",MIN(AI16:OFFSET(AI16,0,0,1,channel_sales_months_to_productivity)),IF(sales_staffing_level="max",MAX(AI16:OFFSET(AI16,0,0,1,channel_sales_months_to_productivity)),IF(sales_staffing_level="avg",AVERAGE(AI16:OFFSET(AI16,0,0,1,channel_sales_months_to_productivity)),)))</f>
        <v>#REF!</v>
      </c>
      <c r="AJ37" s="8" t="e">
        <f ca="1">IF(sales_staffing_level="min",MIN(AJ16:OFFSET(AJ16,0,0,1,channel_sales_months_to_productivity)),IF(sales_staffing_level="max",MAX(AJ16:OFFSET(AJ16,0,0,1,channel_sales_months_to_productivity)),IF(sales_staffing_level="avg",AVERAGE(AJ16:OFFSET(AJ16,0,0,1,channel_sales_months_to_productivity)),)))</f>
        <v>#REF!</v>
      </c>
      <c r="AK37" s="8" t="e">
        <f ca="1">IF(sales_staffing_level="min",MIN(AK16:OFFSET(AK16,0,0,1,channel_sales_months_to_productivity)),IF(sales_staffing_level="max",MAX(AK16:OFFSET(AK16,0,0,1,channel_sales_months_to_productivity)),IF(sales_staffing_level="avg",AVERAGE(AK16:OFFSET(AK16,0,0,1,channel_sales_months_to_productivity)),)))</f>
        <v>#REF!</v>
      </c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</row>
    <row r="38" spans="1:61" x14ac:dyDescent="0.3">
      <c r="A38" s="6" t="s">
        <v>53</v>
      </c>
      <c r="B38" s="8" t="e">
        <f ca="1">IF(sales_staffing_level="min",MIN(B17:OFFSET(B17,0,0,1,channel_sales_months_to_productivity)),IF(sales_staffing_level="max",MAX(B17:OFFSET(B17,0,0,1,channel_sales_months_to_productivity)),IF(sales_staffing_level="avg",AVERAGE(B17:OFFSET(B17,0,0,1,channel_sales_months_to_productivity)),)))</f>
        <v>#REF!</v>
      </c>
      <c r="C38" s="8" t="e">
        <f ca="1">IF(sales_staffing_level="min",MIN(C17:OFFSET(C17,0,0,1,channel_sales_months_to_productivity)),IF(sales_staffing_level="max",MAX(C17:OFFSET(C17,0,0,1,channel_sales_months_to_productivity)),IF(sales_staffing_level="avg",AVERAGE(C17:OFFSET(C17,0,0,1,channel_sales_months_to_productivity)),)))</f>
        <v>#REF!</v>
      </c>
      <c r="D38" s="8" t="e">
        <f ca="1">IF(sales_staffing_level="min",MIN(D17:OFFSET(D17,0,0,1,channel_sales_months_to_productivity)),IF(sales_staffing_level="max",MAX(D17:OFFSET(D17,0,0,1,channel_sales_months_to_productivity)),IF(sales_staffing_level="avg",AVERAGE(D17:OFFSET(D17,0,0,1,channel_sales_months_to_productivity)),)))</f>
        <v>#REF!</v>
      </c>
      <c r="E38" s="8" t="e">
        <f ca="1">IF(sales_staffing_level="min",MIN(E17:OFFSET(E17,0,0,1,channel_sales_months_to_productivity)),IF(sales_staffing_level="max",MAX(E17:OFFSET(E17,0,0,1,channel_sales_months_to_productivity)),IF(sales_staffing_level="avg",AVERAGE(E17:OFFSET(E17,0,0,1,channel_sales_months_to_productivity)),)))</f>
        <v>#REF!</v>
      </c>
      <c r="F38" s="8" t="e">
        <f ca="1">IF(sales_staffing_level="min",MIN(F17:OFFSET(F17,0,0,1,channel_sales_months_to_productivity)),IF(sales_staffing_level="max",MAX(F17:OFFSET(F17,0,0,1,channel_sales_months_to_productivity)),IF(sales_staffing_level="avg",AVERAGE(F17:OFFSET(F17,0,0,1,channel_sales_months_to_productivity)),)))</f>
        <v>#REF!</v>
      </c>
      <c r="G38" s="8" t="e">
        <f ca="1">IF(sales_staffing_level="min",MIN(G17:OFFSET(G17,0,0,1,channel_sales_months_to_productivity)),IF(sales_staffing_level="max",MAX(G17:OFFSET(G17,0,0,1,channel_sales_months_to_productivity)),IF(sales_staffing_level="avg",AVERAGE(G17:OFFSET(G17,0,0,1,channel_sales_months_to_productivity)),)))</f>
        <v>#REF!</v>
      </c>
      <c r="H38" s="8" t="e">
        <f ca="1">IF(sales_staffing_level="min",MIN(H17:OFFSET(H17,0,0,1,channel_sales_months_to_productivity)),IF(sales_staffing_level="max",MAX(H17:OFFSET(H17,0,0,1,channel_sales_months_to_productivity)),IF(sales_staffing_level="avg",AVERAGE(H17:OFFSET(H17,0,0,1,channel_sales_months_to_productivity)),)))</f>
        <v>#REF!</v>
      </c>
      <c r="I38" s="8" t="e">
        <f ca="1">IF(sales_staffing_level="min",MIN(I17:OFFSET(I17,0,0,1,channel_sales_months_to_productivity)),IF(sales_staffing_level="max",MAX(I17:OFFSET(I17,0,0,1,channel_sales_months_to_productivity)),IF(sales_staffing_level="avg",AVERAGE(I17:OFFSET(I17,0,0,1,channel_sales_months_to_productivity)),)))</f>
        <v>#REF!</v>
      </c>
      <c r="J38" s="8" t="e">
        <f ca="1">IF(sales_staffing_level="min",MIN(J17:OFFSET(J17,0,0,1,channel_sales_months_to_productivity)),IF(sales_staffing_level="max",MAX(J17:OFFSET(J17,0,0,1,channel_sales_months_to_productivity)),IF(sales_staffing_level="avg",AVERAGE(J17:OFFSET(J17,0,0,1,channel_sales_months_to_productivity)),)))</f>
        <v>#REF!</v>
      </c>
      <c r="K38" s="8" t="e">
        <f ca="1">IF(sales_staffing_level="min",MIN(K17:OFFSET(K17,0,0,1,channel_sales_months_to_productivity)),IF(sales_staffing_level="max",MAX(K17:OFFSET(K17,0,0,1,channel_sales_months_to_productivity)),IF(sales_staffing_level="avg",AVERAGE(K17:OFFSET(K17,0,0,1,channel_sales_months_to_productivity)),)))</f>
        <v>#REF!</v>
      </c>
      <c r="L38" s="8" t="e">
        <f ca="1">IF(sales_staffing_level="min",MIN(L17:OFFSET(L17,0,0,1,channel_sales_months_to_productivity)),IF(sales_staffing_level="max",MAX(L17:OFFSET(L17,0,0,1,channel_sales_months_to_productivity)),IF(sales_staffing_level="avg",AVERAGE(L17:OFFSET(L17,0,0,1,channel_sales_months_to_productivity)),)))</f>
        <v>#REF!</v>
      </c>
      <c r="M38" s="8" t="e">
        <f ca="1">IF(sales_staffing_level="min",MIN(M17:OFFSET(M17,0,0,1,channel_sales_months_to_productivity)),IF(sales_staffing_level="max",MAX(M17:OFFSET(M17,0,0,1,channel_sales_months_to_productivity)),IF(sales_staffing_level="avg",AVERAGE(M17:OFFSET(M17,0,0,1,channel_sales_months_to_productivity)),)))</f>
        <v>#REF!</v>
      </c>
      <c r="N38" s="8" t="e">
        <f ca="1">IF(sales_staffing_level="min",MIN(N17:OFFSET(N17,0,0,1,channel_sales_months_to_productivity)),IF(sales_staffing_level="max",MAX(N17:OFFSET(N17,0,0,1,channel_sales_months_to_productivity)),IF(sales_staffing_level="avg",AVERAGE(N17:OFFSET(N17,0,0,1,channel_sales_months_to_productivity)),)))</f>
        <v>#REF!</v>
      </c>
      <c r="O38" s="8" t="e">
        <f ca="1">IF(sales_staffing_level="min",MIN(O17:OFFSET(O17,0,0,1,channel_sales_months_to_productivity)),IF(sales_staffing_level="max",MAX(O17:OFFSET(O17,0,0,1,channel_sales_months_to_productivity)),IF(sales_staffing_level="avg",AVERAGE(O17:OFFSET(O17,0,0,1,channel_sales_months_to_productivity)),)))</f>
        <v>#REF!</v>
      </c>
      <c r="P38" s="8" t="e">
        <f ca="1">IF(sales_staffing_level="min",MIN(P17:OFFSET(P17,0,0,1,channel_sales_months_to_productivity)),IF(sales_staffing_level="max",MAX(P17:OFFSET(P17,0,0,1,channel_sales_months_to_productivity)),IF(sales_staffing_level="avg",AVERAGE(P17:OFFSET(P17,0,0,1,channel_sales_months_to_productivity)),)))</f>
        <v>#REF!</v>
      </c>
      <c r="Q38" s="8" t="e">
        <f ca="1">IF(sales_staffing_level="min",MIN(Q17:OFFSET(Q17,0,0,1,channel_sales_months_to_productivity)),IF(sales_staffing_level="max",MAX(Q17:OFFSET(Q17,0,0,1,channel_sales_months_to_productivity)),IF(sales_staffing_level="avg",AVERAGE(Q17:OFFSET(Q17,0,0,1,channel_sales_months_to_productivity)),)))</f>
        <v>#REF!</v>
      </c>
      <c r="R38" s="8" t="e">
        <f ca="1">IF(sales_staffing_level="min",MIN(R17:OFFSET(R17,0,0,1,channel_sales_months_to_productivity)),IF(sales_staffing_level="max",MAX(R17:OFFSET(R17,0,0,1,channel_sales_months_to_productivity)),IF(sales_staffing_level="avg",AVERAGE(R17:OFFSET(R17,0,0,1,channel_sales_months_to_productivity)),)))</f>
        <v>#REF!</v>
      </c>
      <c r="S38" s="8" t="e">
        <f ca="1">IF(sales_staffing_level="min",MIN(S17:OFFSET(S17,0,0,1,channel_sales_months_to_productivity)),IF(sales_staffing_level="max",MAX(S17:OFFSET(S17,0,0,1,channel_sales_months_to_productivity)),IF(sales_staffing_level="avg",AVERAGE(S17:OFFSET(S17,0,0,1,channel_sales_months_to_productivity)),)))</f>
        <v>#REF!</v>
      </c>
      <c r="T38" s="8" t="e">
        <f ca="1">IF(sales_staffing_level="min",MIN(T17:OFFSET(T17,0,0,1,channel_sales_months_to_productivity)),IF(sales_staffing_level="max",MAX(T17:OFFSET(T17,0,0,1,channel_sales_months_to_productivity)),IF(sales_staffing_level="avg",AVERAGE(T17:OFFSET(T17,0,0,1,channel_sales_months_to_productivity)),)))</f>
        <v>#REF!</v>
      </c>
      <c r="U38" s="8" t="e">
        <f ca="1">IF(sales_staffing_level="min",MIN(U17:OFFSET(U17,0,0,1,channel_sales_months_to_productivity)),IF(sales_staffing_level="max",MAX(U17:OFFSET(U17,0,0,1,channel_sales_months_to_productivity)),IF(sales_staffing_level="avg",AVERAGE(U17:OFFSET(U17,0,0,1,channel_sales_months_to_productivity)),)))</f>
        <v>#REF!</v>
      </c>
      <c r="V38" s="8" t="e">
        <f ca="1">IF(sales_staffing_level="min",MIN(V17:OFFSET(V17,0,0,1,channel_sales_months_to_productivity)),IF(sales_staffing_level="max",MAX(V17:OFFSET(V17,0,0,1,channel_sales_months_to_productivity)),IF(sales_staffing_level="avg",AVERAGE(V17:OFFSET(V17,0,0,1,channel_sales_months_to_productivity)),)))</f>
        <v>#REF!</v>
      </c>
      <c r="W38" s="8" t="e">
        <f ca="1">IF(sales_staffing_level="min",MIN(W17:OFFSET(W17,0,0,1,channel_sales_months_to_productivity)),IF(sales_staffing_level="max",MAX(W17:OFFSET(W17,0,0,1,channel_sales_months_to_productivity)),IF(sales_staffing_level="avg",AVERAGE(W17:OFFSET(W17,0,0,1,channel_sales_months_to_productivity)),)))</f>
        <v>#REF!</v>
      </c>
      <c r="X38" s="8" t="e">
        <f ca="1">IF(sales_staffing_level="min",MIN(X17:OFFSET(X17,0,0,1,channel_sales_months_to_productivity)),IF(sales_staffing_level="max",MAX(X17:OFFSET(X17,0,0,1,channel_sales_months_to_productivity)),IF(sales_staffing_level="avg",AVERAGE(X17:OFFSET(X17,0,0,1,channel_sales_months_to_productivity)),)))</f>
        <v>#REF!</v>
      </c>
      <c r="Y38" s="8" t="e">
        <f ca="1">IF(sales_staffing_level="min",MIN(Y17:OFFSET(Y17,0,0,1,channel_sales_months_to_productivity)),IF(sales_staffing_level="max",MAX(Y17:OFFSET(Y17,0,0,1,channel_sales_months_to_productivity)),IF(sales_staffing_level="avg",AVERAGE(Y17:OFFSET(Y17,0,0,1,channel_sales_months_to_productivity)),)))</f>
        <v>#REF!</v>
      </c>
      <c r="Z38" s="8" t="e">
        <f ca="1">IF(sales_staffing_level="min",MIN(Z17:OFFSET(Z17,0,0,1,channel_sales_months_to_productivity)),IF(sales_staffing_level="max",MAX(Z17:OFFSET(Z17,0,0,1,channel_sales_months_to_productivity)),IF(sales_staffing_level="avg",AVERAGE(Z17:OFFSET(Z17,0,0,1,channel_sales_months_to_productivity)),)))</f>
        <v>#REF!</v>
      </c>
      <c r="AA38" s="8" t="e">
        <f ca="1">IF(sales_staffing_level="min",MIN(AA17:OFFSET(AA17,0,0,1,channel_sales_months_to_productivity)),IF(sales_staffing_level="max",MAX(AA17:OFFSET(AA17,0,0,1,channel_sales_months_to_productivity)),IF(sales_staffing_level="avg",AVERAGE(AA17:OFFSET(AA17,0,0,1,channel_sales_months_to_productivity)),)))</f>
        <v>#REF!</v>
      </c>
      <c r="AB38" s="8" t="e">
        <f ca="1">IF(sales_staffing_level="min",MIN(AB17:OFFSET(AB17,0,0,1,channel_sales_months_to_productivity)),IF(sales_staffing_level="max",MAX(AB17:OFFSET(AB17,0,0,1,channel_sales_months_to_productivity)),IF(sales_staffing_level="avg",AVERAGE(AB17:OFFSET(AB17,0,0,1,channel_sales_months_to_productivity)),)))</f>
        <v>#REF!</v>
      </c>
      <c r="AC38" s="8" t="e">
        <f ca="1">IF(sales_staffing_level="min",MIN(AC17:OFFSET(AC17,0,0,1,channel_sales_months_to_productivity)),IF(sales_staffing_level="max",MAX(AC17:OFFSET(AC17,0,0,1,channel_sales_months_to_productivity)),IF(sales_staffing_level="avg",AVERAGE(AC17:OFFSET(AC17,0,0,1,channel_sales_months_to_productivity)),)))</f>
        <v>#REF!</v>
      </c>
      <c r="AD38" s="8" t="e">
        <f ca="1">IF(sales_staffing_level="min",MIN(AD17:OFFSET(AD17,0,0,1,channel_sales_months_to_productivity)),IF(sales_staffing_level="max",MAX(AD17:OFFSET(AD17,0,0,1,channel_sales_months_to_productivity)),IF(sales_staffing_level="avg",AVERAGE(AD17:OFFSET(AD17,0,0,1,channel_sales_months_to_productivity)),)))</f>
        <v>#REF!</v>
      </c>
      <c r="AE38" s="8" t="e">
        <f ca="1">IF(sales_staffing_level="min",MIN(AE17:OFFSET(AE17,0,0,1,channel_sales_months_to_productivity)),IF(sales_staffing_level="max",MAX(AE17:OFFSET(AE17,0,0,1,channel_sales_months_to_productivity)),IF(sales_staffing_level="avg",AVERAGE(AE17:OFFSET(AE17,0,0,1,channel_sales_months_to_productivity)),)))</f>
        <v>#REF!</v>
      </c>
      <c r="AF38" s="8" t="e">
        <f ca="1">IF(sales_staffing_level="min",MIN(AF17:OFFSET(AF17,0,0,1,channel_sales_months_to_productivity)),IF(sales_staffing_level="max",MAX(AF17:OFFSET(AF17,0,0,1,channel_sales_months_to_productivity)),IF(sales_staffing_level="avg",AVERAGE(AF17:OFFSET(AF17,0,0,1,channel_sales_months_to_productivity)),)))</f>
        <v>#REF!</v>
      </c>
      <c r="AG38" s="8" t="e">
        <f ca="1">IF(sales_staffing_level="min",MIN(AG17:OFFSET(AG17,0,0,1,channel_sales_months_to_productivity)),IF(sales_staffing_level="max",MAX(AG17:OFFSET(AG17,0,0,1,channel_sales_months_to_productivity)),IF(sales_staffing_level="avg",AVERAGE(AG17:OFFSET(AG17,0,0,1,channel_sales_months_to_productivity)),)))</f>
        <v>#REF!</v>
      </c>
      <c r="AH38" s="8" t="e">
        <f ca="1">IF(sales_staffing_level="min",MIN(AH17:OFFSET(AH17,0,0,1,channel_sales_months_to_productivity)),IF(sales_staffing_level="max",MAX(AH17:OFFSET(AH17,0,0,1,channel_sales_months_to_productivity)),IF(sales_staffing_level="avg",AVERAGE(AH17:OFFSET(AH17,0,0,1,channel_sales_months_to_productivity)),)))</f>
        <v>#REF!</v>
      </c>
      <c r="AI38" s="8" t="e">
        <f ca="1">IF(sales_staffing_level="min",MIN(AI17:OFFSET(AI17,0,0,1,channel_sales_months_to_productivity)),IF(sales_staffing_level="max",MAX(AI17:OFFSET(AI17,0,0,1,channel_sales_months_to_productivity)),IF(sales_staffing_level="avg",AVERAGE(AI17:OFFSET(AI17,0,0,1,channel_sales_months_to_productivity)),)))</f>
        <v>#REF!</v>
      </c>
      <c r="AJ38" s="8" t="e">
        <f ca="1">IF(sales_staffing_level="min",MIN(AJ17:OFFSET(AJ17,0,0,1,channel_sales_months_to_productivity)),IF(sales_staffing_level="max",MAX(AJ17:OFFSET(AJ17,0,0,1,channel_sales_months_to_productivity)),IF(sales_staffing_level="avg",AVERAGE(AJ17:OFFSET(AJ17,0,0,1,channel_sales_months_to_productivity)),)))</f>
        <v>#REF!</v>
      </c>
      <c r="AK38" s="8" t="e">
        <f ca="1">IF(sales_staffing_level="min",MIN(AK17:OFFSET(AK17,0,0,1,channel_sales_months_to_productivity)),IF(sales_staffing_level="max",MAX(AK17:OFFSET(AK17,0,0,1,channel_sales_months_to_productivity)),IF(sales_staffing_level="avg",AVERAGE(AK17:OFFSET(AK17,0,0,1,channel_sales_months_to_productivity)),)))</f>
        <v>#REF!</v>
      </c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</row>
    <row r="39" spans="1:61" x14ac:dyDescent="0.3">
      <c r="A39" s="6" t="s">
        <v>54</v>
      </c>
      <c r="B39" s="8" t="e">
        <f ca="1">IF(sales_staffing_level="min",MIN(B18:OFFSET(B18,0,0,1,channel_sales_months_to_productivity)),IF(sales_staffing_level="max",MAX(B18:OFFSET(B18,0,0,1,channel_sales_months_to_productivity)),IF(sales_staffing_level="avg",AVERAGE(B18:OFFSET(B18,0,0,1,channel_sales_months_to_productivity)),)))</f>
        <v>#REF!</v>
      </c>
      <c r="C39" s="8" t="e">
        <f ca="1">IF(sales_staffing_level="min",MIN(C18:OFFSET(C18,0,0,1,channel_sales_months_to_productivity)),IF(sales_staffing_level="max",MAX(C18:OFFSET(C18,0,0,1,channel_sales_months_to_productivity)),IF(sales_staffing_level="avg",AVERAGE(C18:OFFSET(C18,0,0,1,channel_sales_months_to_productivity)),)))</f>
        <v>#REF!</v>
      </c>
      <c r="D39" s="8" t="e">
        <f ca="1">IF(sales_staffing_level="min",MIN(D18:OFFSET(D18,0,0,1,channel_sales_months_to_productivity)),IF(sales_staffing_level="max",MAX(D18:OFFSET(D18,0,0,1,channel_sales_months_to_productivity)),IF(sales_staffing_level="avg",AVERAGE(D18:OFFSET(D18,0,0,1,channel_sales_months_to_productivity)),)))</f>
        <v>#REF!</v>
      </c>
      <c r="E39" s="8" t="e">
        <f ca="1">IF(sales_staffing_level="min",MIN(E18:OFFSET(E18,0,0,1,channel_sales_months_to_productivity)),IF(sales_staffing_level="max",MAX(E18:OFFSET(E18,0,0,1,channel_sales_months_to_productivity)),IF(sales_staffing_level="avg",AVERAGE(E18:OFFSET(E18,0,0,1,channel_sales_months_to_productivity)),)))</f>
        <v>#REF!</v>
      </c>
      <c r="F39" s="8" t="e">
        <f ca="1">IF(sales_staffing_level="min",MIN(F18:OFFSET(F18,0,0,1,channel_sales_months_to_productivity)),IF(sales_staffing_level="max",MAX(F18:OFFSET(F18,0,0,1,channel_sales_months_to_productivity)),IF(sales_staffing_level="avg",AVERAGE(F18:OFFSET(F18,0,0,1,channel_sales_months_to_productivity)),)))</f>
        <v>#REF!</v>
      </c>
      <c r="G39" s="8" t="e">
        <f ca="1">IF(sales_staffing_level="min",MIN(G18:OFFSET(G18,0,0,1,channel_sales_months_to_productivity)),IF(sales_staffing_level="max",MAX(G18:OFFSET(G18,0,0,1,channel_sales_months_to_productivity)),IF(sales_staffing_level="avg",AVERAGE(G18:OFFSET(G18,0,0,1,channel_sales_months_to_productivity)),)))</f>
        <v>#REF!</v>
      </c>
      <c r="H39" s="8" t="e">
        <f ca="1">IF(sales_staffing_level="min",MIN(H18:OFFSET(H18,0,0,1,channel_sales_months_to_productivity)),IF(sales_staffing_level="max",MAX(H18:OFFSET(H18,0,0,1,channel_sales_months_to_productivity)),IF(sales_staffing_level="avg",AVERAGE(H18:OFFSET(H18,0,0,1,channel_sales_months_to_productivity)),)))</f>
        <v>#REF!</v>
      </c>
      <c r="I39" s="8" t="e">
        <f ca="1">IF(sales_staffing_level="min",MIN(I18:OFFSET(I18,0,0,1,channel_sales_months_to_productivity)),IF(sales_staffing_level="max",MAX(I18:OFFSET(I18,0,0,1,channel_sales_months_to_productivity)),IF(sales_staffing_level="avg",AVERAGE(I18:OFFSET(I18,0,0,1,channel_sales_months_to_productivity)),)))</f>
        <v>#REF!</v>
      </c>
      <c r="J39" s="8" t="e">
        <f ca="1">IF(sales_staffing_level="min",MIN(J18:OFFSET(J18,0,0,1,channel_sales_months_to_productivity)),IF(sales_staffing_level="max",MAX(J18:OFFSET(J18,0,0,1,channel_sales_months_to_productivity)),IF(sales_staffing_level="avg",AVERAGE(J18:OFFSET(J18,0,0,1,channel_sales_months_to_productivity)),)))</f>
        <v>#REF!</v>
      </c>
      <c r="K39" s="8" t="e">
        <f ca="1">IF(sales_staffing_level="min",MIN(K18:OFFSET(K18,0,0,1,channel_sales_months_to_productivity)),IF(sales_staffing_level="max",MAX(K18:OFFSET(K18,0,0,1,channel_sales_months_to_productivity)),IF(sales_staffing_level="avg",AVERAGE(K18:OFFSET(K18,0,0,1,channel_sales_months_to_productivity)),)))</f>
        <v>#REF!</v>
      </c>
      <c r="L39" s="8" t="e">
        <f ca="1">IF(sales_staffing_level="min",MIN(L18:OFFSET(L18,0,0,1,channel_sales_months_to_productivity)),IF(sales_staffing_level="max",MAX(L18:OFFSET(L18,0,0,1,channel_sales_months_to_productivity)),IF(sales_staffing_level="avg",AVERAGE(L18:OFFSET(L18,0,0,1,channel_sales_months_to_productivity)),)))</f>
        <v>#REF!</v>
      </c>
      <c r="M39" s="8" t="e">
        <f ca="1">IF(sales_staffing_level="min",MIN(M18:OFFSET(M18,0,0,1,channel_sales_months_to_productivity)),IF(sales_staffing_level="max",MAX(M18:OFFSET(M18,0,0,1,channel_sales_months_to_productivity)),IF(sales_staffing_level="avg",AVERAGE(M18:OFFSET(M18,0,0,1,channel_sales_months_to_productivity)),)))</f>
        <v>#REF!</v>
      </c>
      <c r="N39" s="8" t="e">
        <f ca="1">IF(sales_staffing_level="min",MIN(N18:OFFSET(N18,0,0,1,channel_sales_months_to_productivity)),IF(sales_staffing_level="max",MAX(N18:OFFSET(N18,0,0,1,channel_sales_months_to_productivity)),IF(sales_staffing_level="avg",AVERAGE(N18:OFFSET(N18,0,0,1,channel_sales_months_to_productivity)),)))</f>
        <v>#REF!</v>
      </c>
      <c r="O39" s="8" t="e">
        <f ca="1">IF(sales_staffing_level="min",MIN(O18:OFFSET(O18,0,0,1,channel_sales_months_to_productivity)),IF(sales_staffing_level="max",MAX(O18:OFFSET(O18,0,0,1,channel_sales_months_to_productivity)),IF(sales_staffing_level="avg",AVERAGE(O18:OFFSET(O18,0,0,1,channel_sales_months_to_productivity)),)))</f>
        <v>#REF!</v>
      </c>
      <c r="P39" s="8" t="e">
        <f ca="1">IF(sales_staffing_level="min",MIN(P18:OFFSET(P18,0,0,1,channel_sales_months_to_productivity)),IF(sales_staffing_level="max",MAX(P18:OFFSET(P18,0,0,1,channel_sales_months_to_productivity)),IF(sales_staffing_level="avg",AVERAGE(P18:OFFSET(P18,0,0,1,channel_sales_months_to_productivity)),)))</f>
        <v>#REF!</v>
      </c>
      <c r="Q39" s="8" t="e">
        <f ca="1">IF(sales_staffing_level="min",MIN(Q18:OFFSET(Q18,0,0,1,channel_sales_months_to_productivity)),IF(sales_staffing_level="max",MAX(Q18:OFFSET(Q18,0,0,1,channel_sales_months_to_productivity)),IF(sales_staffing_level="avg",AVERAGE(Q18:OFFSET(Q18,0,0,1,channel_sales_months_to_productivity)),)))</f>
        <v>#REF!</v>
      </c>
      <c r="R39" s="8" t="e">
        <f ca="1">IF(sales_staffing_level="min",MIN(R18:OFFSET(R18,0,0,1,channel_sales_months_to_productivity)),IF(sales_staffing_level="max",MAX(R18:OFFSET(R18,0,0,1,channel_sales_months_to_productivity)),IF(sales_staffing_level="avg",AVERAGE(R18:OFFSET(R18,0,0,1,channel_sales_months_to_productivity)),)))</f>
        <v>#REF!</v>
      </c>
      <c r="S39" s="8" t="e">
        <f ca="1">IF(sales_staffing_level="min",MIN(S18:OFFSET(S18,0,0,1,channel_sales_months_to_productivity)),IF(sales_staffing_level="max",MAX(S18:OFFSET(S18,0,0,1,channel_sales_months_to_productivity)),IF(sales_staffing_level="avg",AVERAGE(S18:OFFSET(S18,0,0,1,channel_sales_months_to_productivity)),)))</f>
        <v>#REF!</v>
      </c>
      <c r="T39" s="8" t="e">
        <f ca="1">IF(sales_staffing_level="min",MIN(T18:OFFSET(T18,0,0,1,channel_sales_months_to_productivity)),IF(sales_staffing_level="max",MAX(T18:OFFSET(T18,0,0,1,channel_sales_months_to_productivity)),IF(sales_staffing_level="avg",AVERAGE(T18:OFFSET(T18,0,0,1,channel_sales_months_to_productivity)),)))</f>
        <v>#REF!</v>
      </c>
      <c r="U39" s="8" t="e">
        <f ca="1">IF(sales_staffing_level="min",MIN(U18:OFFSET(U18,0,0,1,channel_sales_months_to_productivity)),IF(sales_staffing_level="max",MAX(U18:OFFSET(U18,0,0,1,channel_sales_months_to_productivity)),IF(sales_staffing_level="avg",AVERAGE(U18:OFFSET(U18,0,0,1,channel_sales_months_to_productivity)),)))</f>
        <v>#REF!</v>
      </c>
      <c r="V39" s="8" t="e">
        <f ca="1">IF(sales_staffing_level="min",MIN(V18:OFFSET(V18,0,0,1,channel_sales_months_to_productivity)),IF(sales_staffing_level="max",MAX(V18:OFFSET(V18,0,0,1,channel_sales_months_to_productivity)),IF(sales_staffing_level="avg",AVERAGE(V18:OFFSET(V18,0,0,1,channel_sales_months_to_productivity)),)))</f>
        <v>#REF!</v>
      </c>
      <c r="W39" s="8" t="e">
        <f ca="1">IF(sales_staffing_level="min",MIN(W18:OFFSET(W18,0,0,1,channel_sales_months_to_productivity)),IF(sales_staffing_level="max",MAX(W18:OFFSET(W18,0,0,1,channel_sales_months_to_productivity)),IF(sales_staffing_level="avg",AVERAGE(W18:OFFSET(W18,0,0,1,channel_sales_months_to_productivity)),)))</f>
        <v>#REF!</v>
      </c>
      <c r="X39" s="8" t="e">
        <f ca="1">IF(sales_staffing_level="min",MIN(X18:OFFSET(X18,0,0,1,channel_sales_months_to_productivity)),IF(sales_staffing_level="max",MAX(X18:OFFSET(X18,0,0,1,channel_sales_months_to_productivity)),IF(sales_staffing_level="avg",AVERAGE(X18:OFFSET(X18,0,0,1,channel_sales_months_to_productivity)),)))</f>
        <v>#REF!</v>
      </c>
      <c r="Y39" s="8" t="e">
        <f ca="1">IF(sales_staffing_level="min",MIN(Y18:OFFSET(Y18,0,0,1,channel_sales_months_to_productivity)),IF(sales_staffing_level="max",MAX(Y18:OFFSET(Y18,0,0,1,channel_sales_months_to_productivity)),IF(sales_staffing_level="avg",AVERAGE(Y18:OFFSET(Y18,0,0,1,channel_sales_months_to_productivity)),)))</f>
        <v>#REF!</v>
      </c>
      <c r="Z39" s="8" t="e">
        <f ca="1">IF(sales_staffing_level="min",MIN(Z18:OFFSET(Z18,0,0,1,channel_sales_months_to_productivity)),IF(sales_staffing_level="max",MAX(Z18:OFFSET(Z18,0,0,1,channel_sales_months_to_productivity)),IF(sales_staffing_level="avg",AVERAGE(Z18:OFFSET(Z18,0,0,1,channel_sales_months_to_productivity)),)))</f>
        <v>#REF!</v>
      </c>
      <c r="AA39" s="8" t="e">
        <f ca="1">IF(sales_staffing_level="min",MIN(AA18:OFFSET(AA18,0,0,1,channel_sales_months_to_productivity)),IF(sales_staffing_level="max",MAX(AA18:OFFSET(AA18,0,0,1,channel_sales_months_to_productivity)),IF(sales_staffing_level="avg",AVERAGE(AA18:OFFSET(AA18,0,0,1,channel_sales_months_to_productivity)),)))</f>
        <v>#REF!</v>
      </c>
      <c r="AB39" s="8" t="e">
        <f ca="1">IF(sales_staffing_level="min",MIN(AB18:OFFSET(AB18,0,0,1,channel_sales_months_to_productivity)),IF(sales_staffing_level="max",MAX(AB18:OFFSET(AB18,0,0,1,channel_sales_months_to_productivity)),IF(sales_staffing_level="avg",AVERAGE(AB18:OFFSET(AB18,0,0,1,channel_sales_months_to_productivity)),)))</f>
        <v>#REF!</v>
      </c>
      <c r="AC39" s="8" t="e">
        <f ca="1">IF(sales_staffing_level="min",MIN(AC18:OFFSET(AC18,0,0,1,channel_sales_months_to_productivity)),IF(sales_staffing_level="max",MAX(AC18:OFFSET(AC18,0,0,1,channel_sales_months_to_productivity)),IF(sales_staffing_level="avg",AVERAGE(AC18:OFFSET(AC18,0,0,1,channel_sales_months_to_productivity)),)))</f>
        <v>#REF!</v>
      </c>
      <c r="AD39" s="8" t="e">
        <f ca="1">IF(sales_staffing_level="min",MIN(AD18:OFFSET(AD18,0,0,1,channel_sales_months_to_productivity)),IF(sales_staffing_level="max",MAX(AD18:OFFSET(AD18,0,0,1,channel_sales_months_to_productivity)),IF(sales_staffing_level="avg",AVERAGE(AD18:OFFSET(AD18,0,0,1,channel_sales_months_to_productivity)),)))</f>
        <v>#REF!</v>
      </c>
      <c r="AE39" s="8" t="e">
        <f ca="1">IF(sales_staffing_level="min",MIN(AE18:OFFSET(AE18,0,0,1,channel_sales_months_to_productivity)),IF(sales_staffing_level="max",MAX(AE18:OFFSET(AE18,0,0,1,channel_sales_months_to_productivity)),IF(sales_staffing_level="avg",AVERAGE(AE18:OFFSET(AE18,0,0,1,channel_sales_months_to_productivity)),)))</f>
        <v>#REF!</v>
      </c>
      <c r="AF39" s="8" t="e">
        <f ca="1">IF(sales_staffing_level="min",MIN(AF18:OFFSET(AF18,0,0,1,channel_sales_months_to_productivity)),IF(sales_staffing_level="max",MAX(AF18:OFFSET(AF18,0,0,1,channel_sales_months_to_productivity)),IF(sales_staffing_level="avg",AVERAGE(AF18:OFFSET(AF18,0,0,1,channel_sales_months_to_productivity)),)))</f>
        <v>#REF!</v>
      </c>
      <c r="AG39" s="8" t="e">
        <f ca="1">IF(sales_staffing_level="min",MIN(AG18:OFFSET(AG18,0,0,1,channel_sales_months_to_productivity)),IF(sales_staffing_level="max",MAX(AG18:OFFSET(AG18,0,0,1,channel_sales_months_to_productivity)),IF(sales_staffing_level="avg",AVERAGE(AG18:OFFSET(AG18,0,0,1,channel_sales_months_to_productivity)),)))</f>
        <v>#REF!</v>
      </c>
      <c r="AH39" s="8" t="e">
        <f ca="1">IF(sales_staffing_level="min",MIN(AH18:OFFSET(AH18,0,0,1,channel_sales_months_to_productivity)),IF(sales_staffing_level="max",MAX(AH18:OFFSET(AH18,0,0,1,channel_sales_months_to_productivity)),IF(sales_staffing_level="avg",AVERAGE(AH18:OFFSET(AH18,0,0,1,channel_sales_months_to_productivity)),)))</f>
        <v>#REF!</v>
      </c>
      <c r="AI39" s="8" t="e">
        <f ca="1">IF(sales_staffing_level="min",MIN(AI18:OFFSET(AI18,0,0,1,channel_sales_months_to_productivity)),IF(sales_staffing_level="max",MAX(AI18:OFFSET(AI18,0,0,1,channel_sales_months_to_productivity)),IF(sales_staffing_level="avg",AVERAGE(AI18:OFFSET(AI18,0,0,1,channel_sales_months_to_productivity)),)))</f>
        <v>#REF!</v>
      </c>
      <c r="AJ39" s="8" t="e">
        <f ca="1">IF(sales_staffing_level="min",MIN(AJ18:OFFSET(AJ18,0,0,1,channel_sales_months_to_productivity)),IF(sales_staffing_level="max",MAX(AJ18:OFFSET(AJ18,0,0,1,channel_sales_months_to_productivity)),IF(sales_staffing_level="avg",AVERAGE(AJ18:OFFSET(AJ18,0,0,1,channel_sales_months_to_productivity)),)))</f>
        <v>#REF!</v>
      </c>
      <c r="AK39" s="8" t="e">
        <f ca="1">IF(sales_staffing_level="min",MIN(AK18:OFFSET(AK18,0,0,1,channel_sales_months_to_productivity)),IF(sales_staffing_level="max",MAX(AK18:OFFSET(AK18,0,0,1,channel_sales_months_to_productivity)),IF(sales_staffing_level="avg",AVERAGE(AK18:OFFSET(AK18,0,0,1,channel_sales_months_to_productivity)),)))</f>
        <v>#REF!</v>
      </c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</row>
    <row r="41" spans="1:61" x14ac:dyDescent="0.3">
      <c r="A41" t="s">
        <v>48</v>
      </c>
    </row>
    <row r="42" spans="1:61" x14ac:dyDescent="0.3">
      <c r="A42" s="6" t="s">
        <v>52</v>
      </c>
      <c r="B42" s="8" t="e">
        <f ca="1">IF(sales_staffing_level="min",MIN(B21:OFFSET(B21,0,0,1,channel_sales_months_to_productivity)),IF(sales_staffing_level="max",MAX(B21:OFFSET(B21,0,0,1,channel_sales_months_to_productivity)),IF(sales_staffing_level="avg",AVERAGE(B21:OFFSET(B21,0,0,1,channel_sales_months_to_productivity)),)))</f>
        <v>#REF!</v>
      </c>
      <c r="C42" s="8" t="e">
        <f ca="1">IF(sales_staffing_level="min",MIN(C21:OFFSET(C21,0,0,1,channel_sales_months_to_productivity)),IF(sales_staffing_level="max",MAX(C21:OFFSET(C21,0,0,1,channel_sales_months_to_productivity)),IF(sales_staffing_level="avg",AVERAGE(C21:OFFSET(C21,0,0,1,channel_sales_months_to_productivity)),)))</f>
        <v>#REF!</v>
      </c>
      <c r="D42" s="8" t="e">
        <f ca="1">IF(sales_staffing_level="min",MIN(D21:OFFSET(D21,0,0,1,channel_sales_months_to_productivity)),IF(sales_staffing_level="max",MAX(D21:OFFSET(D21,0,0,1,channel_sales_months_to_productivity)),IF(sales_staffing_level="avg",AVERAGE(D21:OFFSET(D21,0,0,1,channel_sales_months_to_productivity)),)))</f>
        <v>#REF!</v>
      </c>
      <c r="E42" s="8" t="e">
        <f ca="1">IF(sales_staffing_level="min",MIN(E21:OFFSET(E21,0,0,1,channel_sales_months_to_productivity)),IF(sales_staffing_level="max",MAX(E21:OFFSET(E21,0,0,1,channel_sales_months_to_productivity)),IF(sales_staffing_level="avg",AVERAGE(E21:OFFSET(E21,0,0,1,channel_sales_months_to_productivity)),)))</f>
        <v>#REF!</v>
      </c>
      <c r="F42" s="8" t="e">
        <f ca="1">IF(sales_staffing_level="min",MIN(F21:OFFSET(F21,0,0,1,channel_sales_months_to_productivity)),IF(sales_staffing_level="max",MAX(F21:OFFSET(F21,0,0,1,channel_sales_months_to_productivity)),IF(sales_staffing_level="avg",AVERAGE(F21:OFFSET(F21,0,0,1,channel_sales_months_to_productivity)),)))</f>
        <v>#REF!</v>
      </c>
      <c r="G42" s="8" t="e">
        <f ca="1">IF(sales_staffing_level="min",MIN(G21:OFFSET(G21,0,0,1,channel_sales_months_to_productivity)),IF(sales_staffing_level="max",MAX(G21:OFFSET(G21,0,0,1,channel_sales_months_to_productivity)),IF(sales_staffing_level="avg",AVERAGE(G21:OFFSET(G21,0,0,1,channel_sales_months_to_productivity)),)))</f>
        <v>#REF!</v>
      </c>
      <c r="H42" s="8" t="e">
        <f ca="1">IF(sales_staffing_level="min",MIN(H21:OFFSET(H21,0,0,1,channel_sales_months_to_productivity)),IF(sales_staffing_level="max",MAX(H21:OFFSET(H21,0,0,1,channel_sales_months_to_productivity)),IF(sales_staffing_level="avg",AVERAGE(H21:OFFSET(H21,0,0,1,channel_sales_months_to_productivity)),)))</f>
        <v>#REF!</v>
      </c>
      <c r="I42" s="8" t="e">
        <f ca="1">IF(sales_staffing_level="min",MIN(I21:OFFSET(I21,0,0,1,channel_sales_months_to_productivity)),IF(sales_staffing_level="max",MAX(I21:OFFSET(I21,0,0,1,channel_sales_months_to_productivity)),IF(sales_staffing_level="avg",AVERAGE(I21:OFFSET(I21,0,0,1,channel_sales_months_to_productivity)),)))</f>
        <v>#REF!</v>
      </c>
      <c r="J42" s="8" t="e">
        <f ca="1">IF(sales_staffing_level="min",MIN(J21:OFFSET(J21,0,0,1,channel_sales_months_to_productivity)),IF(sales_staffing_level="max",MAX(J21:OFFSET(J21,0,0,1,channel_sales_months_to_productivity)),IF(sales_staffing_level="avg",AVERAGE(J21:OFFSET(J21,0,0,1,channel_sales_months_to_productivity)),)))</f>
        <v>#REF!</v>
      </c>
      <c r="K42" s="8" t="e">
        <f ca="1">IF(sales_staffing_level="min",MIN(K21:OFFSET(K21,0,0,1,channel_sales_months_to_productivity)),IF(sales_staffing_level="max",MAX(K21:OFFSET(K21,0,0,1,channel_sales_months_to_productivity)),IF(sales_staffing_level="avg",AVERAGE(K21:OFFSET(K21,0,0,1,channel_sales_months_to_productivity)),)))</f>
        <v>#REF!</v>
      </c>
      <c r="L42" s="8" t="e">
        <f ca="1">IF(sales_staffing_level="min",MIN(L21:OFFSET(L21,0,0,1,channel_sales_months_to_productivity)),IF(sales_staffing_level="max",MAX(L21:OFFSET(L21,0,0,1,channel_sales_months_to_productivity)),IF(sales_staffing_level="avg",AVERAGE(L21:OFFSET(L21,0,0,1,channel_sales_months_to_productivity)),)))</f>
        <v>#REF!</v>
      </c>
      <c r="M42" s="8" t="e">
        <f ca="1">IF(sales_staffing_level="min",MIN(M21:OFFSET(M21,0,0,1,channel_sales_months_to_productivity)),IF(sales_staffing_level="max",MAX(M21:OFFSET(M21,0,0,1,channel_sales_months_to_productivity)),IF(sales_staffing_level="avg",AVERAGE(M21:OFFSET(M21,0,0,1,channel_sales_months_to_productivity)),)))</f>
        <v>#REF!</v>
      </c>
      <c r="N42" s="8" t="e">
        <f ca="1">IF(sales_staffing_level="min",MIN(N21:OFFSET(N21,0,0,1,channel_sales_months_to_productivity)),IF(sales_staffing_level="max",MAX(N21:OFFSET(N21,0,0,1,channel_sales_months_to_productivity)),IF(sales_staffing_level="avg",AVERAGE(N21:OFFSET(N21,0,0,1,channel_sales_months_to_productivity)),)))</f>
        <v>#REF!</v>
      </c>
      <c r="O42" s="8" t="e">
        <f ca="1">IF(sales_staffing_level="min",MIN(O21:OFFSET(O21,0,0,1,channel_sales_months_to_productivity)),IF(sales_staffing_level="max",MAX(O21:OFFSET(O21,0,0,1,channel_sales_months_to_productivity)),IF(sales_staffing_level="avg",AVERAGE(O21:OFFSET(O21,0,0,1,channel_sales_months_to_productivity)),)))</f>
        <v>#REF!</v>
      </c>
      <c r="P42" s="8" t="e">
        <f ca="1">IF(sales_staffing_level="min",MIN(P21:OFFSET(P21,0,0,1,channel_sales_months_to_productivity)),IF(sales_staffing_level="max",MAX(P21:OFFSET(P21,0,0,1,channel_sales_months_to_productivity)),IF(sales_staffing_level="avg",AVERAGE(P21:OFFSET(P21,0,0,1,channel_sales_months_to_productivity)),)))</f>
        <v>#REF!</v>
      </c>
      <c r="Q42" s="8" t="e">
        <f ca="1">IF(sales_staffing_level="min",MIN(Q21:OFFSET(Q21,0,0,1,channel_sales_months_to_productivity)),IF(sales_staffing_level="max",MAX(Q21:OFFSET(Q21,0,0,1,channel_sales_months_to_productivity)),IF(sales_staffing_level="avg",AVERAGE(Q21:OFFSET(Q21,0,0,1,channel_sales_months_to_productivity)),)))</f>
        <v>#REF!</v>
      </c>
      <c r="R42" s="8" t="e">
        <f ca="1">IF(sales_staffing_level="min",MIN(R21:OFFSET(R21,0,0,1,channel_sales_months_to_productivity)),IF(sales_staffing_level="max",MAX(R21:OFFSET(R21,0,0,1,channel_sales_months_to_productivity)),IF(sales_staffing_level="avg",AVERAGE(R21:OFFSET(R21,0,0,1,channel_sales_months_to_productivity)),)))</f>
        <v>#REF!</v>
      </c>
      <c r="S42" s="8" t="e">
        <f ca="1">IF(sales_staffing_level="min",MIN(S21:OFFSET(S21,0,0,1,channel_sales_months_to_productivity)),IF(sales_staffing_level="max",MAX(S21:OFFSET(S21,0,0,1,channel_sales_months_to_productivity)),IF(sales_staffing_level="avg",AVERAGE(S21:OFFSET(S21,0,0,1,channel_sales_months_to_productivity)),)))</f>
        <v>#REF!</v>
      </c>
      <c r="T42" s="8" t="e">
        <f ca="1">IF(sales_staffing_level="min",MIN(T21:OFFSET(T21,0,0,1,channel_sales_months_to_productivity)),IF(sales_staffing_level="max",MAX(T21:OFFSET(T21,0,0,1,channel_sales_months_to_productivity)),IF(sales_staffing_level="avg",AVERAGE(T21:OFFSET(T21,0,0,1,channel_sales_months_to_productivity)),)))</f>
        <v>#REF!</v>
      </c>
      <c r="U42" s="8" t="e">
        <f ca="1">IF(sales_staffing_level="min",MIN(U21:OFFSET(U21,0,0,1,channel_sales_months_to_productivity)),IF(sales_staffing_level="max",MAX(U21:OFFSET(U21,0,0,1,channel_sales_months_to_productivity)),IF(sales_staffing_level="avg",AVERAGE(U21:OFFSET(U21,0,0,1,channel_sales_months_to_productivity)),)))</f>
        <v>#REF!</v>
      </c>
      <c r="V42" s="8" t="e">
        <f ca="1">IF(sales_staffing_level="min",MIN(V21:OFFSET(V21,0,0,1,channel_sales_months_to_productivity)),IF(sales_staffing_level="max",MAX(V21:OFFSET(V21,0,0,1,channel_sales_months_to_productivity)),IF(sales_staffing_level="avg",AVERAGE(V21:OFFSET(V21,0,0,1,channel_sales_months_to_productivity)),)))</f>
        <v>#REF!</v>
      </c>
      <c r="W42" s="8" t="e">
        <f ca="1">IF(sales_staffing_level="min",MIN(W21:OFFSET(W21,0,0,1,channel_sales_months_to_productivity)),IF(sales_staffing_level="max",MAX(W21:OFFSET(W21,0,0,1,channel_sales_months_to_productivity)),IF(sales_staffing_level="avg",AVERAGE(W21:OFFSET(W21,0,0,1,channel_sales_months_to_productivity)),)))</f>
        <v>#REF!</v>
      </c>
      <c r="X42" s="8" t="e">
        <f ca="1">IF(sales_staffing_level="min",MIN(X21:OFFSET(X21,0,0,1,channel_sales_months_to_productivity)),IF(sales_staffing_level="max",MAX(X21:OFFSET(X21,0,0,1,channel_sales_months_to_productivity)),IF(sales_staffing_level="avg",AVERAGE(X21:OFFSET(X21,0,0,1,channel_sales_months_to_productivity)),)))</f>
        <v>#REF!</v>
      </c>
      <c r="Y42" s="8" t="e">
        <f ca="1">IF(sales_staffing_level="min",MIN(Y21:OFFSET(Y21,0,0,1,channel_sales_months_to_productivity)),IF(sales_staffing_level="max",MAX(Y21:OFFSET(Y21,0,0,1,channel_sales_months_to_productivity)),IF(sales_staffing_level="avg",AVERAGE(Y21:OFFSET(Y21,0,0,1,channel_sales_months_to_productivity)),)))</f>
        <v>#REF!</v>
      </c>
      <c r="Z42" s="8" t="e">
        <f ca="1">IF(sales_staffing_level="min",MIN(Z21:OFFSET(Z21,0,0,1,channel_sales_months_to_productivity)),IF(sales_staffing_level="max",MAX(Z21:OFFSET(Z21,0,0,1,channel_sales_months_to_productivity)),IF(sales_staffing_level="avg",AVERAGE(Z21:OFFSET(Z21,0,0,1,channel_sales_months_to_productivity)),)))</f>
        <v>#REF!</v>
      </c>
      <c r="AA42" s="8" t="e">
        <f ca="1">IF(sales_staffing_level="min",MIN(AA21:OFFSET(AA21,0,0,1,channel_sales_months_to_productivity)),IF(sales_staffing_level="max",MAX(AA21:OFFSET(AA21,0,0,1,channel_sales_months_to_productivity)),IF(sales_staffing_level="avg",AVERAGE(AA21:OFFSET(AA21,0,0,1,channel_sales_months_to_productivity)),)))</f>
        <v>#REF!</v>
      </c>
      <c r="AB42" s="8" t="e">
        <f ca="1">IF(sales_staffing_level="min",MIN(AB21:OFFSET(AB21,0,0,1,channel_sales_months_to_productivity)),IF(sales_staffing_level="max",MAX(AB21:OFFSET(AB21,0,0,1,channel_sales_months_to_productivity)),IF(sales_staffing_level="avg",AVERAGE(AB21:OFFSET(AB21,0,0,1,channel_sales_months_to_productivity)),)))</f>
        <v>#REF!</v>
      </c>
      <c r="AC42" s="8" t="e">
        <f ca="1">IF(sales_staffing_level="min",MIN(AC21:OFFSET(AC21,0,0,1,channel_sales_months_to_productivity)),IF(sales_staffing_level="max",MAX(AC21:OFFSET(AC21,0,0,1,channel_sales_months_to_productivity)),IF(sales_staffing_level="avg",AVERAGE(AC21:OFFSET(AC21,0,0,1,channel_sales_months_to_productivity)),)))</f>
        <v>#REF!</v>
      </c>
      <c r="AD42" s="8" t="e">
        <f ca="1">IF(sales_staffing_level="min",MIN(AD21:OFFSET(AD21,0,0,1,channel_sales_months_to_productivity)),IF(sales_staffing_level="max",MAX(AD21:OFFSET(AD21,0,0,1,channel_sales_months_to_productivity)),IF(sales_staffing_level="avg",AVERAGE(AD21:OFFSET(AD21,0,0,1,channel_sales_months_to_productivity)),)))</f>
        <v>#REF!</v>
      </c>
      <c r="AE42" s="8" t="e">
        <f ca="1">IF(sales_staffing_level="min",MIN(AE21:OFFSET(AE21,0,0,1,channel_sales_months_to_productivity)),IF(sales_staffing_level="max",MAX(AE21:OFFSET(AE21,0,0,1,channel_sales_months_to_productivity)),IF(sales_staffing_level="avg",AVERAGE(AE21:OFFSET(AE21,0,0,1,channel_sales_months_to_productivity)),)))</f>
        <v>#REF!</v>
      </c>
      <c r="AF42" s="8" t="e">
        <f ca="1">IF(sales_staffing_level="min",MIN(AF21:OFFSET(AF21,0,0,1,channel_sales_months_to_productivity)),IF(sales_staffing_level="max",MAX(AF21:OFFSET(AF21,0,0,1,channel_sales_months_to_productivity)),IF(sales_staffing_level="avg",AVERAGE(AF21:OFFSET(AF21,0,0,1,channel_sales_months_to_productivity)),)))</f>
        <v>#REF!</v>
      </c>
      <c r="AG42" s="8" t="e">
        <f ca="1">IF(sales_staffing_level="min",MIN(AG21:OFFSET(AG21,0,0,1,channel_sales_months_to_productivity)),IF(sales_staffing_level="max",MAX(AG21:OFFSET(AG21,0,0,1,channel_sales_months_to_productivity)),IF(sales_staffing_level="avg",AVERAGE(AG21:OFFSET(AG21,0,0,1,channel_sales_months_to_productivity)),)))</f>
        <v>#REF!</v>
      </c>
      <c r="AH42" s="8" t="e">
        <f ca="1">IF(sales_staffing_level="min",MIN(AH21:OFFSET(AH21,0,0,1,channel_sales_months_to_productivity)),IF(sales_staffing_level="max",MAX(AH21:OFFSET(AH21,0,0,1,channel_sales_months_to_productivity)),IF(sales_staffing_level="avg",AVERAGE(AH21:OFFSET(AH21,0,0,1,channel_sales_months_to_productivity)),)))</f>
        <v>#REF!</v>
      </c>
      <c r="AI42" s="8" t="e">
        <f ca="1">IF(sales_staffing_level="min",MIN(AI21:OFFSET(AI21,0,0,1,channel_sales_months_to_productivity)),IF(sales_staffing_level="max",MAX(AI21:OFFSET(AI21,0,0,1,channel_sales_months_to_productivity)),IF(sales_staffing_level="avg",AVERAGE(AI21:OFFSET(AI21,0,0,1,channel_sales_months_to_productivity)),)))</f>
        <v>#REF!</v>
      </c>
      <c r="AJ42" s="8" t="e">
        <f ca="1">IF(sales_staffing_level="min",MIN(AJ21:OFFSET(AJ21,0,0,1,channel_sales_months_to_productivity)),IF(sales_staffing_level="max",MAX(AJ21:OFFSET(AJ21,0,0,1,channel_sales_months_to_productivity)),IF(sales_staffing_level="avg",AVERAGE(AJ21:OFFSET(AJ21,0,0,1,channel_sales_months_to_productivity)),)))</f>
        <v>#REF!</v>
      </c>
      <c r="AK42" s="8" t="e">
        <f ca="1">IF(sales_staffing_level="min",MIN(AK21:OFFSET(AK21,0,0,1,channel_sales_months_to_productivity)),IF(sales_staffing_level="max",MAX(AK21:OFFSET(AK21,0,0,1,channel_sales_months_to_productivity)),IF(sales_staffing_level="avg",AVERAGE(AK21:OFFSET(AK21,0,0,1,channel_sales_months_to_productivity)),)))</f>
        <v>#REF!</v>
      </c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</row>
    <row r="43" spans="1:61" x14ac:dyDescent="0.3">
      <c r="A43" s="6" t="s">
        <v>53</v>
      </c>
      <c r="B43" s="8" t="e">
        <f ca="1">IF(sales_staffing_level="min",MIN(B22:OFFSET(B22,0,0,1,channel_sales_months_to_productivity)),IF(sales_staffing_level="max",MAX(B22:OFFSET(B22,0,0,1,channel_sales_months_to_productivity)),IF(sales_staffing_level="avg",AVERAGE(B22:OFFSET(B22,0,0,1,channel_sales_months_to_productivity)),)))</f>
        <v>#REF!</v>
      </c>
      <c r="C43" s="8" t="e">
        <f ca="1">IF(sales_staffing_level="min",MIN(C22:OFFSET(C22,0,0,1,channel_sales_months_to_productivity)),IF(sales_staffing_level="max",MAX(C22:OFFSET(C22,0,0,1,channel_sales_months_to_productivity)),IF(sales_staffing_level="avg",AVERAGE(C22:OFFSET(C22,0,0,1,channel_sales_months_to_productivity)),)))</f>
        <v>#REF!</v>
      </c>
      <c r="D43" s="8" t="e">
        <f ca="1">IF(sales_staffing_level="min",MIN(D22:OFFSET(D22,0,0,1,channel_sales_months_to_productivity)),IF(sales_staffing_level="max",MAX(D22:OFFSET(D22,0,0,1,channel_sales_months_to_productivity)),IF(sales_staffing_level="avg",AVERAGE(D22:OFFSET(D22,0,0,1,channel_sales_months_to_productivity)),)))</f>
        <v>#REF!</v>
      </c>
      <c r="E43" s="8" t="e">
        <f ca="1">IF(sales_staffing_level="min",MIN(E22:OFFSET(E22,0,0,1,channel_sales_months_to_productivity)),IF(sales_staffing_level="max",MAX(E22:OFFSET(E22,0,0,1,channel_sales_months_to_productivity)),IF(sales_staffing_level="avg",AVERAGE(E22:OFFSET(E22,0,0,1,channel_sales_months_to_productivity)),)))</f>
        <v>#REF!</v>
      </c>
      <c r="F43" s="8" t="e">
        <f ca="1">IF(sales_staffing_level="min",MIN(F22:OFFSET(F22,0,0,1,channel_sales_months_to_productivity)),IF(sales_staffing_level="max",MAX(F22:OFFSET(F22,0,0,1,channel_sales_months_to_productivity)),IF(sales_staffing_level="avg",AVERAGE(F22:OFFSET(F22,0,0,1,channel_sales_months_to_productivity)),)))</f>
        <v>#REF!</v>
      </c>
      <c r="G43" s="8" t="e">
        <f ca="1">IF(sales_staffing_level="min",MIN(G22:OFFSET(G22,0,0,1,channel_sales_months_to_productivity)),IF(sales_staffing_level="max",MAX(G22:OFFSET(G22,0,0,1,channel_sales_months_to_productivity)),IF(sales_staffing_level="avg",AVERAGE(G22:OFFSET(G22,0,0,1,channel_sales_months_to_productivity)),)))</f>
        <v>#REF!</v>
      </c>
      <c r="H43" s="8" t="e">
        <f ca="1">IF(sales_staffing_level="min",MIN(H22:OFFSET(H22,0,0,1,channel_sales_months_to_productivity)),IF(sales_staffing_level="max",MAX(H22:OFFSET(H22,0,0,1,channel_sales_months_to_productivity)),IF(sales_staffing_level="avg",AVERAGE(H22:OFFSET(H22,0,0,1,channel_sales_months_to_productivity)),)))</f>
        <v>#REF!</v>
      </c>
      <c r="I43" s="8" t="e">
        <f ca="1">IF(sales_staffing_level="min",MIN(I22:OFFSET(I22,0,0,1,channel_sales_months_to_productivity)),IF(sales_staffing_level="max",MAX(I22:OFFSET(I22,0,0,1,channel_sales_months_to_productivity)),IF(sales_staffing_level="avg",AVERAGE(I22:OFFSET(I22,0,0,1,channel_sales_months_to_productivity)),)))</f>
        <v>#REF!</v>
      </c>
      <c r="J43" s="8" t="e">
        <f ca="1">IF(sales_staffing_level="min",MIN(J22:OFFSET(J22,0,0,1,channel_sales_months_to_productivity)),IF(sales_staffing_level="max",MAX(J22:OFFSET(J22,0,0,1,channel_sales_months_to_productivity)),IF(sales_staffing_level="avg",AVERAGE(J22:OFFSET(J22,0,0,1,channel_sales_months_to_productivity)),)))</f>
        <v>#REF!</v>
      </c>
      <c r="K43" s="8" t="e">
        <f ca="1">IF(sales_staffing_level="min",MIN(K22:OFFSET(K22,0,0,1,channel_sales_months_to_productivity)),IF(sales_staffing_level="max",MAX(K22:OFFSET(K22,0,0,1,channel_sales_months_to_productivity)),IF(sales_staffing_level="avg",AVERAGE(K22:OFFSET(K22,0,0,1,channel_sales_months_to_productivity)),)))</f>
        <v>#REF!</v>
      </c>
      <c r="L43" s="8" t="e">
        <f ca="1">IF(sales_staffing_level="min",MIN(L22:OFFSET(L22,0,0,1,channel_sales_months_to_productivity)),IF(sales_staffing_level="max",MAX(L22:OFFSET(L22,0,0,1,channel_sales_months_to_productivity)),IF(sales_staffing_level="avg",AVERAGE(L22:OFFSET(L22,0,0,1,channel_sales_months_to_productivity)),)))</f>
        <v>#REF!</v>
      </c>
      <c r="M43" s="8" t="e">
        <f ca="1">IF(sales_staffing_level="min",MIN(M22:OFFSET(M22,0,0,1,channel_sales_months_to_productivity)),IF(sales_staffing_level="max",MAX(M22:OFFSET(M22,0,0,1,channel_sales_months_to_productivity)),IF(sales_staffing_level="avg",AVERAGE(M22:OFFSET(M22,0,0,1,channel_sales_months_to_productivity)),)))</f>
        <v>#REF!</v>
      </c>
      <c r="N43" s="8" t="e">
        <f ca="1">IF(sales_staffing_level="min",MIN(N22:OFFSET(N22,0,0,1,channel_sales_months_to_productivity)),IF(sales_staffing_level="max",MAX(N22:OFFSET(N22,0,0,1,channel_sales_months_to_productivity)),IF(sales_staffing_level="avg",AVERAGE(N22:OFFSET(N22,0,0,1,channel_sales_months_to_productivity)),)))</f>
        <v>#REF!</v>
      </c>
      <c r="O43" s="8" t="e">
        <f ca="1">IF(sales_staffing_level="min",MIN(O22:OFFSET(O22,0,0,1,channel_sales_months_to_productivity)),IF(sales_staffing_level="max",MAX(O22:OFFSET(O22,0,0,1,channel_sales_months_to_productivity)),IF(sales_staffing_level="avg",AVERAGE(O22:OFFSET(O22,0,0,1,channel_sales_months_to_productivity)),)))</f>
        <v>#REF!</v>
      </c>
      <c r="P43" s="8" t="e">
        <f ca="1">IF(sales_staffing_level="min",MIN(P22:OFFSET(P22,0,0,1,channel_sales_months_to_productivity)),IF(sales_staffing_level="max",MAX(P22:OFFSET(P22,0,0,1,channel_sales_months_to_productivity)),IF(sales_staffing_level="avg",AVERAGE(P22:OFFSET(P22,0,0,1,channel_sales_months_to_productivity)),)))</f>
        <v>#REF!</v>
      </c>
      <c r="Q43" s="8" t="e">
        <f ca="1">IF(sales_staffing_level="min",MIN(Q22:OFFSET(Q22,0,0,1,channel_sales_months_to_productivity)),IF(sales_staffing_level="max",MAX(Q22:OFFSET(Q22,0,0,1,channel_sales_months_to_productivity)),IF(sales_staffing_level="avg",AVERAGE(Q22:OFFSET(Q22,0,0,1,channel_sales_months_to_productivity)),)))</f>
        <v>#REF!</v>
      </c>
      <c r="R43" s="8" t="e">
        <f ca="1">IF(sales_staffing_level="min",MIN(R22:OFFSET(R22,0,0,1,channel_sales_months_to_productivity)),IF(sales_staffing_level="max",MAX(R22:OFFSET(R22,0,0,1,channel_sales_months_to_productivity)),IF(sales_staffing_level="avg",AVERAGE(R22:OFFSET(R22,0,0,1,channel_sales_months_to_productivity)),)))</f>
        <v>#REF!</v>
      </c>
      <c r="S43" s="8" t="e">
        <f ca="1">IF(sales_staffing_level="min",MIN(S22:OFFSET(S22,0,0,1,channel_sales_months_to_productivity)),IF(sales_staffing_level="max",MAX(S22:OFFSET(S22,0,0,1,channel_sales_months_to_productivity)),IF(sales_staffing_level="avg",AVERAGE(S22:OFFSET(S22,0,0,1,channel_sales_months_to_productivity)),)))</f>
        <v>#REF!</v>
      </c>
      <c r="T43" s="8" t="e">
        <f ca="1">IF(sales_staffing_level="min",MIN(T22:OFFSET(T22,0,0,1,channel_sales_months_to_productivity)),IF(sales_staffing_level="max",MAX(T22:OFFSET(T22,0,0,1,channel_sales_months_to_productivity)),IF(sales_staffing_level="avg",AVERAGE(T22:OFFSET(T22,0,0,1,channel_sales_months_to_productivity)),)))</f>
        <v>#REF!</v>
      </c>
      <c r="U43" s="8" t="e">
        <f ca="1">IF(sales_staffing_level="min",MIN(U22:OFFSET(U22,0,0,1,channel_sales_months_to_productivity)),IF(sales_staffing_level="max",MAX(U22:OFFSET(U22,0,0,1,channel_sales_months_to_productivity)),IF(sales_staffing_level="avg",AVERAGE(U22:OFFSET(U22,0,0,1,channel_sales_months_to_productivity)),)))</f>
        <v>#REF!</v>
      </c>
      <c r="V43" s="8" t="e">
        <f ca="1">IF(sales_staffing_level="min",MIN(V22:OFFSET(V22,0,0,1,channel_sales_months_to_productivity)),IF(sales_staffing_level="max",MAX(V22:OFFSET(V22,0,0,1,channel_sales_months_to_productivity)),IF(sales_staffing_level="avg",AVERAGE(V22:OFFSET(V22,0,0,1,channel_sales_months_to_productivity)),)))</f>
        <v>#REF!</v>
      </c>
      <c r="W43" s="8" t="e">
        <f ca="1">IF(sales_staffing_level="min",MIN(W22:OFFSET(W22,0,0,1,channel_sales_months_to_productivity)),IF(sales_staffing_level="max",MAX(W22:OFFSET(W22,0,0,1,channel_sales_months_to_productivity)),IF(sales_staffing_level="avg",AVERAGE(W22:OFFSET(W22,0,0,1,channel_sales_months_to_productivity)),)))</f>
        <v>#REF!</v>
      </c>
      <c r="X43" s="8" t="e">
        <f ca="1">IF(sales_staffing_level="min",MIN(X22:OFFSET(X22,0,0,1,channel_sales_months_to_productivity)),IF(sales_staffing_level="max",MAX(X22:OFFSET(X22,0,0,1,channel_sales_months_to_productivity)),IF(sales_staffing_level="avg",AVERAGE(X22:OFFSET(X22,0,0,1,channel_sales_months_to_productivity)),)))</f>
        <v>#REF!</v>
      </c>
      <c r="Y43" s="8" t="e">
        <f ca="1">IF(sales_staffing_level="min",MIN(Y22:OFFSET(Y22,0,0,1,channel_sales_months_to_productivity)),IF(sales_staffing_level="max",MAX(Y22:OFFSET(Y22,0,0,1,channel_sales_months_to_productivity)),IF(sales_staffing_level="avg",AVERAGE(Y22:OFFSET(Y22,0,0,1,channel_sales_months_to_productivity)),)))</f>
        <v>#REF!</v>
      </c>
      <c r="Z43" s="8" t="e">
        <f ca="1">IF(sales_staffing_level="min",MIN(Z22:OFFSET(Z22,0,0,1,channel_sales_months_to_productivity)),IF(sales_staffing_level="max",MAX(Z22:OFFSET(Z22,0,0,1,channel_sales_months_to_productivity)),IF(sales_staffing_level="avg",AVERAGE(Z22:OFFSET(Z22,0,0,1,channel_sales_months_to_productivity)),)))</f>
        <v>#REF!</v>
      </c>
      <c r="AA43" s="8" t="e">
        <f ca="1">IF(sales_staffing_level="min",MIN(AA22:OFFSET(AA22,0,0,1,channel_sales_months_to_productivity)),IF(sales_staffing_level="max",MAX(AA22:OFFSET(AA22,0,0,1,channel_sales_months_to_productivity)),IF(sales_staffing_level="avg",AVERAGE(AA22:OFFSET(AA22,0,0,1,channel_sales_months_to_productivity)),)))</f>
        <v>#REF!</v>
      </c>
      <c r="AB43" s="8" t="e">
        <f ca="1">IF(sales_staffing_level="min",MIN(AB22:OFFSET(AB22,0,0,1,channel_sales_months_to_productivity)),IF(sales_staffing_level="max",MAX(AB22:OFFSET(AB22,0,0,1,channel_sales_months_to_productivity)),IF(sales_staffing_level="avg",AVERAGE(AB22:OFFSET(AB22,0,0,1,channel_sales_months_to_productivity)),)))</f>
        <v>#REF!</v>
      </c>
      <c r="AC43" s="8" t="e">
        <f ca="1">IF(sales_staffing_level="min",MIN(AC22:OFFSET(AC22,0,0,1,channel_sales_months_to_productivity)),IF(sales_staffing_level="max",MAX(AC22:OFFSET(AC22,0,0,1,channel_sales_months_to_productivity)),IF(sales_staffing_level="avg",AVERAGE(AC22:OFFSET(AC22,0,0,1,channel_sales_months_to_productivity)),)))</f>
        <v>#REF!</v>
      </c>
      <c r="AD43" s="8" t="e">
        <f ca="1">IF(sales_staffing_level="min",MIN(AD22:OFFSET(AD22,0,0,1,channel_sales_months_to_productivity)),IF(sales_staffing_level="max",MAX(AD22:OFFSET(AD22,0,0,1,channel_sales_months_to_productivity)),IF(sales_staffing_level="avg",AVERAGE(AD22:OFFSET(AD22,0,0,1,channel_sales_months_to_productivity)),)))</f>
        <v>#REF!</v>
      </c>
      <c r="AE43" s="8" t="e">
        <f ca="1">IF(sales_staffing_level="min",MIN(AE22:OFFSET(AE22,0,0,1,channel_sales_months_to_productivity)),IF(sales_staffing_level="max",MAX(AE22:OFFSET(AE22,0,0,1,channel_sales_months_to_productivity)),IF(sales_staffing_level="avg",AVERAGE(AE22:OFFSET(AE22,0,0,1,channel_sales_months_to_productivity)),)))</f>
        <v>#REF!</v>
      </c>
      <c r="AF43" s="8" t="e">
        <f ca="1">IF(sales_staffing_level="min",MIN(AF22:OFFSET(AF22,0,0,1,channel_sales_months_to_productivity)),IF(sales_staffing_level="max",MAX(AF22:OFFSET(AF22,0,0,1,channel_sales_months_to_productivity)),IF(sales_staffing_level="avg",AVERAGE(AF22:OFFSET(AF22,0,0,1,channel_sales_months_to_productivity)),)))</f>
        <v>#REF!</v>
      </c>
      <c r="AG43" s="8" t="e">
        <f ca="1">IF(sales_staffing_level="min",MIN(AG22:OFFSET(AG22,0,0,1,channel_sales_months_to_productivity)),IF(sales_staffing_level="max",MAX(AG22:OFFSET(AG22,0,0,1,channel_sales_months_to_productivity)),IF(sales_staffing_level="avg",AVERAGE(AG22:OFFSET(AG22,0,0,1,channel_sales_months_to_productivity)),)))</f>
        <v>#REF!</v>
      </c>
      <c r="AH43" s="8" t="e">
        <f ca="1">IF(sales_staffing_level="min",MIN(AH22:OFFSET(AH22,0,0,1,channel_sales_months_to_productivity)),IF(sales_staffing_level="max",MAX(AH22:OFFSET(AH22,0,0,1,channel_sales_months_to_productivity)),IF(sales_staffing_level="avg",AVERAGE(AH22:OFFSET(AH22,0,0,1,channel_sales_months_to_productivity)),)))</f>
        <v>#REF!</v>
      </c>
      <c r="AI43" s="8" t="e">
        <f ca="1">IF(sales_staffing_level="min",MIN(AI22:OFFSET(AI22,0,0,1,channel_sales_months_to_productivity)),IF(sales_staffing_level="max",MAX(AI22:OFFSET(AI22,0,0,1,channel_sales_months_to_productivity)),IF(sales_staffing_level="avg",AVERAGE(AI22:OFFSET(AI22,0,0,1,channel_sales_months_to_productivity)),)))</f>
        <v>#REF!</v>
      </c>
      <c r="AJ43" s="8" t="e">
        <f ca="1">IF(sales_staffing_level="min",MIN(AJ22:OFFSET(AJ22,0,0,1,channel_sales_months_to_productivity)),IF(sales_staffing_level="max",MAX(AJ22:OFFSET(AJ22,0,0,1,channel_sales_months_to_productivity)),IF(sales_staffing_level="avg",AVERAGE(AJ22:OFFSET(AJ22,0,0,1,channel_sales_months_to_productivity)),)))</f>
        <v>#REF!</v>
      </c>
      <c r="AK43" s="8" t="e">
        <f ca="1">IF(sales_staffing_level="min",MIN(AK22:OFFSET(AK22,0,0,1,channel_sales_months_to_productivity)),IF(sales_staffing_level="max",MAX(AK22:OFFSET(AK22,0,0,1,channel_sales_months_to_productivity)),IF(sales_staffing_level="avg",AVERAGE(AK22:OFFSET(AK22,0,0,1,channel_sales_months_to_productivity)),)))</f>
        <v>#REF!</v>
      </c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</row>
    <row r="44" spans="1:61" x14ac:dyDescent="0.3">
      <c r="A44" s="6" t="s">
        <v>54</v>
      </c>
      <c r="B44" s="8" t="e">
        <f ca="1">IF(sales_staffing_level="min",MIN(B23:OFFSET(B23,0,0,1,channel_sales_months_to_productivity)),IF(sales_staffing_level="max",MAX(B23:OFFSET(B23,0,0,1,channel_sales_months_to_productivity)),IF(sales_staffing_level="avg",AVERAGE(B23:OFFSET(B23,0,0,1,channel_sales_months_to_productivity)),)))</f>
        <v>#REF!</v>
      </c>
      <c r="C44" s="8" t="e">
        <f ca="1">IF(sales_staffing_level="min",MIN(C23:OFFSET(C23,0,0,1,channel_sales_months_to_productivity)),IF(sales_staffing_level="max",MAX(C23:OFFSET(C23,0,0,1,channel_sales_months_to_productivity)),IF(sales_staffing_level="avg",AVERAGE(C23:OFFSET(C23,0,0,1,channel_sales_months_to_productivity)),)))</f>
        <v>#REF!</v>
      </c>
      <c r="D44" s="8" t="e">
        <f ca="1">IF(sales_staffing_level="min",MIN(D23:OFFSET(D23,0,0,1,channel_sales_months_to_productivity)),IF(sales_staffing_level="max",MAX(D23:OFFSET(D23,0,0,1,channel_sales_months_to_productivity)),IF(sales_staffing_level="avg",AVERAGE(D23:OFFSET(D23,0,0,1,channel_sales_months_to_productivity)),)))</f>
        <v>#REF!</v>
      </c>
      <c r="E44" s="8" t="e">
        <f ca="1">IF(sales_staffing_level="min",MIN(E23:OFFSET(E23,0,0,1,channel_sales_months_to_productivity)),IF(sales_staffing_level="max",MAX(E23:OFFSET(E23,0,0,1,channel_sales_months_to_productivity)),IF(sales_staffing_level="avg",AVERAGE(E23:OFFSET(E23,0,0,1,channel_sales_months_to_productivity)),)))</f>
        <v>#REF!</v>
      </c>
      <c r="F44" s="8" t="e">
        <f ca="1">IF(sales_staffing_level="min",MIN(F23:OFFSET(F23,0,0,1,channel_sales_months_to_productivity)),IF(sales_staffing_level="max",MAX(F23:OFFSET(F23,0,0,1,channel_sales_months_to_productivity)),IF(sales_staffing_level="avg",AVERAGE(F23:OFFSET(F23,0,0,1,channel_sales_months_to_productivity)),)))</f>
        <v>#REF!</v>
      </c>
      <c r="G44" s="8" t="e">
        <f ca="1">IF(sales_staffing_level="min",MIN(G23:OFFSET(G23,0,0,1,channel_sales_months_to_productivity)),IF(sales_staffing_level="max",MAX(G23:OFFSET(G23,0,0,1,channel_sales_months_to_productivity)),IF(sales_staffing_level="avg",AVERAGE(G23:OFFSET(G23,0,0,1,channel_sales_months_to_productivity)),)))</f>
        <v>#REF!</v>
      </c>
      <c r="H44" s="8" t="e">
        <f ca="1">IF(sales_staffing_level="min",MIN(H23:OFFSET(H23,0,0,1,channel_sales_months_to_productivity)),IF(sales_staffing_level="max",MAX(H23:OFFSET(H23,0,0,1,channel_sales_months_to_productivity)),IF(sales_staffing_level="avg",AVERAGE(H23:OFFSET(H23,0,0,1,channel_sales_months_to_productivity)),)))</f>
        <v>#REF!</v>
      </c>
      <c r="I44" s="8" t="e">
        <f ca="1">IF(sales_staffing_level="min",MIN(I23:OFFSET(I23,0,0,1,channel_sales_months_to_productivity)),IF(sales_staffing_level="max",MAX(I23:OFFSET(I23,0,0,1,channel_sales_months_to_productivity)),IF(sales_staffing_level="avg",AVERAGE(I23:OFFSET(I23,0,0,1,channel_sales_months_to_productivity)),)))</f>
        <v>#REF!</v>
      </c>
      <c r="J44" s="8" t="e">
        <f ca="1">IF(sales_staffing_level="min",MIN(J23:OFFSET(J23,0,0,1,channel_sales_months_to_productivity)),IF(sales_staffing_level="max",MAX(J23:OFFSET(J23,0,0,1,channel_sales_months_to_productivity)),IF(sales_staffing_level="avg",AVERAGE(J23:OFFSET(J23,0,0,1,channel_sales_months_to_productivity)),)))</f>
        <v>#REF!</v>
      </c>
      <c r="K44" s="8" t="e">
        <f ca="1">IF(sales_staffing_level="min",MIN(K23:OFFSET(K23,0,0,1,channel_sales_months_to_productivity)),IF(sales_staffing_level="max",MAX(K23:OFFSET(K23,0,0,1,channel_sales_months_to_productivity)),IF(sales_staffing_level="avg",AVERAGE(K23:OFFSET(K23,0,0,1,channel_sales_months_to_productivity)),)))</f>
        <v>#REF!</v>
      </c>
      <c r="L44" s="8" t="e">
        <f ca="1">IF(sales_staffing_level="min",MIN(L23:OFFSET(L23,0,0,1,channel_sales_months_to_productivity)),IF(sales_staffing_level="max",MAX(L23:OFFSET(L23,0,0,1,channel_sales_months_to_productivity)),IF(sales_staffing_level="avg",AVERAGE(L23:OFFSET(L23,0,0,1,channel_sales_months_to_productivity)),)))</f>
        <v>#REF!</v>
      </c>
      <c r="M44" s="8" t="e">
        <f ca="1">IF(sales_staffing_level="min",MIN(M23:OFFSET(M23,0,0,1,channel_sales_months_to_productivity)),IF(sales_staffing_level="max",MAX(M23:OFFSET(M23,0,0,1,channel_sales_months_to_productivity)),IF(sales_staffing_level="avg",AVERAGE(M23:OFFSET(M23,0,0,1,channel_sales_months_to_productivity)),)))</f>
        <v>#REF!</v>
      </c>
      <c r="N44" s="8" t="e">
        <f ca="1">IF(sales_staffing_level="min",MIN(N23:OFFSET(N23,0,0,1,channel_sales_months_to_productivity)),IF(sales_staffing_level="max",MAX(N23:OFFSET(N23,0,0,1,channel_sales_months_to_productivity)),IF(sales_staffing_level="avg",AVERAGE(N23:OFFSET(N23,0,0,1,channel_sales_months_to_productivity)),)))</f>
        <v>#REF!</v>
      </c>
      <c r="O44" s="8" t="e">
        <f ca="1">IF(sales_staffing_level="min",MIN(O23:OFFSET(O23,0,0,1,channel_sales_months_to_productivity)),IF(sales_staffing_level="max",MAX(O23:OFFSET(O23,0,0,1,channel_sales_months_to_productivity)),IF(sales_staffing_level="avg",AVERAGE(O23:OFFSET(O23,0,0,1,channel_sales_months_to_productivity)),)))</f>
        <v>#REF!</v>
      </c>
      <c r="P44" s="8" t="e">
        <f ca="1">IF(sales_staffing_level="min",MIN(P23:OFFSET(P23,0,0,1,channel_sales_months_to_productivity)),IF(sales_staffing_level="max",MAX(P23:OFFSET(P23,0,0,1,channel_sales_months_to_productivity)),IF(sales_staffing_level="avg",AVERAGE(P23:OFFSET(P23,0,0,1,channel_sales_months_to_productivity)),)))</f>
        <v>#REF!</v>
      </c>
      <c r="Q44" s="8" t="e">
        <f ca="1">IF(sales_staffing_level="min",MIN(Q23:OFFSET(Q23,0,0,1,channel_sales_months_to_productivity)),IF(sales_staffing_level="max",MAX(Q23:OFFSET(Q23,0,0,1,channel_sales_months_to_productivity)),IF(sales_staffing_level="avg",AVERAGE(Q23:OFFSET(Q23,0,0,1,channel_sales_months_to_productivity)),)))</f>
        <v>#REF!</v>
      </c>
      <c r="R44" s="8" t="e">
        <f ca="1">IF(sales_staffing_level="min",MIN(R23:OFFSET(R23,0,0,1,channel_sales_months_to_productivity)),IF(sales_staffing_level="max",MAX(R23:OFFSET(R23,0,0,1,channel_sales_months_to_productivity)),IF(sales_staffing_level="avg",AVERAGE(R23:OFFSET(R23,0,0,1,channel_sales_months_to_productivity)),)))</f>
        <v>#REF!</v>
      </c>
      <c r="S44" s="8" t="e">
        <f ca="1">IF(sales_staffing_level="min",MIN(S23:OFFSET(S23,0,0,1,channel_sales_months_to_productivity)),IF(sales_staffing_level="max",MAX(S23:OFFSET(S23,0,0,1,channel_sales_months_to_productivity)),IF(sales_staffing_level="avg",AVERAGE(S23:OFFSET(S23,0,0,1,channel_sales_months_to_productivity)),)))</f>
        <v>#REF!</v>
      </c>
      <c r="T44" s="8" t="e">
        <f ca="1">IF(sales_staffing_level="min",MIN(T23:OFFSET(T23,0,0,1,channel_sales_months_to_productivity)),IF(sales_staffing_level="max",MAX(T23:OFFSET(T23,0,0,1,channel_sales_months_to_productivity)),IF(sales_staffing_level="avg",AVERAGE(T23:OFFSET(T23,0,0,1,channel_sales_months_to_productivity)),)))</f>
        <v>#REF!</v>
      </c>
      <c r="U44" s="8" t="e">
        <f ca="1">IF(sales_staffing_level="min",MIN(U23:OFFSET(U23,0,0,1,channel_sales_months_to_productivity)),IF(sales_staffing_level="max",MAX(U23:OFFSET(U23,0,0,1,channel_sales_months_to_productivity)),IF(sales_staffing_level="avg",AVERAGE(U23:OFFSET(U23,0,0,1,channel_sales_months_to_productivity)),)))</f>
        <v>#REF!</v>
      </c>
      <c r="V44" s="8" t="e">
        <f ca="1">IF(sales_staffing_level="min",MIN(V23:OFFSET(V23,0,0,1,channel_sales_months_to_productivity)),IF(sales_staffing_level="max",MAX(V23:OFFSET(V23,0,0,1,channel_sales_months_to_productivity)),IF(sales_staffing_level="avg",AVERAGE(V23:OFFSET(V23,0,0,1,channel_sales_months_to_productivity)),)))</f>
        <v>#REF!</v>
      </c>
      <c r="W44" s="8" t="e">
        <f ca="1">IF(sales_staffing_level="min",MIN(W23:OFFSET(W23,0,0,1,channel_sales_months_to_productivity)),IF(sales_staffing_level="max",MAX(W23:OFFSET(W23,0,0,1,channel_sales_months_to_productivity)),IF(sales_staffing_level="avg",AVERAGE(W23:OFFSET(W23,0,0,1,channel_sales_months_to_productivity)),)))</f>
        <v>#REF!</v>
      </c>
      <c r="X44" s="8" t="e">
        <f ca="1">IF(sales_staffing_level="min",MIN(X23:OFFSET(X23,0,0,1,channel_sales_months_to_productivity)),IF(sales_staffing_level="max",MAX(X23:OFFSET(X23,0,0,1,channel_sales_months_to_productivity)),IF(sales_staffing_level="avg",AVERAGE(X23:OFFSET(X23,0,0,1,channel_sales_months_to_productivity)),)))</f>
        <v>#REF!</v>
      </c>
      <c r="Y44" s="8" t="e">
        <f ca="1">IF(sales_staffing_level="min",MIN(Y23:OFFSET(Y23,0,0,1,channel_sales_months_to_productivity)),IF(sales_staffing_level="max",MAX(Y23:OFFSET(Y23,0,0,1,channel_sales_months_to_productivity)),IF(sales_staffing_level="avg",AVERAGE(Y23:OFFSET(Y23,0,0,1,channel_sales_months_to_productivity)),)))</f>
        <v>#REF!</v>
      </c>
      <c r="Z44" s="8" t="e">
        <f ca="1">IF(sales_staffing_level="min",MIN(Z23:OFFSET(Z23,0,0,1,channel_sales_months_to_productivity)),IF(sales_staffing_level="max",MAX(Z23:OFFSET(Z23,0,0,1,channel_sales_months_to_productivity)),IF(sales_staffing_level="avg",AVERAGE(Z23:OFFSET(Z23,0,0,1,channel_sales_months_to_productivity)),)))</f>
        <v>#REF!</v>
      </c>
      <c r="AA44" s="8" t="e">
        <f ca="1">IF(sales_staffing_level="min",MIN(AA23:OFFSET(AA23,0,0,1,channel_sales_months_to_productivity)),IF(sales_staffing_level="max",MAX(AA23:OFFSET(AA23,0,0,1,channel_sales_months_to_productivity)),IF(sales_staffing_level="avg",AVERAGE(AA23:OFFSET(AA23,0,0,1,channel_sales_months_to_productivity)),)))</f>
        <v>#REF!</v>
      </c>
      <c r="AB44" s="8" t="e">
        <f ca="1">IF(sales_staffing_level="min",MIN(AB23:OFFSET(AB23,0,0,1,channel_sales_months_to_productivity)),IF(sales_staffing_level="max",MAX(AB23:OFFSET(AB23,0,0,1,channel_sales_months_to_productivity)),IF(sales_staffing_level="avg",AVERAGE(AB23:OFFSET(AB23,0,0,1,channel_sales_months_to_productivity)),)))</f>
        <v>#REF!</v>
      </c>
      <c r="AC44" s="8" t="e">
        <f ca="1">IF(sales_staffing_level="min",MIN(AC23:OFFSET(AC23,0,0,1,channel_sales_months_to_productivity)),IF(sales_staffing_level="max",MAX(AC23:OFFSET(AC23,0,0,1,channel_sales_months_to_productivity)),IF(sales_staffing_level="avg",AVERAGE(AC23:OFFSET(AC23,0,0,1,channel_sales_months_to_productivity)),)))</f>
        <v>#REF!</v>
      </c>
      <c r="AD44" s="8" t="e">
        <f ca="1">IF(sales_staffing_level="min",MIN(AD23:OFFSET(AD23,0,0,1,channel_sales_months_to_productivity)),IF(sales_staffing_level="max",MAX(AD23:OFFSET(AD23,0,0,1,channel_sales_months_to_productivity)),IF(sales_staffing_level="avg",AVERAGE(AD23:OFFSET(AD23,0,0,1,channel_sales_months_to_productivity)),)))</f>
        <v>#REF!</v>
      </c>
      <c r="AE44" s="8" t="e">
        <f ca="1">IF(sales_staffing_level="min",MIN(AE23:OFFSET(AE23,0,0,1,channel_sales_months_to_productivity)),IF(sales_staffing_level="max",MAX(AE23:OFFSET(AE23,0,0,1,channel_sales_months_to_productivity)),IF(sales_staffing_level="avg",AVERAGE(AE23:OFFSET(AE23,0,0,1,channel_sales_months_to_productivity)),)))</f>
        <v>#REF!</v>
      </c>
      <c r="AF44" s="8" t="e">
        <f ca="1">IF(sales_staffing_level="min",MIN(AF23:OFFSET(AF23,0,0,1,channel_sales_months_to_productivity)),IF(sales_staffing_level="max",MAX(AF23:OFFSET(AF23,0,0,1,channel_sales_months_to_productivity)),IF(sales_staffing_level="avg",AVERAGE(AF23:OFFSET(AF23,0,0,1,channel_sales_months_to_productivity)),)))</f>
        <v>#REF!</v>
      </c>
      <c r="AG44" s="8" t="e">
        <f ca="1">IF(sales_staffing_level="min",MIN(AG23:OFFSET(AG23,0,0,1,channel_sales_months_to_productivity)),IF(sales_staffing_level="max",MAX(AG23:OFFSET(AG23,0,0,1,channel_sales_months_to_productivity)),IF(sales_staffing_level="avg",AVERAGE(AG23:OFFSET(AG23,0,0,1,channel_sales_months_to_productivity)),)))</f>
        <v>#REF!</v>
      </c>
      <c r="AH44" s="8" t="e">
        <f ca="1">IF(sales_staffing_level="min",MIN(AH23:OFFSET(AH23,0,0,1,channel_sales_months_to_productivity)),IF(sales_staffing_level="max",MAX(AH23:OFFSET(AH23,0,0,1,channel_sales_months_to_productivity)),IF(sales_staffing_level="avg",AVERAGE(AH23:OFFSET(AH23,0,0,1,channel_sales_months_to_productivity)),)))</f>
        <v>#REF!</v>
      </c>
      <c r="AI44" s="8" t="e">
        <f ca="1">IF(sales_staffing_level="min",MIN(AI23:OFFSET(AI23,0,0,1,channel_sales_months_to_productivity)),IF(sales_staffing_level="max",MAX(AI23:OFFSET(AI23,0,0,1,channel_sales_months_to_productivity)),IF(sales_staffing_level="avg",AVERAGE(AI23:OFFSET(AI23,0,0,1,channel_sales_months_to_productivity)),)))</f>
        <v>#REF!</v>
      </c>
      <c r="AJ44" s="8" t="e">
        <f ca="1">IF(sales_staffing_level="min",MIN(AJ23:OFFSET(AJ23,0,0,1,channel_sales_months_to_productivity)),IF(sales_staffing_level="max",MAX(AJ23:OFFSET(AJ23,0,0,1,channel_sales_months_to_productivity)),IF(sales_staffing_level="avg",AVERAGE(AJ23:OFFSET(AJ23,0,0,1,channel_sales_months_to_productivity)),)))</f>
        <v>#REF!</v>
      </c>
      <c r="AK44" s="8" t="e">
        <f ca="1">IF(sales_staffing_level="min",MIN(AK23:OFFSET(AK23,0,0,1,channel_sales_months_to_productivity)),IF(sales_staffing_level="max",MAX(AK23:OFFSET(AK23,0,0,1,channel_sales_months_to_productivity)),IF(sales_staffing_level="avg",AVERAGE(AK23:OFFSET(AK23,0,0,1,channel_sales_months_to_productivity)),)))</f>
        <v>#REF!</v>
      </c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</row>
    <row r="46" spans="1:61" x14ac:dyDescent="0.3">
      <c r="A46" s="6" t="s">
        <v>59</v>
      </c>
    </row>
    <row r="47" spans="1:61" x14ac:dyDescent="0.3">
      <c r="A47" t="s">
        <v>49</v>
      </c>
      <c r="C47" s="5"/>
    </row>
    <row r="48" spans="1:61" x14ac:dyDescent="0.3">
      <c r="A48" s="6" t="s">
        <v>52</v>
      </c>
      <c r="B48" s="3" t="e">
        <f t="shared" ref="B48:AK48" ca="1" si="1">((americas_channel_sales_exec_Base_Salary/12)*B27)/1000</f>
        <v>#REF!</v>
      </c>
      <c r="C48" s="3" t="e">
        <f t="shared" ca="1" si="1"/>
        <v>#REF!</v>
      </c>
      <c r="D48" s="3" t="e">
        <f t="shared" ca="1" si="1"/>
        <v>#REF!</v>
      </c>
      <c r="E48" s="3" t="e">
        <f t="shared" ca="1" si="1"/>
        <v>#REF!</v>
      </c>
      <c r="F48" s="3" t="e">
        <f t="shared" ca="1" si="1"/>
        <v>#REF!</v>
      </c>
      <c r="G48" s="3" t="e">
        <f t="shared" ca="1" si="1"/>
        <v>#REF!</v>
      </c>
      <c r="H48" s="3" t="e">
        <f t="shared" ca="1" si="1"/>
        <v>#REF!</v>
      </c>
      <c r="I48" s="3" t="e">
        <f t="shared" ca="1" si="1"/>
        <v>#REF!</v>
      </c>
      <c r="J48" s="3" t="e">
        <f t="shared" ca="1" si="1"/>
        <v>#REF!</v>
      </c>
      <c r="K48" s="3" t="e">
        <f t="shared" ca="1" si="1"/>
        <v>#REF!</v>
      </c>
      <c r="L48" s="3" t="e">
        <f t="shared" ca="1" si="1"/>
        <v>#REF!</v>
      </c>
      <c r="M48" s="3" t="e">
        <f t="shared" ca="1" si="1"/>
        <v>#REF!</v>
      </c>
      <c r="N48" s="3" t="e">
        <f t="shared" ca="1" si="1"/>
        <v>#REF!</v>
      </c>
      <c r="O48" s="3" t="e">
        <f t="shared" ca="1" si="1"/>
        <v>#REF!</v>
      </c>
      <c r="P48" s="3" t="e">
        <f t="shared" ca="1" si="1"/>
        <v>#REF!</v>
      </c>
      <c r="Q48" s="3" t="e">
        <f t="shared" ca="1" si="1"/>
        <v>#REF!</v>
      </c>
      <c r="R48" s="3" t="e">
        <f t="shared" ca="1" si="1"/>
        <v>#REF!</v>
      </c>
      <c r="S48" s="3" t="e">
        <f t="shared" ca="1" si="1"/>
        <v>#REF!</v>
      </c>
      <c r="T48" s="3" t="e">
        <f t="shared" ca="1" si="1"/>
        <v>#REF!</v>
      </c>
      <c r="U48" s="3" t="e">
        <f t="shared" ca="1" si="1"/>
        <v>#REF!</v>
      </c>
      <c r="V48" s="3" t="e">
        <f t="shared" ca="1" si="1"/>
        <v>#REF!</v>
      </c>
      <c r="W48" s="3" t="e">
        <f t="shared" ca="1" si="1"/>
        <v>#REF!</v>
      </c>
      <c r="X48" s="3" t="e">
        <f t="shared" ca="1" si="1"/>
        <v>#REF!</v>
      </c>
      <c r="Y48" s="3" t="e">
        <f t="shared" ca="1" si="1"/>
        <v>#REF!</v>
      </c>
      <c r="Z48" s="3" t="e">
        <f t="shared" ca="1" si="1"/>
        <v>#REF!</v>
      </c>
      <c r="AA48" s="3" t="e">
        <f t="shared" ca="1" si="1"/>
        <v>#REF!</v>
      </c>
      <c r="AB48" s="3" t="e">
        <f t="shared" ca="1" si="1"/>
        <v>#REF!</v>
      </c>
      <c r="AC48" s="3" t="e">
        <f t="shared" ca="1" si="1"/>
        <v>#REF!</v>
      </c>
      <c r="AD48" s="3" t="e">
        <f t="shared" ca="1" si="1"/>
        <v>#REF!</v>
      </c>
      <c r="AE48" s="3" t="e">
        <f t="shared" ca="1" si="1"/>
        <v>#REF!</v>
      </c>
      <c r="AF48" s="3" t="e">
        <f t="shared" ca="1" si="1"/>
        <v>#REF!</v>
      </c>
      <c r="AG48" s="3" t="e">
        <f t="shared" ca="1" si="1"/>
        <v>#REF!</v>
      </c>
      <c r="AH48" s="3" t="e">
        <f t="shared" ca="1" si="1"/>
        <v>#REF!</v>
      </c>
      <c r="AI48" s="3" t="e">
        <f t="shared" ca="1" si="1"/>
        <v>#REF!</v>
      </c>
      <c r="AJ48" s="3" t="e">
        <f t="shared" ca="1" si="1"/>
        <v>#REF!</v>
      </c>
      <c r="AK48" s="3" t="e">
        <f t="shared" ca="1" si="1"/>
        <v>#REF!</v>
      </c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spans="1:61" x14ac:dyDescent="0.3">
      <c r="A49" s="6" t="s">
        <v>53</v>
      </c>
      <c r="B49" s="3" t="e">
        <f t="shared" ref="B49:AK49" ca="1" si="2">((americas_inside_sales_base_salary/12)*B28)/1000</f>
        <v>#REF!</v>
      </c>
      <c r="C49" s="3" t="e">
        <f t="shared" ca="1" si="2"/>
        <v>#REF!</v>
      </c>
      <c r="D49" s="3" t="e">
        <f t="shared" ca="1" si="2"/>
        <v>#REF!</v>
      </c>
      <c r="E49" s="3" t="e">
        <f t="shared" ca="1" si="2"/>
        <v>#REF!</v>
      </c>
      <c r="F49" s="3" t="e">
        <f t="shared" ca="1" si="2"/>
        <v>#REF!</v>
      </c>
      <c r="G49" s="3" t="e">
        <f t="shared" ca="1" si="2"/>
        <v>#REF!</v>
      </c>
      <c r="H49" s="3" t="e">
        <f t="shared" ca="1" si="2"/>
        <v>#REF!</v>
      </c>
      <c r="I49" s="3" t="e">
        <f t="shared" ca="1" si="2"/>
        <v>#REF!</v>
      </c>
      <c r="J49" s="3" t="e">
        <f t="shared" ca="1" si="2"/>
        <v>#REF!</v>
      </c>
      <c r="K49" s="3" t="e">
        <f t="shared" ca="1" si="2"/>
        <v>#REF!</v>
      </c>
      <c r="L49" s="3" t="e">
        <f t="shared" ca="1" si="2"/>
        <v>#REF!</v>
      </c>
      <c r="M49" s="3" t="e">
        <f t="shared" ca="1" si="2"/>
        <v>#REF!</v>
      </c>
      <c r="N49" s="3" t="e">
        <f t="shared" ca="1" si="2"/>
        <v>#REF!</v>
      </c>
      <c r="O49" s="3" t="e">
        <f t="shared" ca="1" si="2"/>
        <v>#REF!</v>
      </c>
      <c r="P49" s="3" t="e">
        <f t="shared" ca="1" si="2"/>
        <v>#REF!</v>
      </c>
      <c r="Q49" s="3" t="e">
        <f t="shared" ca="1" si="2"/>
        <v>#REF!</v>
      </c>
      <c r="R49" s="3" t="e">
        <f t="shared" ca="1" si="2"/>
        <v>#REF!</v>
      </c>
      <c r="S49" s="3" t="e">
        <f t="shared" ca="1" si="2"/>
        <v>#REF!</v>
      </c>
      <c r="T49" s="3" t="e">
        <f t="shared" ca="1" si="2"/>
        <v>#REF!</v>
      </c>
      <c r="U49" s="3" t="e">
        <f t="shared" ca="1" si="2"/>
        <v>#REF!</v>
      </c>
      <c r="V49" s="3" t="e">
        <f t="shared" ca="1" si="2"/>
        <v>#REF!</v>
      </c>
      <c r="W49" s="3" t="e">
        <f t="shared" ca="1" si="2"/>
        <v>#REF!</v>
      </c>
      <c r="X49" s="3" t="e">
        <f t="shared" ca="1" si="2"/>
        <v>#REF!</v>
      </c>
      <c r="Y49" s="3" t="e">
        <f t="shared" ca="1" si="2"/>
        <v>#REF!</v>
      </c>
      <c r="Z49" s="3" t="e">
        <f t="shared" ca="1" si="2"/>
        <v>#REF!</v>
      </c>
      <c r="AA49" s="3" t="e">
        <f t="shared" ca="1" si="2"/>
        <v>#REF!</v>
      </c>
      <c r="AB49" s="3" t="e">
        <f t="shared" ca="1" si="2"/>
        <v>#REF!</v>
      </c>
      <c r="AC49" s="3" t="e">
        <f t="shared" ca="1" si="2"/>
        <v>#REF!</v>
      </c>
      <c r="AD49" s="3" t="e">
        <f t="shared" ca="1" si="2"/>
        <v>#REF!</v>
      </c>
      <c r="AE49" s="3" t="e">
        <f t="shared" ca="1" si="2"/>
        <v>#REF!</v>
      </c>
      <c r="AF49" s="3" t="e">
        <f t="shared" ca="1" si="2"/>
        <v>#REF!</v>
      </c>
      <c r="AG49" s="3" t="e">
        <f t="shared" ca="1" si="2"/>
        <v>#REF!</v>
      </c>
      <c r="AH49" s="3" t="e">
        <f t="shared" ca="1" si="2"/>
        <v>#REF!</v>
      </c>
      <c r="AI49" s="3" t="e">
        <f t="shared" ca="1" si="2"/>
        <v>#REF!</v>
      </c>
      <c r="AJ49" s="3" t="e">
        <f t="shared" ca="1" si="2"/>
        <v>#REF!</v>
      </c>
      <c r="AK49" s="3" t="e">
        <f t="shared" ca="1" si="2"/>
        <v>#REF!</v>
      </c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</row>
    <row r="50" spans="1:61" x14ac:dyDescent="0.3">
      <c r="A50" s="6" t="s">
        <v>54</v>
      </c>
      <c r="B50" s="3" t="e">
        <f t="shared" ref="B50:AK50" ca="1" si="3">((americas_sales_engineer_base_salary/12)*B29)/1000</f>
        <v>#REF!</v>
      </c>
      <c r="C50" s="3" t="e">
        <f t="shared" ca="1" si="3"/>
        <v>#REF!</v>
      </c>
      <c r="D50" s="3" t="e">
        <f t="shared" ca="1" si="3"/>
        <v>#REF!</v>
      </c>
      <c r="E50" s="3" t="e">
        <f t="shared" ca="1" si="3"/>
        <v>#REF!</v>
      </c>
      <c r="F50" s="3" t="e">
        <f t="shared" ca="1" si="3"/>
        <v>#REF!</v>
      </c>
      <c r="G50" s="3" t="e">
        <f t="shared" ca="1" si="3"/>
        <v>#REF!</v>
      </c>
      <c r="H50" s="3" t="e">
        <f t="shared" ca="1" si="3"/>
        <v>#REF!</v>
      </c>
      <c r="I50" s="3" t="e">
        <f t="shared" ca="1" si="3"/>
        <v>#REF!</v>
      </c>
      <c r="J50" s="3" t="e">
        <f t="shared" ca="1" si="3"/>
        <v>#REF!</v>
      </c>
      <c r="K50" s="3" t="e">
        <f t="shared" ca="1" si="3"/>
        <v>#REF!</v>
      </c>
      <c r="L50" s="3" t="e">
        <f t="shared" ca="1" si="3"/>
        <v>#REF!</v>
      </c>
      <c r="M50" s="3" t="e">
        <f t="shared" ca="1" si="3"/>
        <v>#REF!</v>
      </c>
      <c r="N50" s="3" t="e">
        <f t="shared" ca="1" si="3"/>
        <v>#REF!</v>
      </c>
      <c r="O50" s="3" t="e">
        <f t="shared" ca="1" si="3"/>
        <v>#REF!</v>
      </c>
      <c r="P50" s="3" t="e">
        <f t="shared" ca="1" si="3"/>
        <v>#REF!</v>
      </c>
      <c r="Q50" s="3" t="e">
        <f t="shared" ca="1" si="3"/>
        <v>#REF!</v>
      </c>
      <c r="R50" s="3" t="e">
        <f t="shared" ca="1" si="3"/>
        <v>#REF!</v>
      </c>
      <c r="S50" s="3" t="e">
        <f t="shared" ca="1" si="3"/>
        <v>#REF!</v>
      </c>
      <c r="T50" s="3" t="e">
        <f t="shared" ca="1" si="3"/>
        <v>#REF!</v>
      </c>
      <c r="U50" s="3" t="e">
        <f t="shared" ca="1" si="3"/>
        <v>#REF!</v>
      </c>
      <c r="V50" s="3" t="e">
        <f t="shared" ca="1" si="3"/>
        <v>#REF!</v>
      </c>
      <c r="W50" s="3" t="e">
        <f t="shared" ca="1" si="3"/>
        <v>#REF!</v>
      </c>
      <c r="X50" s="3" t="e">
        <f t="shared" ca="1" si="3"/>
        <v>#REF!</v>
      </c>
      <c r="Y50" s="3" t="e">
        <f t="shared" ca="1" si="3"/>
        <v>#REF!</v>
      </c>
      <c r="Z50" s="3" t="e">
        <f t="shared" ca="1" si="3"/>
        <v>#REF!</v>
      </c>
      <c r="AA50" s="3" t="e">
        <f t="shared" ca="1" si="3"/>
        <v>#REF!</v>
      </c>
      <c r="AB50" s="3" t="e">
        <f t="shared" ca="1" si="3"/>
        <v>#REF!</v>
      </c>
      <c r="AC50" s="3" t="e">
        <f t="shared" ca="1" si="3"/>
        <v>#REF!</v>
      </c>
      <c r="AD50" s="3" t="e">
        <f t="shared" ca="1" si="3"/>
        <v>#REF!</v>
      </c>
      <c r="AE50" s="3" t="e">
        <f t="shared" ca="1" si="3"/>
        <v>#REF!</v>
      </c>
      <c r="AF50" s="3" t="e">
        <f t="shared" ca="1" si="3"/>
        <v>#REF!</v>
      </c>
      <c r="AG50" s="3" t="e">
        <f t="shared" ca="1" si="3"/>
        <v>#REF!</v>
      </c>
      <c r="AH50" s="3" t="e">
        <f t="shared" ca="1" si="3"/>
        <v>#REF!</v>
      </c>
      <c r="AI50" s="3" t="e">
        <f t="shared" ca="1" si="3"/>
        <v>#REF!</v>
      </c>
      <c r="AJ50" s="3" t="e">
        <f t="shared" ca="1" si="3"/>
        <v>#REF!</v>
      </c>
      <c r="AK50" s="3" t="e">
        <f t="shared" ca="1" si="3"/>
        <v>#REF!</v>
      </c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1:61" x14ac:dyDescent="0.3">
      <c r="A51" s="6" t="s">
        <v>57</v>
      </c>
      <c r="B51" s="3" t="e">
        <f ca="1">SUM(B48:B50)</f>
        <v>#REF!</v>
      </c>
      <c r="C51" s="3" t="e">
        <f t="shared" ref="C51:AK51" ca="1" si="4">SUM(C48:C50)</f>
        <v>#REF!</v>
      </c>
      <c r="D51" s="3" t="e">
        <f t="shared" ca="1" si="4"/>
        <v>#REF!</v>
      </c>
      <c r="E51" s="3" t="e">
        <f t="shared" ca="1" si="4"/>
        <v>#REF!</v>
      </c>
      <c r="F51" s="3" t="e">
        <f t="shared" ca="1" si="4"/>
        <v>#REF!</v>
      </c>
      <c r="G51" s="3" t="e">
        <f t="shared" ca="1" si="4"/>
        <v>#REF!</v>
      </c>
      <c r="H51" s="3" t="e">
        <f t="shared" ca="1" si="4"/>
        <v>#REF!</v>
      </c>
      <c r="I51" s="3" t="e">
        <f t="shared" ca="1" si="4"/>
        <v>#REF!</v>
      </c>
      <c r="J51" s="3" t="e">
        <f t="shared" ca="1" si="4"/>
        <v>#REF!</v>
      </c>
      <c r="K51" s="3" t="e">
        <f t="shared" ca="1" si="4"/>
        <v>#REF!</v>
      </c>
      <c r="L51" s="3" t="e">
        <f t="shared" ca="1" si="4"/>
        <v>#REF!</v>
      </c>
      <c r="M51" s="3" t="e">
        <f t="shared" ca="1" si="4"/>
        <v>#REF!</v>
      </c>
      <c r="N51" s="3" t="e">
        <f t="shared" ca="1" si="4"/>
        <v>#REF!</v>
      </c>
      <c r="O51" s="3" t="e">
        <f t="shared" ca="1" si="4"/>
        <v>#REF!</v>
      </c>
      <c r="P51" s="3" t="e">
        <f t="shared" ca="1" si="4"/>
        <v>#REF!</v>
      </c>
      <c r="Q51" s="3" t="e">
        <f t="shared" ca="1" si="4"/>
        <v>#REF!</v>
      </c>
      <c r="R51" s="3" t="e">
        <f t="shared" ca="1" si="4"/>
        <v>#REF!</v>
      </c>
      <c r="S51" s="3" t="e">
        <f t="shared" ca="1" si="4"/>
        <v>#REF!</v>
      </c>
      <c r="T51" s="3" t="e">
        <f t="shared" ca="1" si="4"/>
        <v>#REF!</v>
      </c>
      <c r="U51" s="3" t="e">
        <f t="shared" ca="1" si="4"/>
        <v>#REF!</v>
      </c>
      <c r="V51" s="3" t="e">
        <f t="shared" ca="1" si="4"/>
        <v>#REF!</v>
      </c>
      <c r="W51" s="3" t="e">
        <f t="shared" ca="1" si="4"/>
        <v>#REF!</v>
      </c>
      <c r="X51" s="3" t="e">
        <f t="shared" ca="1" si="4"/>
        <v>#REF!</v>
      </c>
      <c r="Y51" s="3" t="e">
        <f t="shared" ca="1" si="4"/>
        <v>#REF!</v>
      </c>
      <c r="Z51" s="3" t="e">
        <f t="shared" ca="1" si="4"/>
        <v>#REF!</v>
      </c>
      <c r="AA51" s="3" t="e">
        <f t="shared" ca="1" si="4"/>
        <v>#REF!</v>
      </c>
      <c r="AB51" s="3" t="e">
        <f t="shared" ca="1" si="4"/>
        <v>#REF!</v>
      </c>
      <c r="AC51" s="3" t="e">
        <f t="shared" ca="1" si="4"/>
        <v>#REF!</v>
      </c>
      <c r="AD51" s="3" t="e">
        <f t="shared" ca="1" si="4"/>
        <v>#REF!</v>
      </c>
      <c r="AE51" s="3" t="e">
        <f t="shared" ca="1" si="4"/>
        <v>#REF!</v>
      </c>
      <c r="AF51" s="3" t="e">
        <f t="shared" ca="1" si="4"/>
        <v>#REF!</v>
      </c>
      <c r="AG51" s="3" t="e">
        <f t="shared" ca="1" si="4"/>
        <v>#REF!</v>
      </c>
      <c r="AH51" s="3" t="e">
        <f t="shared" ca="1" si="4"/>
        <v>#REF!</v>
      </c>
      <c r="AI51" s="3" t="e">
        <f t="shared" ca="1" si="4"/>
        <v>#REF!</v>
      </c>
      <c r="AJ51" s="3" t="e">
        <f t="shared" ca="1" si="4"/>
        <v>#REF!</v>
      </c>
      <c r="AK51" s="3" t="e">
        <f t="shared" ca="1" si="4"/>
        <v>#REF!</v>
      </c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1:61" x14ac:dyDescent="0.3">
      <c r="A52" t="s">
        <v>50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</row>
    <row r="53" spans="1:61" x14ac:dyDescent="0.3">
      <c r="A53" s="6" t="s">
        <v>52</v>
      </c>
      <c r="B53" s="3" t="e">
        <f t="shared" ref="B53:AG53" ca="1" si="5">((emea_channel_sales_exec_base_salary/12)*B32)/1000</f>
        <v>#REF!</v>
      </c>
      <c r="C53" s="3" t="e">
        <f t="shared" ca="1" si="5"/>
        <v>#REF!</v>
      </c>
      <c r="D53" s="3" t="e">
        <f t="shared" ca="1" si="5"/>
        <v>#REF!</v>
      </c>
      <c r="E53" s="3" t="e">
        <f t="shared" ca="1" si="5"/>
        <v>#REF!</v>
      </c>
      <c r="F53" s="3" t="e">
        <f t="shared" ca="1" si="5"/>
        <v>#REF!</v>
      </c>
      <c r="G53" s="3" t="e">
        <f t="shared" ca="1" si="5"/>
        <v>#REF!</v>
      </c>
      <c r="H53" s="3" t="e">
        <f t="shared" ca="1" si="5"/>
        <v>#REF!</v>
      </c>
      <c r="I53" s="3" t="e">
        <f t="shared" ca="1" si="5"/>
        <v>#REF!</v>
      </c>
      <c r="J53" s="3" t="e">
        <f t="shared" ca="1" si="5"/>
        <v>#REF!</v>
      </c>
      <c r="K53" s="3" t="e">
        <f t="shared" ca="1" si="5"/>
        <v>#REF!</v>
      </c>
      <c r="L53" s="3" t="e">
        <f t="shared" ca="1" si="5"/>
        <v>#REF!</v>
      </c>
      <c r="M53" s="3" t="e">
        <f t="shared" ca="1" si="5"/>
        <v>#REF!</v>
      </c>
      <c r="N53" s="3" t="e">
        <f t="shared" ca="1" si="5"/>
        <v>#REF!</v>
      </c>
      <c r="O53" s="3" t="e">
        <f t="shared" ca="1" si="5"/>
        <v>#REF!</v>
      </c>
      <c r="P53" s="3" t="e">
        <f t="shared" ca="1" si="5"/>
        <v>#REF!</v>
      </c>
      <c r="Q53" s="3" t="e">
        <f t="shared" ca="1" si="5"/>
        <v>#REF!</v>
      </c>
      <c r="R53" s="3" t="e">
        <f t="shared" ca="1" si="5"/>
        <v>#REF!</v>
      </c>
      <c r="S53" s="3" t="e">
        <f t="shared" ca="1" si="5"/>
        <v>#REF!</v>
      </c>
      <c r="T53" s="3" t="e">
        <f t="shared" ca="1" si="5"/>
        <v>#REF!</v>
      </c>
      <c r="U53" s="3" t="e">
        <f t="shared" ca="1" si="5"/>
        <v>#REF!</v>
      </c>
      <c r="V53" s="3" t="e">
        <f t="shared" ca="1" si="5"/>
        <v>#REF!</v>
      </c>
      <c r="W53" s="3" t="e">
        <f t="shared" ca="1" si="5"/>
        <v>#REF!</v>
      </c>
      <c r="X53" s="3" t="e">
        <f t="shared" ca="1" si="5"/>
        <v>#REF!</v>
      </c>
      <c r="Y53" s="3" t="e">
        <f t="shared" ca="1" si="5"/>
        <v>#REF!</v>
      </c>
      <c r="Z53" s="3" t="e">
        <f t="shared" ca="1" si="5"/>
        <v>#REF!</v>
      </c>
      <c r="AA53" s="3" t="e">
        <f t="shared" ca="1" si="5"/>
        <v>#REF!</v>
      </c>
      <c r="AB53" s="3" t="e">
        <f t="shared" ca="1" si="5"/>
        <v>#REF!</v>
      </c>
      <c r="AC53" s="3" t="e">
        <f t="shared" ca="1" si="5"/>
        <v>#REF!</v>
      </c>
      <c r="AD53" s="3" t="e">
        <f t="shared" ca="1" si="5"/>
        <v>#REF!</v>
      </c>
      <c r="AE53" s="3" t="e">
        <f t="shared" ca="1" si="5"/>
        <v>#REF!</v>
      </c>
      <c r="AF53" s="3" t="e">
        <f t="shared" ca="1" si="5"/>
        <v>#REF!</v>
      </c>
      <c r="AG53" s="3" t="e">
        <f t="shared" ca="1" si="5"/>
        <v>#REF!</v>
      </c>
      <c r="AH53" s="3" t="e">
        <f ca="1">((emea_channel_sales_exec_base_salary/12)*AH32)/1000</f>
        <v>#REF!</v>
      </c>
      <c r="AI53" s="3" t="e">
        <f ca="1">((emea_channel_sales_exec_base_salary/12)*AI32)/1000</f>
        <v>#REF!</v>
      </c>
      <c r="AJ53" s="3" t="e">
        <f ca="1">((emea_channel_sales_exec_base_salary/12)*AJ32)/1000</f>
        <v>#REF!</v>
      </c>
      <c r="AK53" s="3" t="e">
        <f ca="1">((emea_channel_sales_exec_base_salary/12)*AK32)/1000</f>
        <v>#REF!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</row>
    <row r="54" spans="1:61" x14ac:dyDescent="0.3">
      <c r="A54" s="6" t="s">
        <v>53</v>
      </c>
      <c r="B54" s="3" t="e">
        <f t="shared" ref="B54:AG54" ca="1" si="6">((emea_inside_sales_base_salary/12)*B33)/1000</f>
        <v>#REF!</v>
      </c>
      <c r="C54" s="3" t="e">
        <f t="shared" ca="1" si="6"/>
        <v>#REF!</v>
      </c>
      <c r="D54" s="3" t="e">
        <f t="shared" ca="1" si="6"/>
        <v>#REF!</v>
      </c>
      <c r="E54" s="3" t="e">
        <f t="shared" ca="1" si="6"/>
        <v>#REF!</v>
      </c>
      <c r="F54" s="3" t="e">
        <f t="shared" ca="1" si="6"/>
        <v>#REF!</v>
      </c>
      <c r="G54" s="3" t="e">
        <f t="shared" ca="1" si="6"/>
        <v>#REF!</v>
      </c>
      <c r="H54" s="3" t="e">
        <f t="shared" ca="1" si="6"/>
        <v>#REF!</v>
      </c>
      <c r="I54" s="3" t="e">
        <f t="shared" ca="1" si="6"/>
        <v>#REF!</v>
      </c>
      <c r="J54" s="3" t="e">
        <f t="shared" ca="1" si="6"/>
        <v>#REF!</v>
      </c>
      <c r="K54" s="3" t="e">
        <f t="shared" ca="1" si="6"/>
        <v>#REF!</v>
      </c>
      <c r="L54" s="3" t="e">
        <f t="shared" ca="1" si="6"/>
        <v>#REF!</v>
      </c>
      <c r="M54" s="3" t="e">
        <f t="shared" ca="1" si="6"/>
        <v>#REF!</v>
      </c>
      <c r="N54" s="3" t="e">
        <f t="shared" ca="1" si="6"/>
        <v>#REF!</v>
      </c>
      <c r="O54" s="3" t="e">
        <f t="shared" ca="1" si="6"/>
        <v>#REF!</v>
      </c>
      <c r="P54" s="3" t="e">
        <f t="shared" ca="1" si="6"/>
        <v>#REF!</v>
      </c>
      <c r="Q54" s="3" t="e">
        <f t="shared" ca="1" si="6"/>
        <v>#REF!</v>
      </c>
      <c r="R54" s="3" t="e">
        <f t="shared" ca="1" si="6"/>
        <v>#REF!</v>
      </c>
      <c r="S54" s="3" t="e">
        <f t="shared" ca="1" si="6"/>
        <v>#REF!</v>
      </c>
      <c r="T54" s="3" t="e">
        <f t="shared" ca="1" si="6"/>
        <v>#REF!</v>
      </c>
      <c r="U54" s="3" t="e">
        <f t="shared" ca="1" si="6"/>
        <v>#REF!</v>
      </c>
      <c r="V54" s="3" t="e">
        <f t="shared" ca="1" si="6"/>
        <v>#REF!</v>
      </c>
      <c r="W54" s="3" t="e">
        <f t="shared" ca="1" si="6"/>
        <v>#REF!</v>
      </c>
      <c r="X54" s="3" t="e">
        <f t="shared" ca="1" si="6"/>
        <v>#REF!</v>
      </c>
      <c r="Y54" s="3" t="e">
        <f t="shared" ca="1" si="6"/>
        <v>#REF!</v>
      </c>
      <c r="Z54" s="3" t="e">
        <f t="shared" ca="1" si="6"/>
        <v>#REF!</v>
      </c>
      <c r="AA54" s="3" t="e">
        <f t="shared" ca="1" si="6"/>
        <v>#REF!</v>
      </c>
      <c r="AB54" s="3" t="e">
        <f t="shared" ca="1" si="6"/>
        <v>#REF!</v>
      </c>
      <c r="AC54" s="3" t="e">
        <f t="shared" ca="1" si="6"/>
        <v>#REF!</v>
      </c>
      <c r="AD54" s="3" t="e">
        <f t="shared" ca="1" si="6"/>
        <v>#REF!</v>
      </c>
      <c r="AE54" s="3" t="e">
        <f t="shared" ca="1" si="6"/>
        <v>#REF!</v>
      </c>
      <c r="AF54" s="3" t="e">
        <f t="shared" ca="1" si="6"/>
        <v>#REF!</v>
      </c>
      <c r="AG54" s="3" t="e">
        <f t="shared" ca="1" si="6"/>
        <v>#REF!</v>
      </c>
      <c r="AH54" s="3" t="e">
        <f ca="1">((emea_inside_sales_base_salary/12)*AH33)/1000</f>
        <v>#REF!</v>
      </c>
      <c r="AI54" s="3" t="e">
        <f ca="1">((emea_inside_sales_base_salary/12)*AI33)/1000</f>
        <v>#REF!</v>
      </c>
      <c r="AJ54" s="3" t="e">
        <f ca="1">((emea_inside_sales_base_salary/12)*AJ33)/1000</f>
        <v>#REF!</v>
      </c>
      <c r="AK54" s="3" t="e">
        <f ca="1">((emea_inside_sales_base_salary/12)*AK33)/1000</f>
        <v>#REF!</v>
      </c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spans="1:61" x14ac:dyDescent="0.3">
      <c r="A55" s="6" t="s">
        <v>54</v>
      </c>
      <c r="B55" s="3" t="e">
        <f t="shared" ref="B55:AG55" ca="1" si="7">((emea_sales_engineer_base_salary/12)*B34)/1000</f>
        <v>#REF!</v>
      </c>
      <c r="C55" s="3" t="e">
        <f t="shared" ca="1" si="7"/>
        <v>#REF!</v>
      </c>
      <c r="D55" s="3" t="e">
        <f t="shared" ca="1" si="7"/>
        <v>#REF!</v>
      </c>
      <c r="E55" s="3" t="e">
        <f t="shared" ca="1" si="7"/>
        <v>#REF!</v>
      </c>
      <c r="F55" s="3" t="e">
        <f t="shared" ca="1" si="7"/>
        <v>#REF!</v>
      </c>
      <c r="G55" s="3" t="e">
        <f t="shared" ca="1" si="7"/>
        <v>#REF!</v>
      </c>
      <c r="H55" s="3" t="e">
        <f t="shared" ca="1" si="7"/>
        <v>#REF!</v>
      </c>
      <c r="I55" s="3" t="e">
        <f t="shared" ca="1" si="7"/>
        <v>#REF!</v>
      </c>
      <c r="J55" s="3" t="e">
        <f t="shared" ca="1" si="7"/>
        <v>#REF!</v>
      </c>
      <c r="K55" s="3" t="e">
        <f t="shared" ca="1" si="7"/>
        <v>#REF!</v>
      </c>
      <c r="L55" s="3" t="e">
        <f t="shared" ca="1" si="7"/>
        <v>#REF!</v>
      </c>
      <c r="M55" s="3" t="e">
        <f t="shared" ca="1" si="7"/>
        <v>#REF!</v>
      </c>
      <c r="N55" s="3" t="e">
        <f t="shared" ca="1" si="7"/>
        <v>#REF!</v>
      </c>
      <c r="O55" s="3" t="e">
        <f t="shared" ca="1" si="7"/>
        <v>#REF!</v>
      </c>
      <c r="P55" s="3" t="e">
        <f t="shared" ca="1" si="7"/>
        <v>#REF!</v>
      </c>
      <c r="Q55" s="3" t="e">
        <f t="shared" ca="1" si="7"/>
        <v>#REF!</v>
      </c>
      <c r="R55" s="3" t="e">
        <f t="shared" ca="1" si="7"/>
        <v>#REF!</v>
      </c>
      <c r="S55" s="3" t="e">
        <f t="shared" ca="1" si="7"/>
        <v>#REF!</v>
      </c>
      <c r="T55" s="3" t="e">
        <f t="shared" ca="1" si="7"/>
        <v>#REF!</v>
      </c>
      <c r="U55" s="3" t="e">
        <f t="shared" ca="1" si="7"/>
        <v>#REF!</v>
      </c>
      <c r="V55" s="3" t="e">
        <f t="shared" ca="1" si="7"/>
        <v>#REF!</v>
      </c>
      <c r="W55" s="3" t="e">
        <f t="shared" ca="1" si="7"/>
        <v>#REF!</v>
      </c>
      <c r="X55" s="3" t="e">
        <f t="shared" ca="1" si="7"/>
        <v>#REF!</v>
      </c>
      <c r="Y55" s="3" t="e">
        <f t="shared" ca="1" si="7"/>
        <v>#REF!</v>
      </c>
      <c r="Z55" s="3" t="e">
        <f t="shared" ca="1" si="7"/>
        <v>#REF!</v>
      </c>
      <c r="AA55" s="3" t="e">
        <f t="shared" ca="1" si="7"/>
        <v>#REF!</v>
      </c>
      <c r="AB55" s="3" t="e">
        <f t="shared" ca="1" si="7"/>
        <v>#REF!</v>
      </c>
      <c r="AC55" s="3" t="e">
        <f t="shared" ca="1" si="7"/>
        <v>#REF!</v>
      </c>
      <c r="AD55" s="3" t="e">
        <f t="shared" ca="1" si="7"/>
        <v>#REF!</v>
      </c>
      <c r="AE55" s="3" t="e">
        <f t="shared" ca="1" si="7"/>
        <v>#REF!</v>
      </c>
      <c r="AF55" s="3" t="e">
        <f t="shared" ca="1" si="7"/>
        <v>#REF!</v>
      </c>
      <c r="AG55" s="3" t="e">
        <f t="shared" ca="1" si="7"/>
        <v>#REF!</v>
      </c>
      <c r="AH55" s="3" t="e">
        <f ca="1">((emea_sales_engineer_base_salary/12)*AH34)/1000</f>
        <v>#REF!</v>
      </c>
      <c r="AI55" s="3" t="e">
        <f ca="1">((emea_sales_engineer_base_salary/12)*AI34)/1000</f>
        <v>#REF!</v>
      </c>
      <c r="AJ55" s="3" t="e">
        <f ca="1">((emea_sales_engineer_base_salary/12)*AJ34)/1000</f>
        <v>#REF!</v>
      </c>
      <c r="AK55" s="3" t="e">
        <f ca="1">((emea_sales_engineer_base_salary/12)*AK34)/1000</f>
        <v>#REF!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spans="1:61" x14ac:dyDescent="0.3">
      <c r="A56" s="6" t="s">
        <v>57</v>
      </c>
      <c r="B56" s="3" t="e">
        <f ca="1">SUM(B53:B55)</f>
        <v>#REF!</v>
      </c>
      <c r="C56" s="3" t="e">
        <f t="shared" ref="C56:AK56" ca="1" si="8">SUM(C53:C55)</f>
        <v>#REF!</v>
      </c>
      <c r="D56" s="3" t="e">
        <f t="shared" ca="1" si="8"/>
        <v>#REF!</v>
      </c>
      <c r="E56" s="3" t="e">
        <f t="shared" ca="1" si="8"/>
        <v>#REF!</v>
      </c>
      <c r="F56" s="3" t="e">
        <f t="shared" ca="1" si="8"/>
        <v>#REF!</v>
      </c>
      <c r="G56" s="3" t="e">
        <f t="shared" ca="1" si="8"/>
        <v>#REF!</v>
      </c>
      <c r="H56" s="3" t="e">
        <f t="shared" ca="1" si="8"/>
        <v>#REF!</v>
      </c>
      <c r="I56" s="3" t="e">
        <f t="shared" ca="1" si="8"/>
        <v>#REF!</v>
      </c>
      <c r="J56" s="3" t="e">
        <f t="shared" ca="1" si="8"/>
        <v>#REF!</v>
      </c>
      <c r="K56" s="3" t="e">
        <f t="shared" ca="1" si="8"/>
        <v>#REF!</v>
      </c>
      <c r="L56" s="3" t="e">
        <f t="shared" ca="1" si="8"/>
        <v>#REF!</v>
      </c>
      <c r="M56" s="3" t="e">
        <f t="shared" ca="1" si="8"/>
        <v>#REF!</v>
      </c>
      <c r="N56" s="3" t="e">
        <f t="shared" ca="1" si="8"/>
        <v>#REF!</v>
      </c>
      <c r="O56" s="3" t="e">
        <f t="shared" ca="1" si="8"/>
        <v>#REF!</v>
      </c>
      <c r="P56" s="3" t="e">
        <f t="shared" ca="1" si="8"/>
        <v>#REF!</v>
      </c>
      <c r="Q56" s="3" t="e">
        <f t="shared" ca="1" si="8"/>
        <v>#REF!</v>
      </c>
      <c r="R56" s="3" t="e">
        <f t="shared" ca="1" si="8"/>
        <v>#REF!</v>
      </c>
      <c r="S56" s="3" t="e">
        <f t="shared" ca="1" si="8"/>
        <v>#REF!</v>
      </c>
      <c r="T56" s="3" t="e">
        <f t="shared" ca="1" si="8"/>
        <v>#REF!</v>
      </c>
      <c r="U56" s="3" t="e">
        <f t="shared" ca="1" si="8"/>
        <v>#REF!</v>
      </c>
      <c r="V56" s="3" t="e">
        <f t="shared" ca="1" si="8"/>
        <v>#REF!</v>
      </c>
      <c r="W56" s="3" t="e">
        <f t="shared" ca="1" si="8"/>
        <v>#REF!</v>
      </c>
      <c r="X56" s="3" t="e">
        <f t="shared" ca="1" si="8"/>
        <v>#REF!</v>
      </c>
      <c r="Y56" s="3" t="e">
        <f t="shared" ca="1" si="8"/>
        <v>#REF!</v>
      </c>
      <c r="Z56" s="3" t="e">
        <f t="shared" ca="1" si="8"/>
        <v>#REF!</v>
      </c>
      <c r="AA56" s="3" t="e">
        <f t="shared" ca="1" si="8"/>
        <v>#REF!</v>
      </c>
      <c r="AB56" s="3" t="e">
        <f t="shared" ca="1" si="8"/>
        <v>#REF!</v>
      </c>
      <c r="AC56" s="3" t="e">
        <f t="shared" ca="1" si="8"/>
        <v>#REF!</v>
      </c>
      <c r="AD56" s="3" t="e">
        <f t="shared" ca="1" si="8"/>
        <v>#REF!</v>
      </c>
      <c r="AE56" s="3" t="e">
        <f t="shared" ca="1" si="8"/>
        <v>#REF!</v>
      </c>
      <c r="AF56" s="3" t="e">
        <f t="shared" ca="1" si="8"/>
        <v>#REF!</v>
      </c>
      <c r="AG56" s="3" t="e">
        <f t="shared" ca="1" si="8"/>
        <v>#REF!</v>
      </c>
      <c r="AH56" s="3" t="e">
        <f t="shared" ca="1" si="8"/>
        <v>#REF!</v>
      </c>
      <c r="AI56" s="3" t="e">
        <f t="shared" ca="1" si="8"/>
        <v>#REF!</v>
      </c>
      <c r="AJ56" s="3" t="e">
        <f t="shared" ca="1" si="8"/>
        <v>#REF!</v>
      </c>
      <c r="AK56" s="3" t="e">
        <f t="shared" ca="1" si="8"/>
        <v>#REF!</v>
      </c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spans="1:61" x14ac:dyDescent="0.3">
      <c r="A57" t="s">
        <v>51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1:61" x14ac:dyDescent="0.3">
      <c r="A58" s="6" t="s">
        <v>52</v>
      </c>
      <c r="B58" s="3" t="e">
        <f t="shared" ref="B58:AG58" ca="1" si="9">((apac_channel_sales_exec_base_salary/12)*B37)/1000</f>
        <v>#REF!</v>
      </c>
      <c r="C58" s="3" t="e">
        <f t="shared" ca="1" si="9"/>
        <v>#REF!</v>
      </c>
      <c r="D58" s="3" t="e">
        <f t="shared" ca="1" si="9"/>
        <v>#REF!</v>
      </c>
      <c r="E58" s="3" t="e">
        <f t="shared" ca="1" si="9"/>
        <v>#REF!</v>
      </c>
      <c r="F58" s="3" t="e">
        <f t="shared" ca="1" si="9"/>
        <v>#REF!</v>
      </c>
      <c r="G58" s="3" t="e">
        <f t="shared" ca="1" si="9"/>
        <v>#REF!</v>
      </c>
      <c r="H58" s="3" t="e">
        <f t="shared" ca="1" si="9"/>
        <v>#REF!</v>
      </c>
      <c r="I58" s="3" t="e">
        <f t="shared" ca="1" si="9"/>
        <v>#REF!</v>
      </c>
      <c r="J58" s="3" t="e">
        <f t="shared" ca="1" si="9"/>
        <v>#REF!</v>
      </c>
      <c r="K58" s="3" t="e">
        <f t="shared" ca="1" si="9"/>
        <v>#REF!</v>
      </c>
      <c r="L58" s="3" t="e">
        <f t="shared" ca="1" si="9"/>
        <v>#REF!</v>
      </c>
      <c r="M58" s="3" t="e">
        <f t="shared" ca="1" si="9"/>
        <v>#REF!</v>
      </c>
      <c r="N58" s="3" t="e">
        <f t="shared" ca="1" si="9"/>
        <v>#REF!</v>
      </c>
      <c r="O58" s="3" t="e">
        <f t="shared" ca="1" si="9"/>
        <v>#REF!</v>
      </c>
      <c r="P58" s="3" t="e">
        <f t="shared" ca="1" si="9"/>
        <v>#REF!</v>
      </c>
      <c r="Q58" s="3" t="e">
        <f t="shared" ca="1" si="9"/>
        <v>#REF!</v>
      </c>
      <c r="R58" s="3" t="e">
        <f t="shared" ca="1" si="9"/>
        <v>#REF!</v>
      </c>
      <c r="S58" s="3" t="e">
        <f t="shared" ca="1" si="9"/>
        <v>#REF!</v>
      </c>
      <c r="T58" s="3" t="e">
        <f t="shared" ca="1" si="9"/>
        <v>#REF!</v>
      </c>
      <c r="U58" s="3" t="e">
        <f t="shared" ca="1" si="9"/>
        <v>#REF!</v>
      </c>
      <c r="V58" s="3" t="e">
        <f t="shared" ca="1" si="9"/>
        <v>#REF!</v>
      </c>
      <c r="W58" s="3" t="e">
        <f t="shared" ca="1" si="9"/>
        <v>#REF!</v>
      </c>
      <c r="X58" s="3" t="e">
        <f t="shared" ca="1" si="9"/>
        <v>#REF!</v>
      </c>
      <c r="Y58" s="3" t="e">
        <f t="shared" ca="1" si="9"/>
        <v>#REF!</v>
      </c>
      <c r="Z58" s="3" t="e">
        <f t="shared" ca="1" si="9"/>
        <v>#REF!</v>
      </c>
      <c r="AA58" s="3" t="e">
        <f t="shared" ca="1" si="9"/>
        <v>#REF!</v>
      </c>
      <c r="AB58" s="3" t="e">
        <f t="shared" ca="1" si="9"/>
        <v>#REF!</v>
      </c>
      <c r="AC58" s="3" t="e">
        <f t="shared" ca="1" si="9"/>
        <v>#REF!</v>
      </c>
      <c r="AD58" s="3" t="e">
        <f t="shared" ca="1" si="9"/>
        <v>#REF!</v>
      </c>
      <c r="AE58" s="3" t="e">
        <f t="shared" ca="1" si="9"/>
        <v>#REF!</v>
      </c>
      <c r="AF58" s="3" t="e">
        <f t="shared" ca="1" si="9"/>
        <v>#REF!</v>
      </c>
      <c r="AG58" s="3" t="e">
        <f t="shared" ca="1" si="9"/>
        <v>#REF!</v>
      </c>
      <c r="AH58" s="3" t="e">
        <f ca="1">((apac_channel_sales_exec_base_salary/12)*AH37)/1000</f>
        <v>#REF!</v>
      </c>
      <c r="AI58" s="3" t="e">
        <f ca="1">((apac_channel_sales_exec_base_salary/12)*AI37)/1000</f>
        <v>#REF!</v>
      </c>
      <c r="AJ58" s="3" t="e">
        <f ca="1">((apac_channel_sales_exec_base_salary/12)*AJ37)/1000</f>
        <v>#REF!</v>
      </c>
      <c r="AK58" s="3" t="e">
        <f ca="1">((apac_channel_sales_exec_base_salary/12)*AK37)/1000</f>
        <v>#REF!</v>
      </c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1:61" x14ac:dyDescent="0.3">
      <c r="A59" s="6" t="s">
        <v>53</v>
      </c>
      <c r="B59" s="3" t="e">
        <f t="shared" ref="B59:AG59" ca="1" si="10">((apac_inside_sales_base_salary/12)*B38)/1000</f>
        <v>#REF!</v>
      </c>
      <c r="C59" s="3" t="e">
        <f t="shared" ca="1" si="10"/>
        <v>#REF!</v>
      </c>
      <c r="D59" s="3" t="e">
        <f t="shared" ca="1" si="10"/>
        <v>#REF!</v>
      </c>
      <c r="E59" s="3" t="e">
        <f t="shared" ca="1" si="10"/>
        <v>#REF!</v>
      </c>
      <c r="F59" s="3" t="e">
        <f t="shared" ca="1" si="10"/>
        <v>#REF!</v>
      </c>
      <c r="G59" s="3" t="e">
        <f t="shared" ca="1" si="10"/>
        <v>#REF!</v>
      </c>
      <c r="H59" s="3" t="e">
        <f t="shared" ca="1" si="10"/>
        <v>#REF!</v>
      </c>
      <c r="I59" s="3" t="e">
        <f t="shared" ca="1" si="10"/>
        <v>#REF!</v>
      </c>
      <c r="J59" s="3" t="e">
        <f t="shared" ca="1" si="10"/>
        <v>#REF!</v>
      </c>
      <c r="K59" s="3" t="e">
        <f t="shared" ca="1" si="10"/>
        <v>#REF!</v>
      </c>
      <c r="L59" s="3" t="e">
        <f t="shared" ca="1" si="10"/>
        <v>#REF!</v>
      </c>
      <c r="M59" s="3" t="e">
        <f t="shared" ca="1" si="10"/>
        <v>#REF!</v>
      </c>
      <c r="N59" s="3" t="e">
        <f t="shared" ca="1" si="10"/>
        <v>#REF!</v>
      </c>
      <c r="O59" s="3" t="e">
        <f t="shared" ca="1" si="10"/>
        <v>#REF!</v>
      </c>
      <c r="P59" s="3" t="e">
        <f t="shared" ca="1" si="10"/>
        <v>#REF!</v>
      </c>
      <c r="Q59" s="3" t="e">
        <f t="shared" ca="1" si="10"/>
        <v>#REF!</v>
      </c>
      <c r="R59" s="3" t="e">
        <f t="shared" ca="1" si="10"/>
        <v>#REF!</v>
      </c>
      <c r="S59" s="3" t="e">
        <f t="shared" ca="1" si="10"/>
        <v>#REF!</v>
      </c>
      <c r="T59" s="3" t="e">
        <f t="shared" ca="1" si="10"/>
        <v>#REF!</v>
      </c>
      <c r="U59" s="3" t="e">
        <f t="shared" ca="1" si="10"/>
        <v>#REF!</v>
      </c>
      <c r="V59" s="3" t="e">
        <f t="shared" ca="1" si="10"/>
        <v>#REF!</v>
      </c>
      <c r="W59" s="3" t="e">
        <f t="shared" ca="1" si="10"/>
        <v>#REF!</v>
      </c>
      <c r="X59" s="3" t="e">
        <f t="shared" ca="1" si="10"/>
        <v>#REF!</v>
      </c>
      <c r="Y59" s="3" t="e">
        <f t="shared" ca="1" si="10"/>
        <v>#REF!</v>
      </c>
      <c r="Z59" s="3" t="e">
        <f t="shared" ca="1" si="10"/>
        <v>#REF!</v>
      </c>
      <c r="AA59" s="3" t="e">
        <f t="shared" ca="1" si="10"/>
        <v>#REF!</v>
      </c>
      <c r="AB59" s="3" t="e">
        <f t="shared" ca="1" si="10"/>
        <v>#REF!</v>
      </c>
      <c r="AC59" s="3" t="e">
        <f t="shared" ca="1" si="10"/>
        <v>#REF!</v>
      </c>
      <c r="AD59" s="3" t="e">
        <f t="shared" ca="1" si="10"/>
        <v>#REF!</v>
      </c>
      <c r="AE59" s="3" t="e">
        <f t="shared" ca="1" si="10"/>
        <v>#REF!</v>
      </c>
      <c r="AF59" s="3" t="e">
        <f t="shared" ca="1" si="10"/>
        <v>#REF!</v>
      </c>
      <c r="AG59" s="3" t="e">
        <f t="shared" ca="1" si="10"/>
        <v>#REF!</v>
      </c>
      <c r="AH59" s="3" t="e">
        <f ca="1">((apac_inside_sales_base_salary/12)*AH38)/1000</f>
        <v>#REF!</v>
      </c>
      <c r="AI59" s="3" t="e">
        <f ca="1">((apac_inside_sales_base_salary/12)*AI38)/1000</f>
        <v>#REF!</v>
      </c>
      <c r="AJ59" s="3" t="e">
        <f ca="1">((apac_inside_sales_base_salary/12)*AJ38)/1000</f>
        <v>#REF!</v>
      </c>
      <c r="AK59" s="3" t="e">
        <f ca="1">((apac_inside_sales_base_salary/12)*AK38)/1000</f>
        <v>#REF!</v>
      </c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1:61" x14ac:dyDescent="0.3">
      <c r="A60" s="6" t="s">
        <v>54</v>
      </c>
      <c r="B60" s="3" t="e">
        <f t="shared" ref="B60:AG60" ca="1" si="11">((apac_sales_engineer_base_salary/12)*B39)/1000</f>
        <v>#REF!</v>
      </c>
      <c r="C60" s="3" t="e">
        <f t="shared" ca="1" si="11"/>
        <v>#REF!</v>
      </c>
      <c r="D60" s="3" t="e">
        <f t="shared" ca="1" si="11"/>
        <v>#REF!</v>
      </c>
      <c r="E60" s="3" t="e">
        <f t="shared" ca="1" si="11"/>
        <v>#REF!</v>
      </c>
      <c r="F60" s="3" t="e">
        <f t="shared" ca="1" si="11"/>
        <v>#REF!</v>
      </c>
      <c r="G60" s="3" t="e">
        <f t="shared" ca="1" si="11"/>
        <v>#REF!</v>
      </c>
      <c r="H60" s="3" t="e">
        <f t="shared" ca="1" si="11"/>
        <v>#REF!</v>
      </c>
      <c r="I60" s="3" t="e">
        <f t="shared" ca="1" si="11"/>
        <v>#REF!</v>
      </c>
      <c r="J60" s="3" t="e">
        <f t="shared" ca="1" si="11"/>
        <v>#REF!</v>
      </c>
      <c r="K60" s="3" t="e">
        <f t="shared" ca="1" si="11"/>
        <v>#REF!</v>
      </c>
      <c r="L60" s="3" t="e">
        <f t="shared" ca="1" si="11"/>
        <v>#REF!</v>
      </c>
      <c r="M60" s="3" t="e">
        <f t="shared" ca="1" si="11"/>
        <v>#REF!</v>
      </c>
      <c r="N60" s="3" t="e">
        <f t="shared" ca="1" si="11"/>
        <v>#REF!</v>
      </c>
      <c r="O60" s="3" t="e">
        <f t="shared" ca="1" si="11"/>
        <v>#REF!</v>
      </c>
      <c r="P60" s="3" t="e">
        <f t="shared" ca="1" si="11"/>
        <v>#REF!</v>
      </c>
      <c r="Q60" s="3" t="e">
        <f t="shared" ca="1" si="11"/>
        <v>#REF!</v>
      </c>
      <c r="R60" s="3" t="e">
        <f t="shared" ca="1" si="11"/>
        <v>#REF!</v>
      </c>
      <c r="S60" s="3" t="e">
        <f t="shared" ca="1" si="11"/>
        <v>#REF!</v>
      </c>
      <c r="T60" s="3" t="e">
        <f t="shared" ca="1" si="11"/>
        <v>#REF!</v>
      </c>
      <c r="U60" s="3" t="e">
        <f t="shared" ca="1" si="11"/>
        <v>#REF!</v>
      </c>
      <c r="V60" s="3" t="e">
        <f t="shared" ca="1" si="11"/>
        <v>#REF!</v>
      </c>
      <c r="W60" s="3" t="e">
        <f t="shared" ca="1" si="11"/>
        <v>#REF!</v>
      </c>
      <c r="X60" s="3" t="e">
        <f t="shared" ca="1" si="11"/>
        <v>#REF!</v>
      </c>
      <c r="Y60" s="3" t="e">
        <f t="shared" ca="1" si="11"/>
        <v>#REF!</v>
      </c>
      <c r="Z60" s="3" t="e">
        <f t="shared" ca="1" si="11"/>
        <v>#REF!</v>
      </c>
      <c r="AA60" s="3" t="e">
        <f t="shared" ca="1" si="11"/>
        <v>#REF!</v>
      </c>
      <c r="AB60" s="3" t="e">
        <f t="shared" ca="1" si="11"/>
        <v>#REF!</v>
      </c>
      <c r="AC60" s="3" t="e">
        <f t="shared" ca="1" si="11"/>
        <v>#REF!</v>
      </c>
      <c r="AD60" s="3" t="e">
        <f t="shared" ca="1" si="11"/>
        <v>#REF!</v>
      </c>
      <c r="AE60" s="3" t="e">
        <f t="shared" ca="1" si="11"/>
        <v>#REF!</v>
      </c>
      <c r="AF60" s="3" t="e">
        <f t="shared" ca="1" si="11"/>
        <v>#REF!</v>
      </c>
      <c r="AG60" s="3" t="e">
        <f t="shared" ca="1" si="11"/>
        <v>#REF!</v>
      </c>
      <c r="AH60" s="3" t="e">
        <f ca="1">((apac_sales_engineer_base_salary/12)*AH39)/1000</f>
        <v>#REF!</v>
      </c>
      <c r="AI60" s="3" t="e">
        <f ca="1">((apac_sales_engineer_base_salary/12)*AI39)/1000</f>
        <v>#REF!</v>
      </c>
      <c r="AJ60" s="3" t="e">
        <f ca="1">((apac_sales_engineer_base_salary/12)*AJ39)/1000</f>
        <v>#REF!</v>
      </c>
      <c r="AK60" s="3" t="e">
        <f ca="1">((apac_sales_engineer_base_salary/12)*AK39)/1000</f>
        <v>#REF!</v>
      </c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spans="1:61" x14ac:dyDescent="0.3">
      <c r="A61" s="6" t="s">
        <v>57</v>
      </c>
      <c r="B61" s="3" t="e">
        <f ca="1">SUM(B58:B60)</f>
        <v>#REF!</v>
      </c>
      <c r="C61" s="3" t="e">
        <f t="shared" ref="C61:AK61" ca="1" si="12">SUM(C58:C60)</f>
        <v>#REF!</v>
      </c>
      <c r="D61" s="3" t="e">
        <f t="shared" ca="1" si="12"/>
        <v>#REF!</v>
      </c>
      <c r="E61" s="3" t="e">
        <f t="shared" ca="1" si="12"/>
        <v>#REF!</v>
      </c>
      <c r="F61" s="3" t="e">
        <f t="shared" ca="1" si="12"/>
        <v>#REF!</v>
      </c>
      <c r="G61" s="3" t="e">
        <f t="shared" ca="1" si="12"/>
        <v>#REF!</v>
      </c>
      <c r="H61" s="3" t="e">
        <f t="shared" ca="1" si="12"/>
        <v>#REF!</v>
      </c>
      <c r="I61" s="3" t="e">
        <f t="shared" ca="1" si="12"/>
        <v>#REF!</v>
      </c>
      <c r="J61" s="3" t="e">
        <f t="shared" ca="1" si="12"/>
        <v>#REF!</v>
      </c>
      <c r="K61" s="3" t="e">
        <f t="shared" ca="1" si="12"/>
        <v>#REF!</v>
      </c>
      <c r="L61" s="3" t="e">
        <f t="shared" ca="1" si="12"/>
        <v>#REF!</v>
      </c>
      <c r="M61" s="3" t="e">
        <f t="shared" ca="1" si="12"/>
        <v>#REF!</v>
      </c>
      <c r="N61" s="3" t="e">
        <f t="shared" ca="1" si="12"/>
        <v>#REF!</v>
      </c>
      <c r="O61" s="3" t="e">
        <f t="shared" ca="1" si="12"/>
        <v>#REF!</v>
      </c>
      <c r="P61" s="3" t="e">
        <f t="shared" ca="1" si="12"/>
        <v>#REF!</v>
      </c>
      <c r="Q61" s="3" t="e">
        <f t="shared" ca="1" si="12"/>
        <v>#REF!</v>
      </c>
      <c r="R61" s="3" t="e">
        <f t="shared" ca="1" si="12"/>
        <v>#REF!</v>
      </c>
      <c r="S61" s="3" t="e">
        <f t="shared" ca="1" si="12"/>
        <v>#REF!</v>
      </c>
      <c r="T61" s="3" t="e">
        <f t="shared" ca="1" si="12"/>
        <v>#REF!</v>
      </c>
      <c r="U61" s="3" t="e">
        <f t="shared" ca="1" si="12"/>
        <v>#REF!</v>
      </c>
      <c r="V61" s="3" t="e">
        <f t="shared" ca="1" si="12"/>
        <v>#REF!</v>
      </c>
      <c r="W61" s="3" t="e">
        <f t="shared" ca="1" si="12"/>
        <v>#REF!</v>
      </c>
      <c r="X61" s="3" t="e">
        <f t="shared" ca="1" si="12"/>
        <v>#REF!</v>
      </c>
      <c r="Y61" s="3" t="e">
        <f t="shared" ca="1" si="12"/>
        <v>#REF!</v>
      </c>
      <c r="Z61" s="3" t="e">
        <f t="shared" ca="1" si="12"/>
        <v>#REF!</v>
      </c>
      <c r="AA61" s="3" t="e">
        <f t="shared" ca="1" si="12"/>
        <v>#REF!</v>
      </c>
      <c r="AB61" s="3" t="e">
        <f t="shared" ca="1" si="12"/>
        <v>#REF!</v>
      </c>
      <c r="AC61" s="3" t="e">
        <f t="shared" ca="1" si="12"/>
        <v>#REF!</v>
      </c>
      <c r="AD61" s="3" t="e">
        <f t="shared" ca="1" si="12"/>
        <v>#REF!</v>
      </c>
      <c r="AE61" s="3" t="e">
        <f t="shared" ca="1" si="12"/>
        <v>#REF!</v>
      </c>
      <c r="AF61" s="3" t="e">
        <f t="shared" ca="1" si="12"/>
        <v>#REF!</v>
      </c>
      <c r="AG61" s="3" t="e">
        <f t="shared" ca="1" si="12"/>
        <v>#REF!</v>
      </c>
      <c r="AH61" s="3" t="e">
        <f t="shared" ca="1" si="12"/>
        <v>#REF!</v>
      </c>
      <c r="AI61" s="3" t="e">
        <f t="shared" ca="1" si="12"/>
        <v>#REF!</v>
      </c>
      <c r="AJ61" s="3" t="e">
        <f t="shared" ca="1" si="12"/>
        <v>#REF!</v>
      </c>
      <c r="AK61" s="3" t="e">
        <f t="shared" ca="1" si="12"/>
        <v>#REF!</v>
      </c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spans="1:61" x14ac:dyDescent="0.3">
      <c r="A62" t="s">
        <v>48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1:61" x14ac:dyDescent="0.3">
      <c r="A63" s="6" t="s">
        <v>52</v>
      </c>
      <c r="B63" s="3" t="e">
        <f t="shared" ref="B63:AG63" ca="1" si="13">((other_channel_sales_exec_base_salry/12)*B42)/1000</f>
        <v>#REF!</v>
      </c>
      <c r="C63" s="3" t="e">
        <f t="shared" ca="1" si="13"/>
        <v>#REF!</v>
      </c>
      <c r="D63" s="3" t="e">
        <f t="shared" ca="1" si="13"/>
        <v>#REF!</v>
      </c>
      <c r="E63" s="3" t="e">
        <f t="shared" ca="1" si="13"/>
        <v>#REF!</v>
      </c>
      <c r="F63" s="3" t="e">
        <f t="shared" ca="1" si="13"/>
        <v>#REF!</v>
      </c>
      <c r="G63" s="3" t="e">
        <f t="shared" ca="1" si="13"/>
        <v>#REF!</v>
      </c>
      <c r="H63" s="3" t="e">
        <f t="shared" ca="1" si="13"/>
        <v>#REF!</v>
      </c>
      <c r="I63" s="3" t="e">
        <f t="shared" ca="1" si="13"/>
        <v>#REF!</v>
      </c>
      <c r="J63" s="3" t="e">
        <f t="shared" ca="1" si="13"/>
        <v>#REF!</v>
      </c>
      <c r="K63" s="3" t="e">
        <f t="shared" ca="1" si="13"/>
        <v>#REF!</v>
      </c>
      <c r="L63" s="3" t="e">
        <f t="shared" ca="1" si="13"/>
        <v>#REF!</v>
      </c>
      <c r="M63" s="3" t="e">
        <f t="shared" ca="1" si="13"/>
        <v>#REF!</v>
      </c>
      <c r="N63" s="3" t="e">
        <f t="shared" ca="1" si="13"/>
        <v>#REF!</v>
      </c>
      <c r="O63" s="3" t="e">
        <f t="shared" ca="1" si="13"/>
        <v>#REF!</v>
      </c>
      <c r="P63" s="3" t="e">
        <f t="shared" ca="1" si="13"/>
        <v>#REF!</v>
      </c>
      <c r="Q63" s="3" t="e">
        <f t="shared" ca="1" si="13"/>
        <v>#REF!</v>
      </c>
      <c r="R63" s="3" t="e">
        <f t="shared" ca="1" si="13"/>
        <v>#REF!</v>
      </c>
      <c r="S63" s="3" t="e">
        <f t="shared" ca="1" si="13"/>
        <v>#REF!</v>
      </c>
      <c r="T63" s="3" t="e">
        <f t="shared" ca="1" si="13"/>
        <v>#REF!</v>
      </c>
      <c r="U63" s="3" t="e">
        <f t="shared" ca="1" si="13"/>
        <v>#REF!</v>
      </c>
      <c r="V63" s="3" t="e">
        <f t="shared" ca="1" si="13"/>
        <v>#REF!</v>
      </c>
      <c r="W63" s="3" t="e">
        <f t="shared" ca="1" si="13"/>
        <v>#REF!</v>
      </c>
      <c r="X63" s="3" t="e">
        <f t="shared" ca="1" si="13"/>
        <v>#REF!</v>
      </c>
      <c r="Y63" s="3" t="e">
        <f t="shared" ca="1" si="13"/>
        <v>#REF!</v>
      </c>
      <c r="Z63" s="3" t="e">
        <f t="shared" ca="1" si="13"/>
        <v>#REF!</v>
      </c>
      <c r="AA63" s="3" t="e">
        <f t="shared" ca="1" si="13"/>
        <v>#REF!</v>
      </c>
      <c r="AB63" s="3" t="e">
        <f t="shared" ca="1" si="13"/>
        <v>#REF!</v>
      </c>
      <c r="AC63" s="3" t="e">
        <f t="shared" ca="1" si="13"/>
        <v>#REF!</v>
      </c>
      <c r="AD63" s="3" t="e">
        <f t="shared" ca="1" si="13"/>
        <v>#REF!</v>
      </c>
      <c r="AE63" s="3" t="e">
        <f t="shared" ca="1" si="13"/>
        <v>#REF!</v>
      </c>
      <c r="AF63" s="3" t="e">
        <f t="shared" ca="1" si="13"/>
        <v>#REF!</v>
      </c>
      <c r="AG63" s="3" t="e">
        <f t="shared" ca="1" si="13"/>
        <v>#REF!</v>
      </c>
      <c r="AH63" s="3" t="e">
        <f ca="1">((other_channel_sales_exec_base_salry/12)*AH42)/1000</f>
        <v>#REF!</v>
      </c>
      <c r="AI63" s="3" t="e">
        <f ca="1">((other_channel_sales_exec_base_salry/12)*AI42)/1000</f>
        <v>#REF!</v>
      </c>
      <c r="AJ63" s="3" t="e">
        <f ca="1">((other_channel_sales_exec_base_salry/12)*AJ42)/1000</f>
        <v>#REF!</v>
      </c>
      <c r="AK63" s="3" t="e">
        <f ca="1">((other_channel_sales_exec_base_salry/12)*AK42)/1000</f>
        <v>#REF!</v>
      </c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61" x14ac:dyDescent="0.3">
      <c r="A64" s="6" t="s">
        <v>53</v>
      </c>
      <c r="B64" s="3" t="e">
        <f t="shared" ref="B64:AG64" ca="1" si="14">((other_inside_sales_base_salary/12)*B43)/1000</f>
        <v>#REF!</v>
      </c>
      <c r="C64" s="3" t="e">
        <f t="shared" ca="1" si="14"/>
        <v>#REF!</v>
      </c>
      <c r="D64" s="3" t="e">
        <f t="shared" ca="1" si="14"/>
        <v>#REF!</v>
      </c>
      <c r="E64" s="3" t="e">
        <f t="shared" ca="1" si="14"/>
        <v>#REF!</v>
      </c>
      <c r="F64" s="3" t="e">
        <f t="shared" ca="1" si="14"/>
        <v>#REF!</v>
      </c>
      <c r="G64" s="3" t="e">
        <f t="shared" ca="1" si="14"/>
        <v>#REF!</v>
      </c>
      <c r="H64" s="3" t="e">
        <f t="shared" ca="1" si="14"/>
        <v>#REF!</v>
      </c>
      <c r="I64" s="3" t="e">
        <f t="shared" ca="1" si="14"/>
        <v>#REF!</v>
      </c>
      <c r="J64" s="3" t="e">
        <f t="shared" ca="1" si="14"/>
        <v>#REF!</v>
      </c>
      <c r="K64" s="3" t="e">
        <f t="shared" ca="1" si="14"/>
        <v>#REF!</v>
      </c>
      <c r="L64" s="3" t="e">
        <f t="shared" ca="1" si="14"/>
        <v>#REF!</v>
      </c>
      <c r="M64" s="3" t="e">
        <f t="shared" ca="1" si="14"/>
        <v>#REF!</v>
      </c>
      <c r="N64" s="3" t="e">
        <f t="shared" ca="1" si="14"/>
        <v>#REF!</v>
      </c>
      <c r="O64" s="3" t="e">
        <f t="shared" ca="1" si="14"/>
        <v>#REF!</v>
      </c>
      <c r="P64" s="3" t="e">
        <f t="shared" ca="1" si="14"/>
        <v>#REF!</v>
      </c>
      <c r="Q64" s="3" t="e">
        <f t="shared" ca="1" si="14"/>
        <v>#REF!</v>
      </c>
      <c r="R64" s="3" t="e">
        <f t="shared" ca="1" si="14"/>
        <v>#REF!</v>
      </c>
      <c r="S64" s="3" t="e">
        <f t="shared" ca="1" si="14"/>
        <v>#REF!</v>
      </c>
      <c r="T64" s="3" t="e">
        <f t="shared" ca="1" si="14"/>
        <v>#REF!</v>
      </c>
      <c r="U64" s="3" t="e">
        <f t="shared" ca="1" si="14"/>
        <v>#REF!</v>
      </c>
      <c r="V64" s="3" t="e">
        <f t="shared" ca="1" si="14"/>
        <v>#REF!</v>
      </c>
      <c r="W64" s="3" t="e">
        <f t="shared" ca="1" si="14"/>
        <v>#REF!</v>
      </c>
      <c r="X64" s="3" t="e">
        <f t="shared" ca="1" si="14"/>
        <v>#REF!</v>
      </c>
      <c r="Y64" s="3" t="e">
        <f t="shared" ca="1" si="14"/>
        <v>#REF!</v>
      </c>
      <c r="Z64" s="3" t="e">
        <f t="shared" ca="1" si="14"/>
        <v>#REF!</v>
      </c>
      <c r="AA64" s="3" t="e">
        <f t="shared" ca="1" si="14"/>
        <v>#REF!</v>
      </c>
      <c r="AB64" s="3" t="e">
        <f t="shared" ca="1" si="14"/>
        <v>#REF!</v>
      </c>
      <c r="AC64" s="3" t="e">
        <f t="shared" ca="1" si="14"/>
        <v>#REF!</v>
      </c>
      <c r="AD64" s="3" t="e">
        <f t="shared" ca="1" si="14"/>
        <v>#REF!</v>
      </c>
      <c r="AE64" s="3" t="e">
        <f t="shared" ca="1" si="14"/>
        <v>#REF!</v>
      </c>
      <c r="AF64" s="3" t="e">
        <f t="shared" ca="1" si="14"/>
        <v>#REF!</v>
      </c>
      <c r="AG64" s="3" t="e">
        <f t="shared" ca="1" si="14"/>
        <v>#REF!</v>
      </c>
      <c r="AH64" s="3" t="e">
        <f ca="1">((other_inside_sales_base_salary/12)*AH43)/1000</f>
        <v>#REF!</v>
      </c>
      <c r="AI64" s="3" t="e">
        <f ca="1">((other_inside_sales_base_salary/12)*AI43)/1000</f>
        <v>#REF!</v>
      </c>
      <c r="AJ64" s="3" t="e">
        <f ca="1">((other_inside_sales_base_salary/12)*AJ43)/1000</f>
        <v>#REF!</v>
      </c>
      <c r="AK64" s="3" t="e">
        <f ca="1">((other_inside_sales_base_salary/12)*AK43)/1000</f>
        <v>#REF!</v>
      </c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1:61" x14ac:dyDescent="0.3">
      <c r="A65" s="6" t="s">
        <v>54</v>
      </c>
      <c r="B65" s="3" t="e">
        <f t="shared" ref="B65:AG65" ca="1" si="15">((other_sales_engineer_base_salary/12)*B44)/1000</f>
        <v>#REF!</v>
      </c>
      <c r="C65" s="3" t="e">
        <f t="shared" ca="1" si="15"/>
        <v>#REF!</v>
      </c>
      <c r="D65" s="3" t="e">
        <f t="shared" ca="1" si="15"/>
        <v>#REF!</v>
      </c>
      <c r="E65" s="3" t="e">
        <f t="shared" ca="1" si="15"/>
        <v>#REF!</v>
      </c>
      <c r="F65" s="3" t="e">
        <f t="shared" ca="1" si="15"/>
        <v>#REF!</v>
      </c>
      <c r="G65" s="3" t="e">
        <f t="shared" ca="1" si="15"/>
        <v>#REF!</v>
      </c>
      <c r="H65" s="3" t="e">
        <f t="shared" ca="1" si="15"/>
        <v>#REF!</v>
      </c>
      <c r="I65" s="3" t="e">
        <f t="shared" ca="1" si="15"/>
        <v>#REF!</v>
      </c>
      <c r="J65" s="3" t="e">
        <f t="shared" ca="1" si="15"/>
        <v>#REF!</v>
      </c>
      <c r="K65" s="3" t="e">
        <f t="shared" ca="1" si="15"/>
        <v>#REF!</v>
      </c>
      <c r="L65" s="3" t="e">
        <f t="shared" ca="1" si="15"/>
        <v>#REF!</v>
      </c>
      <c r="M65" s="3" t="e">
        <f t="shared" ca="1" si="15"/>
        <v>#REF!</v>
      </c>
      <c r="N65" s="3" t="e">
        <f t="shared" ca="1" si="15"/>
        <v>#REF!</v>
      </c>
      <c r="O65" s="3" t="e">
        <f t="shared" ca="1" si="15"/>
        <v>#REF!</v>
      </c>
      <c r="P65" s="3" t="e">
        <f t="shared" ca="1" si="15"/>
        <v>#REF!</v>
      </c>
      <c r="Q65" s="3" t="e">
        <f t="shared" ca="1" si="15"/>
        <v>#REF!</v>
      </c>
      <c r="R65" s="3" t="e">
        <f t="shared" ca="1" si="15"/>
        <v>#REF!</v>
      </c>
      <c r="S65" s="3" t="e">
        <f t="shared" ca="1" si="15"/>
        <v>#REF!</v>
      </c>
      <c r="T65" s="3" t="e">
        <f t="shared" ca="1" si="15"/>
        <v>#REF!</v>
      </c>
      <c r="U65" s="3" t="e">
        <f t="shared" ca="1" si="15"/>
        <v>#REF!</v>
      </c>
      <c r="V65" s="3" t="e">
        <f t="shared" ca="1" si="15"/>
        <v>#REF!</v>
      </c>
      <c r="W65" s="3" t="e">
        <f t="shared" ca="1" si="15"/>
        <v>#REF!</v>
      </c>
      <c r="X65" s="3" t="e">
        <f t="shared" ca="1" si="15"/>
        <v>#REF!</v>
      </c>
      <c r="Y65" s="3" t="e">
        <f t="shared" ca="1" si="15"/>
        <v>#REF!</v>
      </c>
      <c r="Z65" s="3" t="e">
        <f t="shared" ca="1" si="15"/>
        <v>#REF!</v>
      </c>
      <c r="AA65" s="3" t="e">
        <f t="shared" ca="1" si="15"/>
        <v>#REF!</v>
      </c>
      <c r="AB65" s="3" t="e">
        <f t="shared" ca="1" si="15"/>
        <v>#REF!</v>
      </c>
      <c r="AC65" s="3" t="e">
        <f t="shared" ca="1" si="15"/>
        <v>#REF!</v>
      </c>
      <c r="AD65" s="3" t="e">
        <f t="shared" ca="1" si="15"/>
        <v>#REF!</v>
      </c>
      <c r="AE65" s="3" t="e">
        <f t="shared" ca="1" si="15"/>
        <v>#REF!</v>
      </c>
      <c r="AF65" s="3" t="e">
        <f t="shared" ca="1" si="15"/>
        <v>#REF!</v>
      </c>
      <c r="AG65" s="3" t="e">
        <f t="shared" ca="1" si="15"/>
        <v>#REF!</v>
      </c>
      <c r="AH65" s="3" t="e">
        <f ca="1">((other_sales_engineer_base_salary/12)*AH44)/1000</f>
        <v>#REF!</v>
      </c>
      <c r="AI65" s="3" t="e">
        <f ca="1">((other_sales_engineer_base_salary/12)*AI44)/1000</f>
        <v>#REF!</v>
      </c>
      <c r="AJ65" s="3" t="e">
        <f ca="1">((other_sales_engineer_base_salary/12)*AJ44)/1000</f>
        <v>#REF!</v>
      </c>
      <c r="AK65" s="3" t="e">
        <f ca="1">((other_sales_engineer_base_salary/12)*AK44)/1000</f>
        <v>#REF!</v>
      </c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1:61" x14ac:dyDescent="0.3">
      <c r="A66" s="6" t="s">
        <v>57</v>
      </c>
      <c r="B66" s="3" t="e">
        <f ca="1">SUM(B63:B65)</f>
        <v>#REF!</v>
      </c>
      <c r="C66" s="3" t="e">
        <f t="shared" ref="C66:AK66" ca="1" si="16">SUM(C63:C65)</f>
        <v>#REF!</v>
      </c>
      <c r="D66" s="3" t="e">
        <f t="shared" ca="1" si="16"/>
        <v>#REF!</v>
      </c>
      <c r="E66" s="3" t="e">
        <f t="shared" ca="1" si="16"/>
        <v>#REF!</v>
      </c>
      <c r="F66" s="3" t="e">
        <f t="shared" ca="1" si="16"/>
        <v>#REF!</v>
      </c>
      <c r="G66" s="3" t="e">
        <f t="shared" ca="1" si="16"/>
        <v>#REF!</v>
      </c>
      <c r="H66" s="3" t="e">
        <f t="shared" ca="1" si="16"/>
        <v>#REF!</v>
      </c>
      <c r="I66" s="3" t="e">
        <f t="shared" ca="1" si="16"/>
        <v>#REF!</v>
      </c>
      <c r="J66" s="3" t="e">
        <f t="shared" ca="1" si="16"/>
        <v>#REF!</v>
      </c>
      <c r="K66" s="3" t="e">
        <f t="shared" ca="1" si="16"/>
        <v>#REF!</v>
      </c>
      <c r="L66" s="3" t="e">
        <f t="shared" ca="1" si="16"/>
        <v>#REF!</v>
      </c>
      <c r="M66" s="3" t="e">
        <f t="shared" ca="1" si="16"/>
        <v>#REF!</v>
      </c>
      <c r="N66" s="3" t="e">
        <f t="shared" ca="1" si="16"/>
        <v>#REF!</v>
      </c>
      <c r="O66" s="3" t="e">
        <f t="shared" ca="1" si="16"/>
        <v>#REF!</v>
      </c>
      <c r="P66" s="3" t="e">
        <f t="shared" ca="1" si="16"/>
        <v>#REF!</v>
      </c>
      <c r="Q66" s="3" t="e">
        <f t="shared" ca="1" si="16"/>
        <v>#REF!</v>
      </c>
      <c r="R66" s="3" t="e">
        <f t="shared" ca="1" si="16"/>
        <v>#REF!</v>
      </c>
      <c r="S66" s="3" t="e">
        <f t="shared" ca="1" si="16"/>
        <v>#REF!</v>
      </c>
      <c r="T66" s="3" t="e">
        <f t="shared" ca="1" si="16"/>
        <v>#REF!</v>
      </c>
      <c r="U66" s="3" t="e">
        <f t="shared" ca="1" si="16"/>
        <v>#REF!</v>
      </c>
      <c r="V66" s="3" t="e">
        <f t="shared" ca="1" si="16"/>
        <v>#REF!</v>
      </c>
      <c r="W66" s="3" t="e">
        <f t="shared" ca="1" si="16"/>
        <v>#REF!</v>
      </c>
      <c r="X66" s="3" t="e">
        <f t="shared" ca="1" si="16"/>
        <v>#REF!</v>
      </c>
      <c r="Y66" s="3" t="e">
        <f t="shared" ca="1" si="16"/>
        <v>#REF!</v>
      </c>
      <c r="Z66" s="3" t="e">
        <f t="shared" ca="1" si="16"/>
        <v>#REF!</v>
      </c>
      <c r="AA66" s="3" t="e">
        <f t="shared" ca="1" si="16"/>
        <v>#REF!</v>
      </c>
      <c r="AB66" s="3" t="e">
        <f t="shared" ca="1" si="16"/>
        <v>#REF!</v>
      </c>
      <c r="AC66" s="3" t="e">
        <f t="shared" ca="1" si="16"/>
        <v>#REF!</v>
      </c>
      <c r="AD66" s="3" t="e">
        <f t="shared" ca="1" si="16"/>
        <v>#REF!</v>
      </c>
      <c r="AE66" s="3" t="e">
        <f t="shared" ca="1" si="16"/>
        <v>#REF!</v>
      </c>
      <c r="AF66" s="3" t="e">
        <f t="shared" ca="1" si="16"/>
        <v>#REF!</v>
      </c>
      <c r="AG66" s="3" t="e">
        <f t="shared" ca="1" si="16"/>
        <v>#REF!</v>
      </c>
      <c r="AH66" s="3" t="e">
        <f t="shared" ca="1" si="16"/>
        <v>#REF!</v>
      </c>
      <c r="AI66" s="3" t="e">
        <f t="shared" ca="1" si="16"/>
        <v>#REF!</v>
      </c>
      <c r="AJ66" s="3" t="e">
        <f t="shared" ca="1" si="16"/>
        <v>#REF!</v>
      </c>
      <c r="AK66" s="3" t="e">
        <f t="shared" ca="1" si="16"/>
        <v>#REF!</v>
      </c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8" spans="1:61" x14ac:dyDescent="0.3">
      <c r="A68" s="6" t="s">
        <v>58</v>
      </c>
      <c r="B68" s="5" t="e">
        <f ca="1">SUM(B66,B61,B56,B51)</f>
        <v>#REF!</v>
      </c>
      <c r="C68" s="5" t="e">
        <f t="shared" ref="C68:AK68" ca="1" si="17">SUM(C66,C61,C56,C51)</f>
        <v>#REF!</v>
      </c>
      <c r="D68" s="5" t="e">
        <f t="shared" ca="1" si="17"/>
        <v>#REF!</v>
      </c>
      <c r="E68" s="5" t="e">
        <f t="shared" ca="1" si="17"/>
        <v>#REF!</v>
      </c>
      <c r="F68" s="5" t="e">
        <f t="shared" ca="1" si="17"/>
        <v>#REF!</v>
      </c>
      <c r="G68" s="5" t="e">
        <f t="shared" ca="1" si="17"/>
        <v>#REF!</v>
      </c>
      <c r="H68" s="5" t="e">
        <f t="shared" ca="1" si="17"/>
        <v>#REF!</v>
      </c>
      <c r="I68" s="5" t="e">
        <f t="shared" ca="1" si="17"/>
        <v>#REF!</v>
      </c>
      <c r="J68" s="5" t="e">
        <f t="shared" ca="1" si="17"/>
        <v>#REF!</v>
      </c>
      <c r="K68" s="5" t="e">
        <f t="shared" ca="1" si="17"/>
        <v>#REF!</v>
      </c>
      <c r="L68" s="5" t="e">
        <f t="shared" ca="1" si="17"/>
        <v>#REF!</v>
      </c>
      <c r="M68" s="5" t="e">
        <f t="shared" ca="1" si="17"/>
        <v>#REF!</v>
      </c>
      <c r="N68" s="5" t="e">
        <f t="shared" ca="1" si="17"/>
        <v>#REF!</v>
      </c>
      <c r="O68" s="5" t="e">
        <f t="shared" ca="1" si="17"/>
        <v>#REF!</v>
      </c>
      <c r="P68" s="5" t="e">
        <f t="shared" ca="1" si="17"/>
        <v>#REF!</v>
      </c>
      <c r="Q68" s="5" t="e">
        <f t="shared" ca="1" si="17"/>
        <v>#REF!</v>
      </c>
      <c r="R68" s="5" t="e">
        <f t="shared" ca="1" si="17"/>
        <v>#REF!</v>
      </c>
      <c r="S68" s="5" t="e">
        <f t="shared" ca="1" si="17"/>
        <v>#REF!</v>
      </c>
      <c r="T68" s="5" t="e">
        <f t="shared" ca="1" si="17"/>
        <v>#REF!</v>
      </c>
      <c r="U68" s="5" t="e">
        <f t="shared" ca="1" si="17"/>
        <v>#REF!</v>
      </c>
      <c r="V68" s="5" t="e">
        <f t="shared" ca="1" si="17"/>
        <v>#REF!</v>
      </c>
      <c r="W68" s="5" t="e">
        <f t="shared" ca="1" si="17"/>
        <v>#REF!</v>
      </c>
      <c r="X68" s="5" t="e">
        <f t="shared" ca="1" si="17"/>
        <v>#REF!</v>
      </c>
      <c r="Y68" s="5" t="e">
        <f t="shared" ca="1" si="17"/>
        <v>#REF!</v>
      </c>
      <c r="Z68" s="5" t="e">
        <f t="shared" ca="1" si="17"/>
        <v>#REF!</v>
      </c>
      <c r="AA68" s="5" t="e">
        <f t="shared" ca="1" si="17"/>
        <v>#REF!</v>
      </c>
      <c r="AB68" s="5" t="e">
        <f t="shared" ca="1" si="17"/>
        <v>#REF!</v>
      </c>
      <c r="AC68" s="5" t="e">
        <f t="shared" ca="1" si="17"/>
        <v>#REF!</v>
      </c>
      <c r="AD68" s="5" t="e">
        <f t="shared" ca="1" si="17"/>
        <v>#REF!</v>
      </c>
      <c r="AE68" s="5" t="e">
        <f t="shared" ca="1" si="17"/>
        <v>#REF!</v>
      </c>
      <c r="AF68" s="5" t="e">
        <f t="shared" ca="1" si="17"/>
        <v>#REF!</v>
      </c>
      <c r="AG68" s="5" t="e">
        <f t="shared" ca="1" si="17"/>
        <v>#REF!</v>
      </c>
      <c r="AH68" s="5" t="e">
        <f t="shared" ca="1" si="17"/>
        <v>#REF!</v>
      </c>
      <c r="AI68" s="5" t="e">
        <f t="shared" ca="1" si="17"/>
        <v>#REF!</v>
      </c>
      <c r="AJ68" s="5" t="e">
        <f t="shared" ca="1" si="17"/>
        <v>#REF!</v>
      </c>
      <c r="AK68" s="5" t="e">
        <f t="shared" ca="1" si="17"/>
        <v>#REF!</v>
      </c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2"/>
  <sheetViews>
    <sheetView topLeftCell="A7" workbookViewId="0">
      <selection activeCell="E31" sqref="E31"/>
    </sheetView>
  </sheetViews>
  <sheetFormatPr defaultRowHeight="14.4" x14ac:dyDescent="0.3"/>
  <cols>
    <col min="2" max="2" width="70.6640625" customWidth="1"/>
    <col min="4" max="5" width="10" bestFit="1" customWidth="1"/>
    <col min="6" max="6" width="13.33203125" bestFit="1" customWidth="1"/>
    <col min="7" max="7" width="11.5546875" bestFit="1" customWidth="1"/>
    <col min="8" max="8" width="10" bestFit="1" customWidth="1"/>
    <col min="9" max="9" width="14.33203125" bestFit="1" customWidth="1"/>
  </cols>
  <sheetData>
    <row r="3" spans="2:9" x14ac:dyDescent="0.3">
      <c r="B3" s="348" t="s">
        <v>3</v>
      </c>
      <c r="C3" s="348"/>
      <c r="D3" s="348"/>
      <c r="E3" s="348"/>
      <c r="F3" s="348"/>
      <c r="G3" s="348"/>
    </row>
    <row r="4" spans="2:9" ht="15" thickBot="1" x14ac:dyDescent="0.35">
      <c r="B4" s="9" t="s">
        <v>4</v>
      </c>
      <c r="C4" s="9"/>
      <c r="D4" s="9"/>
      <c r="E4" s="9"/>
      <c r="F4" s="9"/>
      <c r="G4" s="9"/>
    </row>
    <row r="5" spans="2:9" x14ac:dyDescent="0.3">
      <c r="D5" s="10" t="s">
        <v>5</v>
      </c>
      <c r="E5" s="10" t="s">
        <v>6</v>
      </c>
      <c r="F5" s="10" t="s">
        <v>7</v>
      </c>
      <c r="G5" s="10" t="s">
        <v>8</v>
      </c>
    </row>
    <row r="6" spans="2:9" x14ac:dyDescent="0.3">
      <c r="B6" s="11" t="s">
        <v>9</v>
      </c>
      <c r="C6" s="12"/>
      <c r="D6" s="13"/>
      <c r="E6" s="12"/>
      <c r="F6" s="12"/>
      <c r="G6" s="12"/>
    </row>
    <row r="7" spans="2:9" x14ac:dyDescent="0.3">
      <c r="B7" s="14" t="s">
        <v>10</v>
      </c>
      <c r="D7" s="15">
        <v>0.37257600000000002</v>
      </c>
      <c r="E7" s="15">
        <v>49.729599999999998</v>
      </c>
      <c r="F7" s="15">
        <v>137.73760000000004</v>
      </c>
      <c r="G7" s="15">
        <v>390.93119999999999</v>
      </c>
    </row>
    <row r="8" spans="2:9" x14ac:dyDescent="0.3">
      <c r="B8" s="6"/>
      <c r="D8" s="16"/>
      <c r="E8" s="16"/>
      <c r="F8" s="16"/>
      <c r="G8" s="16"/>
    </row>
    <row r="9" spans="2:9" x14ac:dyDescent="0.3">
      <c r="B9" s="17" t="s">
        <v>11</v>
      </c>
      <c r="D9" s="18">
        <v>0.33</v>
      </c>
      <c r="E9" s="19">
        <v>0.2</v>
      </c>
      <c r="F9" s="19">
        <v>0.2</v>
      </c>
      <c r="G9" s="19">
        <v>0.2</v>
      </c>
    </row>
    <row r="10" spans="2:9" x14ac:dyDescent="0.3">
      <c r="B10" s="6" t="s">
        <v>12</v>
      </c>
      <c r="D10" s="20">
        <f>D7*D9</f>
        <v>0.12295008000000002</v>
      </c>
      <c r="E10" s="16">
        <f>E7*E9</f>
        <v>9.945920000000001</v>
      </c>
      <c r="F10" s="16">
        <f>F7*F9</f>
        <v>27.547520000000009</v>
      </c>
      <c r="G10" s="16">
        <f>G7*G9</f>
        <v>78.186239999999998</v>
      </c>
      <c r="I10" s="3"/>
    </row>
    <row r="11" spans="2:9" x14ac:dyDescent="0.3">
      <c r="B11" s="21" t="s">
        <v>13</v>
      </c>
      <c r="D11" s="16"/>
      <c r="E11" s="19">
        <f>(E10-D10)/D10</f>
        <v>79.893969324786113</v>
      </c>
      <c r="F11" s="19">
        <f>(F10-E10)/E10</f>
        <v>1.7697307036453145</v>
      </c>
      <c r="G11" s="19">
        <f>(G10-F10)/F10</f>
        <v>1.8382315359059536</v>
      </c>
    </row>
    <row r="12" spans="2:9" x14ac:dyDescent="0.3">
      <c r="B12" s="17"/>
      <c r="D12" s="19"/>
      <c r="E12" s="19"/>
      <c r="F12" s="19"/>
      <c r="G12" s="19"/>
    </row>
    <row r="13" spans="2:9" x14ac:dyDescent="0.3">
      <c r="B13" s="17" t="s">
        <v>14</v>
      </c>
      <c r="C13" s="22"/>
      <c r="D13" s="18">
        <f>(D9*0.8)</f>
        <v>0.26400000000000001</v>
      </c>
      <c r="E13" s="18">
        <f>(E9*0.8)</f>
        <v>0.16000000000000003</v>
      </c>
      <c r="F13" s="18">
        <f>(F9*0.8)</f>
        <v>0.16000000000000003</v>
      </c>
      <c r="G13" s="18">
        <f>(G9*0.8)</f>
        <v>0.16000000000000003</v>
      </c>
    </row>
    <row r="14" spans="2:9" x14ac:dyDescent="0.3">
      <c r="B14" s="6" t="s">
        <v>12</v>
      </c>
      <c r="C14" s="22"/>
      <c r="D14" s="23">
        <f>D$7*D13</f>
        <v>9.8360064000000011E-2</v>
      </c>
      <c r="E14" s="24">
        <f>E$7*E13</f>
        <v>7.9567360000000011</v>
      </c>
      <c r="F14" s="24">
        <f>F$7*F13</f>
        <v>22.03801600000001</v>
      </c>
      <c r="G14" s="24">
        <f>G$7*G13</f>
        <v>62.548992000000013</v>
      </c>
    </row>
    <row r="15" spans="2:9" x14ac:dyDescent="0.3">
      <c r="B15" s="21" t="s">
        <v>13</v>
      </c>
      <c r="C15" s="22"/>
      <c r="D15" s="24"/>
      <c r="E15" s="25">
        <f>(E14-D14)/D14</f>
        <v>79.893969324786127</v>
      </c>
      <c r="F15" s="25">
        <f>(F14-E14)/E14</f>
        <v>1.7697307036453147</v>
      </c>
      <c r="G15" s="25">
        <f>(G14-F14)/F14</f>
        <v>1.8382315359059538</v>
      </c>
    </row>
    <row r="16" spans="2:9" x14ac:dyDescent="0.3">
      <c r="B16" s="26"/>
      <c r="D16" s="27"/>
      <c r="E16" s="27"/>
      <c r="F16" s="27"/>
      <c r="G16" s="27"/>
    </row>
    <row r="17" spans="2:8" x14ac:dyDescent="0.3">
      <c r="B17" s="17" t="s">
        <v>15</v>
      </c>
      <c r="D17" s="18">
        <f>(D9*1.2)</f>
        <v>0.39600000000000002</v>
      </c>
      <c r="E17" s="18">
        <f>(E9*1.2)</f>
        <v>0.24</v>
      </c>
      <c r="F17" s="18">
        <f>(F9*1.2)</f>
        <v>0.24</v>
      </c>
      <c r="G17" s="18">
        <f>(G9*1.2)</f>
        <v>0.24</v>
      </c>
    </row>
    <row r="18" spans="2:8" x14ac:dyDescent="0.3">
      <c r="B18" s="6" t="s">
        <v>12</v>
      </c>
      <c r="D18" s="20">
        <f>D$7*D17</f>
        <v>0.14754009600000001</v>
      </c>
      <c r="E18" s="16">
        <f>E$7*E17</f>
        <v>11.935103999999999</v>
      </c>
      <c r="F18" s="16">
        <f>F$7*F17</f>
        <v>33.057024000000013</v>
      </c>
      <c r="G18" s="16">
        <f>G$7*G17</f>
        <v>93.823487999999998</v>
      </c>
    </row>
    <row r="19" spans="2:8" x14ac:dyDescent="0.3">
      <c r="B19" s="21" t="s">
        <v>13</v>
      </c>
      <c r="D19" s="16"/>
      <c r="E19" s="19">
        <f>(E18-D18)/D18</f>
        <v>79.893969324786113</v>
      </c>
      <c r="F19" s="19">
        <f>(F18-E18)/E18</f>
        <v>1.7697307036453152</v>
      </c>
      <c r="G19" s="19">
        <f>(G18-F18)/F18</f>
        <v>1.8382315359059533</v>
      </c>
    </row>
    <row r="20" spans="2:8" ht="15" thickBot="1" x14ac:dyDescent="0.35">
      <c r="B20" s="28"/>
      <c r="C20" s="9"/>
      <c r="D20" s="29"/>
      <c r="E20" s="30"/>
      <c r="F20" s="30"/>
      <c r="G20" s="30"/>
    </row>
    <row r="21" spans="2:8" x14ac:dyDescent="0.3">
      <c r="B21" s="14" t="s">
        <v>16</v>
      </c>
    </row>
    <row r="22" spans="2:8" x14ac:dyDescent="0.3">
      <c r="B22" s="31"/>
      <c r="F22" s="32"/>
    </row>
    <row r="23" spans="2:8" x14ac:dyDescent="0.3">
      <c r="B23" t="s">
        <v>17</v>
      </c>
    </row>
    <row r="24" spans="2:8" ht="15" thickBot="1" x14ac:dyDescent="0.35">
      <c r="B24" s="9" t="s">
        <v>18</v>
      </c>
      <c r="C24" s="9"/>
      <c r="D24" s="9"/>
      <c r="E24" s="9"/>
      <c r="F24" s="9"/>
      <c r="G24" s="9"/>
    </row>
    <row r="25" spans="2:8" ht="15" thickBot="1" x14ac:dyDescent="0.35">
      <c r="B25" s="33"/>
      <c r="C25" s="33"/>
      <c r="D25" s="34" t="s">
        <v>5</v>
      </c>
      <c r="E25" s="34" t="s">
        <v>6</v>
      </c>
      <c r="F25" s="34" t="s">
        <v>7</v>
      </c>
      <c r="G25" s="34" t="s">
        <v>8</v>
      </c>
    </row>
    <row r="26" spans="2:8" x14ac:dyDescent="0.3">
      <c r="B26" s="6" t="s">
        <v>19</v>
      </c>
      <c r="D26" s="35">
        <v>1295</v>
      </c>
      <c r="E26" s="35">
        <f>(1-0.05)*D26</f>
        <v>1230.25</v>
      </c>
      <c r="F26" s="35">
        <f>(1-0.05)*E26</f>
        <v>1168.7375</v>
      </c>
      <c r="G26" s="35">
        <f>(1-0.05)*F26</f>
        <v>1110.3006249999999</v>
      </c>
    </row>
    <row r="27" spans="2:8" x14ac:dyDescent="0.3">
      <c r="B27" s="6" t="s">
        <v>20</v>
      </c>
      <c r="D27" s="35">
        <f>(1-0.4)*D26</f>
        <v>777</v>
      </c>
      <c r="E27" s="35">
        <f>(1-0.4)*E26</f>
        <v>738.15</v>
      </c>
      <c r="F27" s="35">
        <f>(1-0.4)*F26</f>
        <v>701.24249999999995</v>
      </c>
      <c r="G27" s="35">
        <f>(1-0.4)*G26</f>
        <v>666.18037499999991</v>
      </c>
    </row>
    <row r="29" spans="2:8" x14ac:dyDescent="0.3">
      <c r="B29" t="s">
        <v>21</v>
      </c>
      <c r="H29" t="s">
        <v>22</v>
      </c>
    </row>
    <row r="30" spans="2:8" x14ac:dyDescent="0.3">
      <c r="B30" s="6" t="s">
        <v>23</v>
      </c>
      <c r="D30" s="35">
        <f>(D27*D10)</f>
        <v>95.532212160000014</v>
      </c>
      <c r="E30" s="35">
        <f>(E27*E10)</f>
        <v>7341.5808480000005</v>
      </c>
      <c r="F30" s="35">
        <f>(F27*F10)</f>
        <v>19317.491793600006</v>
      </c>
      <c r="G30" s="35">
        <f>(G27*G10)</f>
        <v>52086.138683039993</v>
      </c>
      <c r="H30" s="36">
        <f>SUM(D30:G30)</f>
        <v>78840.743536800001</v>
      </c>
    </row>
    <row r="31" spans="2:8" x14ac:dyDescent="0.3">
      <c r="B31" s="37" t="s">
        <v>24</v>
      </c>
      <c r="C31" s="22"/>
      <c r="D31" s="38">
        <f>(D27*D14)</f>
        <v>76.425769728000006</v>
      </c>
      <c r="E31" s="38">
        <f>(E27*E14)</f>
        <v>5873.2646784000008</v>
      </c>
      <c r="F31" s="38">
        <f>(F27*F14)</f>
        <v>15453.993434880005</v>
      </c>
      <c r="G31" s="38">
        <f>(G27*G14)</f>
        <v>41668.910946432006</v>
      </c>
      <c r="H31" s="36">
        <f>SUM(D31:G31)</f>
        <v>63072.594829440015</v>
      </c>
    </row>
    <row r="32" spans="2:8" x14ac:dyDescent="0.3">
      <c r="B32" s="6" t="s">
        <v>25</v>
      </c>
      <c r="D32" s="35">
        <f>(D27*D18)</f>
        <v>114.63865459200001</v>
      </c>
      <c r="E32" s="35">
        <f>(E27*E18)</f>
        <v>8809.8970175999984</v>
      </c>
      <c r="F32" s="35">
        <f>(F27*F18)</f>
        <v>23180.990152320006</v>
      </c>
      <c r="G32" s="35">
        <f>(G27*G18)</f>
        <v>62503.366419647988</v>
      </c>
      <c r="H32" s="36">
        <f>SUM(D32:G32)</f>
        <v>94608.892244160001</v>
      </c>
    </row>
  </sheetData>
  <mergeCells count="1">
    <mergeCell ref="B3:G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1" workbookViewId="0">
      <selection activeCell="E31" sqref="E31"/>
    </sheetView>
  </sheetViews>
  <sheetFormatPr defaultRowHeight="14.4" x14ac:dyDescent="0.3"/>
  <cols>
    <col min="2" max="2" width="56.33203125" customWidth="1"/>
    <col min="4" max="7" width="14.33203125" bestFit="1" customWidth="1"/>
    <col min="8" max="8" width="11.5546875" bestFit="1" customWidth="1"/>
  </cols>
  <sheetData>
    <row r="1" spans="1:7" x14ac:dyDescent="0.3">
      <c r="A1" t="s">
        <v>26</v>
      </c>
    </row>
    <row r="2" spans="1:7" x14ac:dyDescent="0.3">
      <c r="B2" s="348" t="s">
        <v>27</v>
      </c>
      <c r="C2" s="348"/>
      <c r="D2" s="348"/>
      <c r="E2" s="348"/>
      <c r="F2" s="348"/>
      <c r="G2" s="348"/>
    </row>
    <row r="3" spans="1:7" ht="15" thickBot="1" x14ac:dyDescent="0.35">
      <c r="B3" s="9" t="s">
        <v>4</v>
      </c>
      <c r="C3" s="9"/>
      <c r="D3" s="9"/>
      <c r="E3" s="9"/>
      <c r="F3" s="9"/>
      <c r="G3" s="9"/>
    </row>
    <row r="4" spans="1:7" x14ac:dyDescent="0.3">
      <c r="D4" s="10" t="s">
        <v>5</v>
      </c>
      <c r="E4" s="10" t="s">
        <v>6</v>
      </c>
      <c r="F4" s="10" t="s">
        <v>7</v>
      </c>
      <c r="G4" s="10" t="s">
        <v>8</v>
      </c>
    </row>
    <row r="5" spans="1:7" x14ac:dyDescent="0.3">
      <c r="B5" s="11" t="s">
        <v>9</v>
      </c>
      <c r="C5" s="12"/>
      <c r="D5" s="13"/>
      <c r="E5" s="12"/>
      <c r="F5" s="12"/>
      <c r="G5" s="12"/>
    </row>
    <row r="6" spans="1:7" x14ac:dyDescent="0.3">
      <c r="B6" t="s">
        <v>28</v>
      </c>
      <c r="D6" s="7">
        <v>2328.6</v>
      </c>
      <c r="E6" s="7">
        <v>3108.1</v>
      </c>
      <c r="F6" s="7">
        <v>4304.3</v>
      </c>
      <c r="G6" s="7">
        <v>6108.3</v>
      </c>
    </row>
    <row r="7" spans="1:7" x14ac:dyDescent="0.3">
      <c r="B7" s="6"/>
      <c r="D7" s="7"/>
      <c r="E7" s="7"/>
      <c r="F7" s="7"/>
      <c r="G7" s="7"/>
    </row>
    <row r="8" spans="1:7" x14ac:dyDescent="0.3">
      <c r="B8" s="11" t="s">
        <v>29</v>
      </c>
      <c r="D8" s="7"/>
      <c r="E8" s="7"/>
      <c r="F8" s="7"/>
      <c r="G8" s="7"/>
    </row>
    <row r="9" spans="1:7" x14ac:dyDescent="0.3">
      <c r="B9" s="17" t="s">
        <v>30</v>
      </c>
      <c r="D9" s="39">
        <v>2.0000000000000001E-4</v>
      </c>
      <c r="E9" s="1">
        <v>0.02</v>
      </c>
      <c r="F9" s="1">
        <v>0.04</v>
      </c>
      <c r="G9" s="1">
        <v>0.08</v>
      </c>
    </row>
    <row r="10" spans="1:7" x14ac:dyDescent="0.3">
      <c r="B10" s="6" t="s">
        <v>31</v>
      </c>
      <c r="D10" s="40">
        <f>D$6*D9</f>
        <v>0.46572000000000002</v>
      </c>
      <c r="E10" s="7">
        <f>E6*E9</f>
        <v>62.161999999999999</v>
      </c>
      <c r="F10" s="7">
        <f>F6*F9</f>
        <v>172.172</v>
      </c>
      <c r="G10" s="7">
        <f>G6*G9</f>
        <v>488.66400000000004</v>
      </c>
    </row>
    <row r="11" spans="1:7" x14ac:dyDescent="0.3">
      <c r="B11" s="21" t="s">
        <v>13</v>
      </c>
      <c r="D11" s="7"/>
      <c r="E11" s="1">
        <f>(E10-D10)/D10</f>
        <v>132.47504938589711</v>
      </c>
      <c r="F11" s="1">
        <f>(F10-E10)/E10</f>
        <v>1.7697307036453138</v>
      </c>
      <c r="G11" s="1">
        <f>(G10-F10)/F10</f>
        <v>1.8382315359059549</v>
      </c>
    </row>
    <row r="12" spans="1:7" x14ac:dyDescent="0.3">
      <c r="B12" s="17"/>
      <c r="D12" s="1"/>
      <c r="E12" s="1"/>
      <c r="F12" s="1"/>
      <c r="G12" s="1"/>
    </row>
    <row r="13" spans="1:7" x14ac:dyDescent="0.3">
      <c r="B13" s="14" t="s">
        <v>32</v>
      </c>
      <c r="C13" s="22"/>
      <c r="D13" s="39">
        <f>(D9*0.8)</f>
        <v>1.6000000000000001E-4</v>
      </c>
      <c r="E13" s="39">
        <f>(E9*0.8)</f>
        <v>1.6E-2</v>
      </c>
      <c r="F13" s="39">
        <f>(F9*0.8)</f>
        <v>3.2000000000000001E-2</v>
      </c>
      <c r="G13" s="39">
        <f>(G9*0.8)</f>
        <v>6.4000000000000001E-2</v>
      </c>
    </row>
    <row r="14" spans="1:7" x14ac:dyDescent="0.3">
      <c r="B14" s="37" t="s">
        <v>31</v>
      </c>
      <c r="C14" s="22"/>
      <c r="D14" s="41">
        <f>D$6*D13</f>
        <v>0.37257600000000002</v>
      </c>
      <c r="E14" s="42">
        <f>E$6*E13</f>
        <v>49.729599999999998</v>
      </c>
      <c r="F14" s="42">
        <f>F$6*F13</f>
        <v>137.73760000000001</v>
      </c>
      <c r="G14" s="42">
        <f>G$6*G13</f>
        <v>390.93120000000005</v>
      </c>
    </row>
    <row r="15" spans="1:7" x14ac:dyDescent="0.3">
      <c r="B15" s="21" t="s">
        <v>13</v>
      </c>
      <c r="C15" s="22"/>
      <c r="D15" s="42"/>
      <c r="E15" s="43">
        <f>(E14-D14)/D14</f>
        <v>132.47504938589708</v>
      </c>
      <c r="F15" s="43">
        <f>(F14-E14)/E14</f>
        <v>1.769730703645314</v>
      </c>
      <c r="G15" s="43">
        <f>(G14-F14)/F14</f>
        <v>1.8382315359059545</v>
      </c>
    </row>
    <row r="16" spans="1:7" x14ac:dyDescent="0.3">
      <c r="B16" s="26"/>
      <c r="D16" s="4"/>
      <c r="E16" s="4"/>
      <c r="F16" s="4"/>
      <c r="G16" s="4"/>
    </row>
    <row r="17" spans="2:8" x14ac:dyDescent="0.3">
      <c r="B17" s="17" t="s">
        <v>33</v>
      </c>
      <c r="D17" s="39">
        <f>(D9*1.5)</f>
        <v>3.0000000000000003E-4</v>
      </c>
      <c r="E17" s="39">
        <f>(E9*1.5)</f>
        <v>0.03</v>
      </c>
      <c r="F17" s="39">
        <f>(F9*1.5)</f>
        <v>0.06</v>
      </c>
      <c r="G17" s="39">
        <f>(G9*1.5)</f>
        <v>0.12</v>
      </c>
    </row>
    <row r="18" spans="2:8" x14ac:dyDescent="0.3">
      <c r="B18" s="6" t="s">
        <v>31</v>
      </c>
      <c r="D18" s="40">
        <f>D$6*D17</f>
        <v>0.69858000000000009</v>
      </c>
      <c r="E18" s="7">
        <f>E$6*E17</f>
        <v>93.242999999999995</v>
      </c>
      <c r="F18" s="7">
        <f>F$6*F17</f>
        <v>258.25799999999998</v>
      </c>
      <c r="G18" s="7">
        <f>G$6*G17</f>
        <v>732.99599999999998</v>
      </c>
    </row>
    <row r="19" spans="2:8" x14ac:dyDescent="0.3">
      <c r="B19" s="21" t="s">
        <v>13</v>
      </c>
      <c r="D19" s="7"/>
      <c r="E19" s="1">
        <f>(E18-D18)/D18</f>
        <v>132.47504938589708</v>
      </c>
      <c r="F19" s="1">
        <f>(F18-E18)/E18</f>
        <v>1.7697307036453138</v>
      </c>
      <c r="G19" s="1">
        <f>(G18-F18)/F18</f>
        <v>1.8382315359059547</v>
      </c>
    </row>
    <row r="20" spans="2:8" ht="15" thickBot="1" x14ac:dyDescent="0.35">
      <c r="B20" s="28"/>
      <c r="C20" s="9"/>
      <c r="D20" s="29"/>
      <c r="E20" s="30"/>
      <c r="F20" s="30"/>
      <c r="G20" s="30"/>
    </row>
    <row r="21" spans="2:8" x14ac:dyDescent="0.3">
      <c r="B21" s="31" t="s">
        <v>34</v>
      </c>
    </row>
    <row r="22" spans="2:8" x14ac:dyDescent="0.3">
      <c r="B22" s="31"/>
    </row>
    <row r="23" spans="2:8" x14ac:dyDescent="0.3">
      <c r="B23" s="31"/>
      <c r="E23" s="36"/>
      <c r="F23" s="36"/>
    </row>
    <row r="24" spans="2:8" x14ac:dyDescent="0.3">
      <c r="B24" t="s">
        <v>35</v>
      </c>
    </row>
    <row r="25" spans="2:8" ht="15" thickBot="1" x14ac:dyDescent="0.35">
      <c r="B25" s="9" t="s">
        <v>36</v>
      </c>
      <c r="C25" s="9"/>
      <c r="D25" s="9"/>
      <c r="E25" s="9"/>
      <c r="F25" s="9"/>
      <c r="G25" s="9"/>
    </row>
    <row r="26" spans="2:8" ht="15" thickBot="1" x14ac:dyDescent="0.35">
      <c r="B26" s="33"/>
      <c r="C26" s="33"/>
      <c r="D26" s="34" t="s">
        <v>5</v>
      </c>
      <c r="E26" s="34" t="s">
        <v>6</v>
      </c>
      <c r="F26" s="34" t="s">
        <v>7</v>
      </c>
      <c r="G26" s="34" t="s">
        <v>8</v>
      </c>
    </row>
    <row r="27" spans="2:8" x14ac:dyDescent="0.3">
      <c r="B27" s="6" t="s">
        <v>37</v>
      </c>
      <c r="D27" s="35">
        <v>1000</v>
      </c>
      <c r="E27" s="35">
        <f>(1-0.05)*D27</f>
        <v>950</v>
      </c>
      <c r="F27" s="35">
        <f>(1-0.05)*E27</f>
        <v>902.5</v>
      </c>
      <c r="G27" s="35">
        <f>(1-0.05)*F27</f>
        <v>857.375</v>
      </c>
    </row>
    <row r="28" spans="2:8" x14ac:dyDescent="0.3">
      <c r="B28" s="6"/>
      <c r="D28" s="35"/>
      <c r="E28" s="35"/>
      <c r="F28" s="35"/>
      <c r="G28" s="35"/>
    </row>
    <row r="29" spans="2:8" x14ac:dyDescent="0.3">
      <c r="D29" s="3"/>
    </row>
    <row r="30" spans="2:8" x14ac:dyDescent="0.3">
      <c r="B30" t="s">
        <v>21</v>
      </c>
      <c r="H30" t="s">
        <v>38</v>
      </c>
    </row>
    <row r="31" spans="2:8" x14ac:dyDescent="0.3">
      <c r="B31" s="6" t="s">
        <v>23</v>
      </c>
      <c r="D31" s="35">
        <f>(D10*D27)</f>
        <v>465.72</v>
      </c>
      <c r="E31" s="35">
        <f>(E10*E27)</f>
        <v>59053.9</v>
      </c>
      <c r="F31" s="35">
        <f>(F10*F27)</f>
        <v>155385.23000000001</v>
      </c>
      <c r="G31" s="35">
        <f>(G10*G27)</f>
        <v>418968.29700000002</v>
      </c>
      <c r="H31" s="36">
        <f>SUM(D31:G31)</f>
        <v>633873.147</v>
      </c>
    </row>
    <row r="32" spans="2:8" x14ac:dyDescent="0.3">
      <c r="B32" s="37" t="s">
        <v>24</v>
      </c>
      <c r="C32" s="22"/>
      <c r="D32" s="38">
        <f>(D14*D27)</f>
        <v>372.57600000000002</v>
      </c>
      <c r="E32" s="38">
        <f>(E14*E27)</f>
        <v>47243.119999999995</v>
      </c>
      <c r="F32" s="38">
        <f>(F14*F27)</f>
        <v>124308.18400000001</v>
      </c>
      <c r="G32" s="38">
        <f>(G14*G27)</f>
        <v>335174.63760000002</v>
      </c>
      <c r="H32" s="36">
        <f>SUM(D32:G32)</f>
        <v>507098.51760000002</v>
      </c>
    </row>
    <row r="33" spans="2:8" x14ac:dyDescent="0.3">
      <c r="B33" s="6" t="s">
        <v>25</v>
      </c>
      <c r="D33" s="35">
        <f>(D18*D27)</f>
        <v>698.58</v>
      </c>
      <c r="E33" s="35">
        <f>(E18*E27)</f>
        <v>88580.849999999991</v>
      </c>
      <c r="F33" s="35">
        <f>(F18*F27)</f>
        <v>233077.84499999997</v>
      </c>
      <c r="G33" s="35">
        <f>(G18*G27)</f>
        <v>628452.44550000003</v>
      </c>
      <c r="H33" s="36">
        <f>SUM(D33:G33)</f>
        <v>950809.72050000005</v>
      </c>
    </row>
  </sheetData>
  <mergeCells count="1">
    <mergeCell ref="B2:G2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E31" sqref="E31"/>
    </sheetView>
  </sheetViews>
  <sheetFormatPr defaultRowHeight="14.4" x14ac:dyDescent="0.3"/>
  <cols>
    <col min="2" max="2" width="46" customWidth="1"/>
    <col min="3" max="3" width="9.5546875" customWidth="1"/>
    <col min="4" max="4" width="18" bestFit="1" customWidth="1"/>
    <col min="5" max="7" width="10.5546875" bestFit="1" customWidth="1"/>
  </cols>
  <sheetData>
    <row r="2" spans="2:7" x14ac:dyDescent="0.3">
      <c r="B2" s="348" t="s">
        <v>39</v>
      </c>
      <c r="C2" s="348"/>
      <c r="D2" s="348"/>
      <c r="E2" s="348"/>
      <c r="F2" s="348"/>
      <c r="G2" s="348"/>
    </row>
    <row r="3" spans="2:7" ht="15" thickBot="1" x14ac:dyDescent="0.35">
      <c r="B3" s="9" t="s">
        <v>4</v>
      </c>
      <c r="C3" s="9"/>
      <c r="D3" s="9"/>
      <c r="E3" s="9"/>
      <c r="F3" s="9"/>
      <c r="G3" s="9"/>
    </row>
    <row r="4" spans="2:7" x14ac:dyDescent="0.3">
      <c r="D4" s="10" t="s">
        <v>5</v>
      </c>
      <c r="E4" s="10" t="s">
        <v>6</v>
      </c>
      <c r="F4" s="10" t="s">
        <v>7</v>
      </c>
      <c r="G4" s="10" t="s">
        <v>8</v>
      </c>
    </row>
    <row r="5" spans="2:7" x14ac:dyDescent="0.3">
      <c r="B5" s="11" t="s">
        <v>9</v>
      </c>
      <c r="C5" s="12"/>
      <c r="D5" s="13"/>
      <c r="E5" s="12"/>
      <c r="F5" s="12"/>
      <c r="G5" s="12"/>
    </row>
    <row r="6" spans="2:7" x14ac:dyDescent="0.3">
      <c r="B6" t="s">
        <v>40</v>
      </c>
      <c r="D6" s="7">
        <v>27428</v>
      </c>
      <c r="E6" s="7">
        <v>29838</v>
      </c>
      <c r="F6" s="7">
        <v>31914</v>
      </c>
      <c r="G6" s="7">
        <v>33834</v>
      </c>
    </row>
    <row r="7" spans="2:7" x14ac:dyDescent="0.3">
      <c r="B7" s="6" t="s">
        <v>41</v>
      </c>
      <c r="D7" s="7">
        <v>3700</v>
      </c>
      <c r="E7" s="7">
        <v>4600</v>
      </c>
      <c r="F7" s="7">
        <v>5900</v>
      </c>
      <c r="G7" s="7">
        <v>7800</v>
      </c>
    </row>
    <row r="8" spans="2:7" x14ac:dyDescent="0.3">
      <c r="B8" s="6" t="s">
        <v>42</v>
      </c>
      <c r="D8" s="1">
        <f>D7/D6</f>
        <v>0.1348986437217442</v>
      </c>
      <c r="E8" s="1">
        <f>E7/E6</f>
        <v>0.1541658288089014</v>
      </c>
      <c r="F8" s="1">
        <f>F7/F6</f>
        <v>0.18487184307827287</v>
      </c>
      <c r="G8" s="1">
        <f>G7/G6</f>
        <v>0.2305373293137081</v>
      </c>
    </row>
    <row r="10" spans="2:7" x14ac:dyDescent="0.3">
      <c r="B10" s="11" t="s">
        <v>29</v>
      </c>
    </row>
    <row r="11" spans="2:7" x14ac:dyDescent="0.3">
      <c r="B11" s="26" t="s">
        <v>43</v>
      </c>
      <c r="D11" s="4">
        <f>D8</f>
        <v>0.1348986437217442</v>
      </c>
      <c r="E11" s="4">
        <f>E8</f>
        <v>0.1541658288089014</v>
      </c>
      <c r="F11" s="4">
        <f>F8</f>
        <v>0.18487184307827287</v>
      </c>
      <c r="G11" s="4">
        <f>G8</f>
        <v>0.2305373293137081</v>
      </c>
    </row>
    <row r="12" spans="2:7" x14ac:dyDescent="0.3">
      <c r="B12" s="6" t="s">
        <v>41</v>
      </c>
      <c r="D12" s="7">
        <f>D6*D11</f>
        <v>3700</v>
      </c>
      <c r="E12" s="7">
        <f>E6*E11</f>
        <v>4600</v>
      </c>
      <c r="F12" s="7">
        <f>F6*F11</f>
        <v>5900</v>
      </c>
      <c r="G12" s="7">
        <f>G6*G11</f>
        <v>7800</v>
      </c>
    </row>
    <row r="13" spans="2:7" x14ac:dyDescent="0.3">
      <c r="B13" s="21" t="s">
        <v>13</v>
      </c>
      <c r="D13" s="6" t="s">
        <v>44</v>
      </c>
      <c r="E13" s="44">
        <f>(E12-D12)/D12</f>
        <v>0.24324324324324326</v>
      </c>
      <c r="F13" s="44">
        <f>(F12-E12)/E12</f>
        <v>0.28260869565217389</v>
      </c>
      <c r="G13" s="44">
        <f>(G12-F12)/F12</f>
        <v>0.32203389830508472</v>
      </c>
    </row>
    <row r="14" spans="2:7" x14ac:dyDescent="0.3">
      <c r="B14" s="26"/>
      <c r="C14" s="22"/>
      <c r="D14" s="22"/>
      <c r="E14" s="22"/>
      <c r="F14" s="22"/>
      <c r="G14" s="22"/>
    </row>
    <row r="15" spans="2:7" x14ac:dyDescent="0.3">
      <c r="B15" s="26" t="s">
        <v>45</v>
      </c>
      <c r="C15" s="22"/>
      <c r="D15" s="45">
        <f>(D8-0.05)</f>
        <v>8.4898643721744202E-2</v>
      </c>
      <c r="E15" s="45">
        <f>E8-0.05</f>
        <v>0.10416582880890139</v>
      </c>
      <c r="F15" s="45">
        <f>F8-0.05</f>
        <v>0.13487184307827288</v>
      </c>
      <c r="G15" s="45">
        <f>G8-0.05</f>
        <v>0.18053732931370808</v>
      </c>
    </row>
    <row r="16" spans="2:7" x14ac:dyDescent="0.3">
      <c r="B16" s="37" t="s">
        <v>41</v>
      </c>
      <c r="C16" s="22"/>
      <c r="D16" s="42">
        <f>D$6*D15</f>
        <v>2328.6</v>
      </c>
      <c r="E16" s="42">
        <f>E$6*E15</f>
        <v>3108.1</v>
      </c>
      <c r="F16" s="42">
        <f>F$6*F15</f>
        <v>4304.3000000000011</v>
      </c>
      <c r="G16" s="42">
        <f>G$6*G15</f>
        <v>6108.2999999999993</v>
      </c>
    </row>
    <row r="17" spans="2:7" x14ac:dyDescent="0.3">
      <c r="B17" s="21" t="s">
        <v>13</v>
      </c>
      <c r="C17" s="22"/>
      <c r="D17" s="37" t="s">
        <v>44</v>
      </c>
      <c r="E17" s="46">
        <f>(E16-D16)/D16</f>
        <v>0.33475049385897104</v>
      </c>
      <c r="F17" s="46">
        <f>(F16-E16)/E16</f>
        <v>0.3848653518226573</v>
      </c>
      <c r="G17" s="46">
        <f>(G16-F16)/F16</f>
        <v>0.41911576795297673</v>
      </c>
    </row>
    <row r="18" spans="2:7" x14ac:dyDescent="0.3">
      <c r="B18" s="22"/>
      <c r="C18" s="22"/>
      <c r="D18" s="22"/>
      <c r="E18" s="22"/>
      <c r="F18" s="22"/>
      <c r="G18" s="22"/>
    </row>
    <row r="19" spans="2:7" x14ac:dyDescent="0.3">
      <c r="B19" s="26" t="s">
        <v>46</v>
      </c>
      <c r="D19" s="4">
        <f>(D11+0.05)</f>
        <v>0.18489864372174419</v>
      </c>
      <c r="E19" s="4">
        <f>E8+0.05</f>
        <v>0.20416582880890138</v>
      </c>
      <c r="F19" s="4">
        <f>F8+0.05</f>
        <v>0.23487184307827286</v>
      </c>
      <c r="G19" s="4">
        <f>G8+0.05</f>
        <v>0.28053732931370812</v>
      </c>
    </row>
    <row r="20" spans="2:7" x14ac:dyDescent="0.3">
      <c r="B20" s="6" t="s">
        <v>41</v>
      </c>
      <c r="D20" s="7">
        <f>D$6*D19</f>
        <v>5071.3999999999996</v>
      </c>
      <c r="E20" s="7">
        <f>E$6*E19</f>
        <v>6091.9</v>
      </c>
      <c r="F20" s="7">
        <f>F$6*F19</f>
        <v>7495.7</v>
      </c>
      <c r="G20" s="7">
        <f>G$6*G19</f>
        <v>9491.7000000000007</v>
      </c>
    </row>
    <row r="21" spans="2:7" ht="15" thickBot="1" x14ac:dyDescent="0.35">
      <c r="B21" s="28" t="s">
        <v>13</v>
      </c>
      <c r="C21" s="9"/>
      <c r="D21" s="29" t="s">
        <v>44</v>
      </c>
      <c r="E21" s="30">
        <f>(E20-D20)/D20</f>
        <v>0.20122648578301852</v>
      </c>
      <c r="F21" s="30">
        <f>(F20-E20)/E20</f>
        <v>0.23043713783876957</v>
      </c>
      <c r="G21" s="30">
        <f>(G20-F20)/F20</f>
        <v>0.26628600397561281</v>
      </c>
    </row>
    <row r="22" spans="2:7" x14ac:dyDescent="0.3">
      <c r="B22" s="31" t="s">
        <v>47</v>
      </c>
    </row>
    <row r="25" spans="2:7" x14ac:dyDescent="0.3">
      <c r="D25" s="7"/>
    </row>
    <row r="27" spans="2:7" x14ac:dyDescent="0.3">
      <c r="D27" s="3"/>
    </row>
    <row r="28" spans="2:7" x14ac:dyDescent="0.3">
      <c r="D28" s="3"/>
    </row>
  </sheetData>
  <mergeCells count="1">
    <mergeCell ref="B2:G2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J67"/>
  <sheetViews>
    <sheetView tabSelected="1" zoomScale="75" zoomScaleNormal="75" workbookViewId="0">
      <selection activeCell="R8" sqref="R8"/>
    </sheetView>
  </sheetViews>
  <sheetFormatPr defaultColWidth="9.109375" defaultRowHeight="14.4" x14ac:dyDescent="0.3"/>
  <cols>
    <col min="1" max="1" width="35.33203125" style="48" customWidth="1"/>
    <col min="2" max="5" width="9.6640625" style="48" hidden="1" customWidth="1"/>
    <col min="6" max="6" width="9.109375" style="48" hidden="1" customWidth="1"/>
    <col min="7" max="7" width="2.33203125" style="48" customWidth="1"/>
    <col min="8" max="10" width="9" style="48" hidden="1" customWidth="1"/>
    <col min="11" max="11" width="9.33203125" style="48" hidden="1" customWidth="1"/>
    <col min="12" max="12" width="10.33203125" style="48" hidden="1" customWidth="1"/>
    <col min="13" max="13" width="2.44140625" style="48" customWidth="1"/>
    <col min="14" max="17" width="9" style="48" customWidth="1"/>
    <col min="18" max="18" width="11.109375" style="48" bestFit="1" customWidth="1"/>
    <col min="19" max="19" width="2.44140625" style="48" customWidth="1"/>
    <col min="20" max="20" width="9" style="48" customWidth="1"/>
    <col min="21" max="22" width="9.88671875" style="48" customWidth="1"/>
    <col min="23" max="23" width="10.33203125" style="48" customWidth="1"/>
    <col min="24" max="24" width="11.109375" style="48" customWidth="1"/>
    <col min="25" max="25" width="2.44140625" style="48" customWidth="1"/>
    <col min="26" max="29" width="10.33203125" style="48" customWidth="1"/>
    <col min="30" max="30" width="11.109375" style="48" customWidth="1"/>
    <col min="31" max="31" width="2.44140625" style="48" customWidth="1"/>
    <col min="32" max="35" width="10.33203125" style="48" customWidth="1"/>
    <col min="36" max="36" width="11.109375" style="48" customWidth="1"/>
    <col min="37" max="16384" width="9.109375" style="48"/>
  </cols>
  <sheetData>
    <row r="2" spans="1:36" ht="17.399999999999999" x14ac:dyDescent="0.3">
      <c r="A2" s="349" t="s">
        <v>149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</row>
    <row r="3" spans="1:36" ht="17.399999999999999" x14ac:dyDescent="0.3">
      <c r="A3" s="349" t="s">
        <v>83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</row>
    <row r="4" spans="1:36" s="49" customFormat="1" ht="12.75" customHeight="1" x14ac:dyDescent="0.3">
      <c r="B4" s="50"/>
      <c r="C4" s="50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</row>
    <row r="5" spans="1:36" ht="15" customHeight="1" x14ac:dyDescent="0.3">
      <c r="A5" s="59"/>
      <c r="B5" s="350" t="s">
        <v>72</v>
      </c>
      <c r="C5" s="351"/>
      <c r="D5" s="351"/>
      <c r="E5" s="351"/>
      <c r="F5" s="352"/>
      <c r="G5" s="60"/>
      <c r="H5" s="350" t="s">
        <v>108</v>
      </c>
      <c r="I5" s="351"/>
      <c r="J5" s="351"/>
      <c r="K5" s="351"/>
      <c r="L5" s="352"/>
      <c r="M5" s="60"/>
      <c r="N5" s="350" t="s">
        <v>148</v>
      </c>
      <c r="O5" s="351"/>
      <c r="P5" s="351"/>
      <c r="Q5" s="351"/>
      <c r="R5" s="352"/>
      <c r="T5" s="350">
        <v>2011</v>
      </c>
      <c r="U5" s="351"/>
      <c r="V5" s="351"/>
      <c r="W5" s="351"/>
      <c r="X5" s="352"/>
      <c r="Z5" s="350">
        <v>2012</v>
      </c>
      <c r="AA5" s="351"/>
      <c r="AB5" s="351"/>
      <c r="AC5" s="351"/>
      <c r="AD5" s="352"/>
      <c r="AF5" s="350">
        <v>2013</v>
      </c>
      <c r="AG5" s="351"/>
      <c r="AH5" s="351"/>
      <c r="AI5" s="351"/>
      <c r="AJ5" s="352"/>
    </row>
    <row r="6" spans="1:36" ht="15" customHeight="1" x14ac:dyDescent="0.3">
      <c r="A6" s="61"/>
      <c r="B6" s="62" t="s">
        <v>80</v>
      </c>
      <c r="C6" s="63" t="s">
        <v>81</v>
      </c>
      <c r="D6" s="63" t="s">
        <v>78</v>
      </c>
      <c r="E6" s="63" t="s">
        <v>79</v>
      </c>
      <c r="F6" s="64" t="s">
        <v>57</v>
      </c>
      <c r="G6" s="60"/>
      <c r="H6" s="62" t="s">
        <v>80</v>
      </c>
      <c r="I6" s="63" t="s">
        <v>81</v>
      </c>
      <c r="J6" s="63" t="s">
        <v>77</v>
      </c>
      <c r="K6" s="63" t="s">
        <v>63</v>
      </c>
      <c r="L6" s="65" t="s">
        <v>57</v>
      </c>
      <c r="M6" s="60"/>
      <c r="N6" s="62" t="s">
        <v>61</v>
      </c>
      <c r="O6" s="63" t="s">
        <v>62</v>
      </c>
      <c r="P6" s="63" t="s">
        <v>77</v>
      </c>
      <c r="Q6" s="66" t="s">
        <v>63</v>
      </c>
      <c r="R6" s="67" t="s">
        <v>57</v>
      </c>
      <c r="T6" s="68" t="s">
        <v>61</v>
      </c>
      <c r="U6" s="69" t="s">
        <v>62</v>
      </c>
      <c r="V6" s="66" t="s">
        <v>77</v>
      </c>
      <c r="W6" s="66" t="s">
        <v>63</v>
      </c>
      <c r="X6" s="67" t="s">
        <v>57</v>
      </c>
      <c r="Z6" s="68" t="s">
        <v>61</v>
      </c>
      <c r="AA6" s="69" t="s">
        <v>62</v>
      </c>
      <c r="AB6" s="66" t="s">
        <v>77</v>
      </c>
      <c r="AC6" s="66" t="s">
        <v>63</v>
      </c>
      <c r="AD6" s="67" t="s">
        <v>57</v>
      </c>
      <c r="AF6" s="346" t="s">
        <v>61</v>
      </c>
      <c r="AG6" s="347" t="s">
        <v>62</v>
      </c>
      <c r="AH6" s="66" t="s">
        <v>77</v>
      </c>
      <c r="AI6" s="66" t="s">
        <v>63</v>
      </c>
      <c r="AJ6" s="67" t="s">
        <v>57</v>
      </c>
    </row>
    <row r="7" spans="1:36" ht="15" hidden="1" customHeight="1" x14ac:dyDescent="0.3">
      <c r="A7" s="354" t="s">
        <v>82</v>
      </c>
      <c r="B7" s="354"/>
      <c r="C7" s="70"/>
      <c r="D7" s="71">
        <v>150</v>
      </c>
      <c r="E7" s="71">
        <v>250</v>
      </c>
      <c r="F7" s="72">
        <f>SUM(D7:E7)</f>
        <v>400</v>
      </c>
      <c r="G7" s="60"/>
      <c r="H7" s="73">
        <v>250</v>
      </c>
      <c r="I7" s="74">
        <v>600</v>
      </c>
      <c r="J7" s="74">
        <v>960</v>
      </c>
      <c r="K7" s="74">
        <v>1200</v>
      </c>
      <c r="L7" s="75">
        <f>SUM(H7:K7)</f>
        <v>3010</v>
      </c>
      <c r="M7" s="60"/>
      <c r="N7" s="76">
        <v>1920</v>
      </c>
      <c r="O7" s="77">
        <v>2400</v>
      </c>
      <c r="P7" s="77">
        <v>2880</v>
      </c>
      <c r="Q7" s="74">
        <v>3360</v>
      </c>
      <c r="R7" s="78">
        <f>SUM(N7:Q7)</f>
        <v>10560</v>
      </c>
      <c r="S7" s="52"/>
      <c r="T7" s="73">
        <v>4000</v>
      </c>
      <c r="U7" s="74">
        <v>4600</v>
      </c>
      <c r="V7" s="74">
        <v>5400</v>
      </c>
      <c r="W7" s="74">
        <v>6000</v>
      </c>
      <c r="X7" s="78">
        <f t="shared" ref="X7:X13" si="0">SUM(T7:W7)</f>
        <v>20000</v>
      </c>
      <c r="Z7" s="73">
        <v>7200</v>
      </c>
      <c r="AA7" s="74">
        <v>8000</v>
      </c>
      <c r="AB7" s="74">
        <v>10000</v>
      </c>
      <c r="AC7" s="74">
        <v>12000</v>
      </c>
      <c r="AD7" s="78">
        <f t="shared" ref="AD7:AD13" si="1">SUM(Z7:AC7)</f>
        <v>37200</v>
      </c>
      <c r="AF7" s="73">
        <v>7200</v>
      </c>
      <c r="AG7" s="74">
        <v>8000</v>
      </c>
      <c r="AH7" s="74">
        <v>10000</v>
      </c>
      <c r="AI7" s="74">
        <v>12000</v>
      </c>
      <c r="AJ7" s="78">
        <f t="shared" ref="AJ7:AJ13" si="2">SUM(AF7:AI7)</f>
        <v>37200</v>
      </c>
    </row>
    <row r="8" spans="1:36" ht="17.25" customHeight="1" thickBot="1" x14ac:dyDescent="0.35">
      <c r="A8" s="314" t="s">
        <v>113</v>
      </c>
      <c r="B8" s="79"/>
      <c r="C8" s="79"/>
      <c r="D8" s="80">
        <v>522</v>
      </c>
      <c r="E8" s="81">
        <v>536</v>
      </c>
      <c r="F8" s="81">
        <f>SUM(D8:E8)</f>
        <v>1058</v>
      </c>
      <c r="G8" s="82"/>
      <c r="H8" s="83">
        <v>393</v>
      </c>
      <c r="I8" s="84">
        <v>318</v>
      </c>
      <c r="J8" s="84">
        <v>378</v>
      </c>
      <c r="K8" s="84">
        <v>738</v>
      </c>
      <c r="L8" s="319">
        <f>SUM(H8:K8)</f>
        <v>1827</v>
      </c>
      <c r="M8" s="60"/>
      <c r="N8" s="83">
        <v>683</v>
      </c>
      <c r="O8" s="84">
        <v>476</v>
      </c>
      <c r="P8" s="84">
        <v>958</v>
      </c>
      <c r="Q8" s="315">
        <v>850</v>
      </c>
      <c r="R8" s="322">
        <f>SUM(N8:Q8)</f>
        <v>2967</v>
      </c>
      <c r="S8" s="313"/>
      <c r="T8" s="316">
        <v>1200</v>
      </c>
      <c r="U8" s="315">
        <v>1200</v>
      </c>
      <c r="V8" s="315">
        <v>1600</v>
      </c>
      <c r="W8" s="315">
        <v>2000</v>
      </c>
      <c r="X8" s="322">
        <f t="shared" si="0"/>
        <v>6000</v>
      </c>
      <c r="Y8" s="313"/>
      <c r="Z8" s="316">
        <v>2400</v>
      </c>
      <c r="AA8" s="315">
        <v>2800</v>
      </c>
      <c r="AB8" s="315">
        <v>3300</v>
      </c>
      <c r="AC8" s="315">
        <v>3800</v>
      </c>
      <c r="AD8" s="322">
        <f t="shared" si="1"/>
        <v>12300</v>
      </c>
      <c r="AE8" s="313"/>
      <c r="AF8" s="316">
        <v>4300</v>
      </c>
      <c r="AG8" s="315">
        <v>4800</v>
      </c>
      <c r="AH8" s="315">
        <v>5200</v>
      </c>
      <c r="AI8" s="315">
        <v>5700</v>
      </c>
      <c r="AJ8" s="322">
        <f t="shared" si="2"/>
        <v>20000</v>
      </c>
    </row>
    <row r="9" spans="1:36" ht="15" customHeight="1" x14ac:dyDescent="0.3">
      <c r="A9" s="85" t="s">
        <v>116</v>
      </c>
      <c r="B9" s="86"/>
      <c r="C9" s="87"/>
      <c r="D9" s="87">
        <v>130</v>
      </c>
      <c r="E9" s="88">
        <v>140</v>
      </c>
      <c r="F9" s="89">
        <f>SUM(D9:E9)</f>
        <v>270</v>
      </c>
      <c r="G9" s="60"/>
      <c r="H9" s="90">
        <v>152</v>
      </c>
      <c r="I9" s="91">
        <v>75</v>
      </c>
      <c r="J9" s="91">
        <v>64</v>
      </c>
      <c r="K9" s="92">
        <v>313</v>
      </c>
      <c r="L9" s="93">
        <f>SUM(H9:K9)</f>
        <v>604</v>
      </c>
      <c r="M9" s="60"/>
      <c r="N9" s="94">
        <v>332</v>
      </c>
      <c r="O9" s="95">
        <f>65+75</f>
        <v>140</v>
      </c>
      <c r="P9" s="95">
        <v>631</v>
      </c>
      <c r="Q9" s="97">
        <f>SUM(Q8)*0.8</f>
        <v>680</v>
      </c>
      <c r="R9" s="98">
        <f>SUM(N9:Q9)</f>
        <v>1783</v>
      </c>
      <c r="T9" s="99">
        <f>SUM(T8)*0.8</f>
        <v>960</v>
      </c>
      <c r="U9" s="96">
        <f>SUM(U8)*0.8</f>
        <v>960</v>
      </c>
      <c r="V9" s="96">
        <f>SUM(V8)*0.8</f>
        <v>1280</v>
      </c>
      <c r="W9" s="97">
        <f>SUM(W8)*0.8</f>
        <v>1600</v>
      </c>
      <c r="X9" s="98">
        <f t="shared" si="0"/>
        <v>4800</v>
      </c>
      <c r="Z9" s="99">
        <f>SUM(Z8)*0.8</f>
        <v>1920</v>
      </c>
      <c r="AA9" s="96">
        <f>SUM(AA8)*0.8</f>
        <v>2240</v>
      </c>
      <c r="AB9" s="96">
        <f>SUM(AB8)*0.8</f>
        <v>2640</v>
      </c>
      <c r="AC9" s="97">
        <f>SUM(AC8)*0.8</f>
        <v>3040</v>
      </c>
      <c r="AD9" s="98">
        <f t="shared" si="1"/>
        <v>9840</v>
      </c>
      <c r="AF9" s="99">
        <f>SUM(AF8)*0.8</f>
        <v>3440</v>
      </c>
      <c r="AG9" s="96">
        <f>SUM(AG8)*0.8</f>
        <v>3840</v>
      </c>
      <c r="AH9" s="96">
        <f>SUM(AH8)*0.8</f>
        <v>4160</v>
      </c>
      <c r="AI9" s="97">
        <f>SUM(AI8)*0.8</f>
        <v>4560</v>
      </c>
      <c r="AJ9" s="98">
        <f t="shared" si="2"/>
        <v>16000</v>
      </c>
    </row>
    <row r="10" spans="1:36" ht="15" hidden="1" customHeight="1" x14ac:dyDescent="0.3">
      <c r="A10" s="85" t="s">
        <v>111</v>
      </c>
      <c r="B10" s="100"/>
      <c r="C10" s="101"/>
      <c r="D10" s="101"/>
      <c r="E10" s="102"/>
      <c r="F10" s="103"/>
      <c r="G10" s="60"/>
      <c r="H10" s="104"/>
      <c r="I10" s="105"/>
      <c r="J10" s="105"/>
      <c r="K10" s="113"/>
      <c r="L10" s="107"/>
      <c r="M10" s="60"/>
      <c r="N10" s="108"/>
      <c r="O10" s="109"/>
      <c r="P10" s="109">
        <v>35</v>
      </c>
      <c r="Q10" s="106">
        <v>35</v>
      </c>
      <c r="R10" s="111">
        <f>SUM(P10:Q10)</f>
        <v>70</v>
      </c>
      <c r="T10" s="112">
        <v>51</v>
      </c>
      <c r="U10" s="110">
        <v>51</v>
      </c>
      <c r="V10" s="110">
        <v>51</v>
      </c>
      <c r="W10" s="106">
        <v>51</v>
      </c>
      <c r="X10" s="111">
        <f t="shared" si="0"/>
        <v>204</v>
      </c>
      <c r="Z10" s="112">
        <v>51</v>
      </c>
      <c r="AA10" s="110"/>
      <c r="AB10" s="110"/>
      <c r="AC10" s="106"/>
      <c r="AD10" s="111">
        <f t="shared" si="1"/>
        <v>51</v>
      </c>
      <c r="AF10" s="112">
        <v>51</v>
      </c>
      <c r="AG10" s="110"/>
      <c r="AH10" s="110"/>
      <c r="AI10" s="106"/>
      <c r="AJ10" s="111">
        <f t="shared" si="2"/>
        <v>51</v>
      </c>
    </row>
    <row r="11" spans="1:36" ht="15" hidden="1" customHeight="1" x14ac:dyDescent="0.3">
      <c r="A11" s="85" t="s">
        <v>147</v>
      </c>
      <c r="B11" s="100"/>
      <c r="C11" s="101"/>
      <c r="D11" s="101"/>
      <c r="E11" s="102"/>
      <c r="F11" s="103"/>
      <c r="G11" s="60"/>
      <c r="H11" s="104"/>
      <c r="I11" s="105"/>
      <c r="J11" s="105"/>
      <c r="K11" s="113"/>
      <c r="L11" s="107"/>
      <c r="M11" s="60"/>
      <c r="N11" s="108"/>
      <c r="O11" s="109"/>
      <c r="P11" s="109"/>
      <c r="Q11" s="106">
        <v>50</v>
      </c>
      <c r="R11" s="111">
        <f t="shared" ref="R11:R12" si="3">SUM(P11:Q11)</f>
        <v>50</v>
      </c>
      <c r="T11" s="112">
        <v>75</v>
      </c>
      <c r="U11" s="110"/>
      <c r="V11" s="110"/>
      <c r="W11" s="106"/>
      <c r="X11" s="111">
        <f t="shared" si="0"/>
        <v>75</v>
      </c>
      <c r="Z11" s="112"/>
      <c r="AA11" s="110"/>
      <c r="AB11" s="110"/>
      <c r="AC11" s="106"/>
      <c r="AD11" s="111">
        <f t="shared" si="1"/>
        <v>0</v>
      </c>
      <c r="AF11" s="112"/>
      <c r="AG11" s="110"/>
      <c r="AH11" s="110"/>
      <c r="AI11" s="106"/>
      <c r="AJ11" s="111">
        <f t="shared" si="2"/>
        <v>0</v>
      </c>
    </row>
    <row r="12" spans="1:36" ht="15" hidden="1" customHeight="1" x14ac:dyDescent="0.3">
      <c r="A12" s="85" t="s">
        <v>112</v>
      </c>
      <c r="B12" s="100"/>
      <c r="C12" s="101"/>
      <c r="D12" s="101"/>
      <c r="E12" s="102"/>
      <c r="F12" s="103"/>
      <c r="G12" s="60"/>
      <c r="H12" s="104"/>
      <c r="I12" s="105"/>
      <c r="J12" s="105"/>
      <c r="K12" s="113"/>
      <c r="L12" s="107"/>
      <c r="M12" s="60"/>
      <c r="N12" s="94"/>
      <c r="O12" s="95"/>
      <c r="P12" s="95"/>
      <c r="Q12" s="97"/>
      <c r="R12" s="98">
        <f t="shared" si="3"/>
        <v>0</v>
      </c>
      <c r="T12" s="99"/>
      <c r="U12" s="96">
        <v>72</v>
      </c>
      <c r="V12" s="96"/>
      <c r="W12" s="97"/>
      <c r="X12" s="98">
        <f t="shared" si="0"/>
        <v>72</v>
      </c>
      <c r="Z12" s="99"/>
      <c r="AA12" s="96">
        <v>72</v>
      </c>
      <c r="AB12" s="96"/>
      <c r="AC12" s="97"/>
      <c r="AD12" s="114">
        <f t="shared" si="1"/>
        <v>72</v>
      </c>
      <c r="AF12" s="99"/>
      <c r="AG12" s="96">
        <v>72</v>
      </c>
      <c r="AH12" s="96"/>
      <c r="AI12" s="97"/>
      <c r="AJ12" s="114">
        <f t="shared" si="2"/>
        <v>72</v>
      </c>
    </row>
    <row r="13" spans="1:36" ht="15" customHeight="1" x14ac:dyDescent="0.3">
      <c r="A13" s="85" t="s">
        <v>110</v>
      </c>
      <c r="B13" s="100"/>
      <c r="C13" s="101"/>
      <c r="D13" s="101"/>
      <c r="E13" s="102"/>
      <c r="F13" s="103"/>
      <c r="G13" s="60"/>
      <c r="H13" s="104"/>
      <c r="I13" s="105"/>
      <c r="J13" s="105"/>
      <c r="K13" s="113"/>
      <c r="L13" s="107"/>
      <c r="M13" s="60"/>
      <c r="N13" s="108"/>
      <c r="O13" s="109"/>
      <c r="P13" s="109">
        <f>SUM(P10:P12)</f>
        <v>35</v>
      </c>
      <c r="Q13" s="106">
        <f>SUM(Q10:Q12)</f>
        <v>85</v>
      </c>
      <c r="R13" s="111">
        <f>SUM(P13:Q13)</f>
        <v>120</v>
      </c>
      <c r="T13" s="112">
        <f>SUM(T10:T12)</f>
        <v>126</v>
      </c>
      <c r="U13" s="110">
        <f>SUM(U10:U12)</f>
        <v>123</v>
      </c>
      <c r="V13" s="110">
        <f>SUM(V10:V12)</f>
        <v>51</v>
      </c>
      <c r="W13" s="106">
        <f>SUM(W10:W12)</f>
        <v>51</v>
      </c>
      <c r="X13" s="111">
        <f t="shared" si="0"/>
        <v>351</v>
      </c>
      <c r="Z13" s="112">
        <f>SUM(Z10:Z12)</f>
        <v>51</v>
      </c>
      <c r="AA13" s="110">
        <f>SUM(AA10:AA12)</f>
        <v>72</v>
      </c>
      <c r="AB13" s="110">
        <f>SUM(AB10:AB12)</f>
        <v>0</v>
      </c>
      <c r="AC13" s="106">
        <f>SUM(AC10:AC12)</f>
        <v>0</v>
      </c>
      <c r="AD13" s="111">
        <f t="shared" si="1"/>
        <v>123</v>
      </c>
      <c r="AF13" s="112">
        <f>SUM(AF10:AF12)</f>
        <v>51</v>
      </c>
      <c r="AG13" s="110">
        <f>SUM(AG10:AG12)</f>
        <v>72</v>
      </c>
      <c r="AH13" s="110">
        <f>SUM(AH10:AH12)</f>
        <v>0</v>
      </c>
      <c r="AI13" s="106">
        <f>SUM(AI10:AI12)</f>
        <v>0</v>
      </c>
      <c r="AJ13" s="111">
        <f t="shared" si="2"/>
        <v>123</v>
      </c>
    </row>
    <row r="14" spans="1:36" ht="15" customHeight="1" x14ac:dyDescent="0.3">
      <c r="A14" s="85" t="s">
        <v>115</v>
      </c>
      <c r="B14" s="100"/>
      <c r="C14" s="101"/>
      <c r="D14" s="101">
        <v>342</v>
      </c>
      <c r="E14" s="102">
        <v>326</v>
      </c>
      <c r="F14" s="103">
        <f>SUM(D14:E14)</f>
        <v>668</v>
      </c>
      <c r="G14" s="60"/>
      <c r="H14" s="104">
        <v>192</v>
      </c>
      <c r="I14" s="105">
        <v>215</v>
      </c>
      <c r="J14" s="105">
        <v>245</v>
      </c>
      <c r="K14" s="113">
        <v>154</v>
      </c>
      <c r="L14" s="107">
        <f>SUM(H14:K14)</f>
        <v>806</v>
      </c>
      <c r="M14" s="60"/>
      <c r="N14" s="108">
        <v>117</v>
      </c>
      <c r="O14" s="109">
        <v>79</v>
      </c>
      <c r="P14" s="109">
        <v>110</v>
      </c>
      <c r="Q14" s="106">
        <v>50</v>
      </c>
      <c r="R14" s="111">
        <f>SUM(N14:Q14)</f>
        <v>356</v>
      </c>
      <c r="T14" s="112">
        <v>50</v>
      </c>
      <c r="U14" s="110"/>
      <c r="V14" s="110"/>
      <c r="W14" s="106"/>
      <c r="X14" s="114"/>
      <c r="Z14" s="112"/>
      <c r="AA14" s="110"/>
      <c r="AB14" s="110"/>
      <c r="AC14" s="106"/>
      <c r="AD14" s="114"/>
      <c r="AF14" s="112"/>
      <c r="AG14" s="110"/>
      <c r="AH14" s="110"/>
      <c r="AI14" s="106"/>
      <c r="AJ14" s="114"/>
    </row>
    <row r="15" spans="1:36" ht="15" customHeight="1" thickBot="1" x14ac:dyDescent="0.35">
      <c r="A15" s="115" t="s">
        <v>114</v>
      </c>
      <c r="B15" s="116"/>
      <c r="C15" s="117"/>
      <c r="D15" s="117">
        <v>5</v>
      </c>
      <c r="E15" s="118">
        <v>15</v>
      </c>
      <c r="F15" s="119">
        <f>SUM(D15:E15)</f>
        <v>20</v>
      </c>
      <c r="G15" s="60"/>
      <c r="H15" s="120">
        <v>31</v>
      </c>
      <c r="I15" s="121">
        <v>38</v>
      </c>
      <c r="J15" s="121">
        <v>47</v>
      </c>
      <c r="K15" s="118">
        <v>55</v>
      </c>
      <c r="L15" s="119">
        <f>SUM(H15:K15)</f>
        <v>171</v>
      </c>
      <c r="M15" s="60"/>
      <c r="N15" s="122">
        <v>63</v>
      </c>
      <c r="O15" s="121">
        <v>63</v>
      </c>
      <c r="P15" s="121">
        <v>77</v>
      </c>
      <c r="Q15" s="124">
        <v>100</v>
      </c>
      <c r="R15" s="125">
        <f>SUM(N15:Q15)</f>
        <v>303</v>
      </c>
      <c r="T15" s="126">
        <v>130</v>
      </c>
      <c r="U15" s="123">
        <v>160</v>
      </c>
      <c r="V15" s="123">
        <v>190</v>
      </c>
      <c r="W15" s="124">
        <v>220</v>
      </c>
      <c r="X15" s="125">
        <f>SUM(T15:W15)</f>
        <v>700</v>
      </c>
      <c r="Z15" s="126">
        <v>250</v>
      </c>
      <c r="AA15" s="123">
        <v>280</v>
      </c>
      <c r="AB15" s="123">
        <v>330</v>
      </c>
      <c r="AC15" s="124">
        <v>380</v>
      </c>
      <c r="AD15" s="125">
        <f>SUM(Z15:AC15)</f>
        <v>1240</v>
      </c>
      <c r="AF15" s="126">
        <v>250</v>
      </c>
      <c r="AG15" s="123">
        <v>280</v>
      </c>
      <c r="AH15" s="123">
        <v>330</v>
      </c>
      <c r="AI15" s="124">
        <v>380</v>
      </c>
      <c r="AJ15" s="125">
        <f>SUM(AF15:AI15)</f>
        <v>1240</v>
      </c>
    </row>
    <row r="16" spans="1:36" ht="15" customHeight="1" thickTop="1" x14ac:dyDescent="0.3">
      <c r="A16" s="61" t="s">
        <v>109</v>
      </c>
      <c r="B16" s="127"/>
      <c r="C16" s="128"/>
      <c r="D16" s="128">
        <f>SUM(D9,D14,D13,D15)</f>
        <v>477</v>
      </c>
      <c r="E16" s="129">
        <f>SUM(E9,E14,E13,E15)</f>
        <v>481</v>
      </c>
      <c r="F16" s="133">
        <f>SUM(D16:E16)</f>
        <v>958</v>
      </c>
      <c r="G16" s="60"/>
      <c r="H16" s="130">
        <f>SUM(H9,H14,H13,H15)</f>
        <v>375</v>
      </c>
      <c r="I16" s="131">
        <f>SUM(I9,I14,I13,I15)</f>
        <v>328</v>
      </c>
      <c r="J16" s="131">
        <f>SUM(J9,J14,J13,J15)</f>
        <v>356</v>
      </c>
      <c r="K16" s="132">
        <f>SUM(K9,K14,K13,K15)</f>
        <v>522</v>
      </c>
      <c r="L16" s="133">
        <f>SUM(L9,L14,L13,L15)</f>
        <v>1581</v>
      </c>
      <c r="M16" s="60"/>
      <c r="N16" s="134">
        <f>SUM(N14,N13,N15,N9)</f>
        <v>512</v>
      </c>
      <c r="O16" s="135">
        <f>SUM(O14,O13,O15,O9)</f>
        <v>282</v>
      </c>
      <c r="P16" s="135">
        <f>SUM(P14,P13,P15,P9)</f>
        <v>853</v>
      </c>
      <c r="Q16" s="137">
        <f>SUM(Q14,Q13,Q15,Q9)</f>
        <v>915</v>
      </c>
      <c r="R16" s="133">
        <f>SUM(R14,R13,R15,R9)</f>
        <v>2562</v>
      </c>
      <c r="T16" s="138">
        <f>SUM(T14,T13,T15,T9)</f>
        <v>1266</v>
      </c>
      <c r="U16" s="136">
        <f>SUM(U14,U13,U15,U9)</f>
        <v>1243</v>
      </c>
      <c r="V16" s="136">
        <f>SUM(V14,V13,V15,V9)</f>
        <v>1521</v>
      </c>
      <c r="W16" s="137">
        <f>SUM(W14,W13,W15,W9)</f>
        <v>1871</v>
      </c>
      <c r="X16" s="133">
        <f>SUM(T16:W16)</f>
        <v>5901</v>
      </c>
      <c r="Z16" s="138">
        <f>SUM(Z14,Z13,Z15,Z9)</f>
        <v>2221</v>
      </c>
      <c r="AA16" s="136">
        <f>SUM(AA14,AA13,AA15,AA9)</f>
        <v>2592</v>
      </c>
      <c r="AB16" s="136">
        <f>SUM(AB14,AB13,AB15,AB9)</f>
        <v>2970</v>
      </c>
      <c r="AC16" s="137">
        <f>SUM(AC14,AC13,AC15,AC9)</f>
        <v>3420</v>
      </c>
      <c r="AD16" s="133">
        <f>SUM(AD9,AD13,AD15)</f>
        <v>11203</v>
      </c>
      <c r="AF16" s="138">
        <f>SUM(AF14,AF13,AF15,AF9)</f>
        <v>3741</v>
      </c>
      <c r="AG16" s="136">
        <f>SUM(AG14,AG13,AG15,AG9)</f>
        <v>4192</v>
      </c>
      <c r="AH16" s="136">
        <f>SUM(AH14,AH13,AH15,AH9)</f>
        <v>4490</v>
      </c>
      <c r="AI16" s="137">
        <f>SUM(AI14,AI13,AI15,AI9)</f>
        <v>4940</v>
      </c>
      <c r="AJ16" s="133">
        <f>SUM(AJ9,AJ13,AJ15)</f>
        <v>17363</v>
      </c>
    </row>
    <row r="17" spans="1:36" ht="15" customHeight="1" x14ac:dyDescent="0.3">
      <c r="A17" s="144"/>
      <c r="B17" s="145"/>
      <c r="C17" s="145"/>
      <c r="D17" s="146"/>
      <c r="E17" s="146"/>
      <c r="F17" s="101"/>
      <c r="G17" s="142"/>
      <c r="H17" s="146"/>
      <c r="I17" s="146"/>
      <c r="J17" s="146"/>
      <c r="K17" s="146"/>
      <c r="L17" s="146"/>
      <c r="M17" s="142"/>
      <c r="N17" s="146"/>
      <c r="O17" s="146"/>
      <c r="P17" s="146"/>
      <c r="Q17" s="147"/>
      <c r="R17" s="147"/>
      <c r="T17" s="147"/>
      <c r="U17" s="147"/>
      <c r="V17" s="147"/>
      <c r="W17" s="147"/>
      <c r="X17" s="147"/>
      <c r="Z17" s="147"/>
      <c r="AA17" s="147"/>
      <c r="AB17" s="147"/>
      <c r="AC17" s="147"/>
      <c r="AD17" s="147"/>
      <c r="AF17" s="147"/>
      <c r="AG17" s="147"/>
      <c r="AH17" s="147"/>
      <c r="AI17" s="147"/>
      <c r="AJ17" s="147"/>
    </row>
    <row r="18" spans="1:36" ht="15" hidden="1" customHeight="1" x14ac:dyDescent="0.3">
      <c r="A18" s="144" t="s">
        <v>68</v>
      </c>
      <c r="B18" s="145"/>
      <c r="C18" s="145"/>
      <c r="D18" s="146">
        <f>SUM(D15/D16)</f>
        <v>1.0482180293501049E-2</v>
      </c>
      <c r="E18" s="146">
        <f>SUM(E15/E16)</f>
        <v>3.1185031185031187E-2</v>
      </c>
      <c r="F18" s="146">
        <f>SUM(F15/F16)</f>
        <v>2.0876826722338204E-2</v>
      </c>
      <c r="G18" s="142"/>
      <c r="H18" s="146">
        <f>SUM(H15/H16)</f>
        <v>8.2666666666666666E-2</v>
      </c>
      <c r="I18" s="146">
        <f>SUM(I15/I16)</f>
        <v>0.11585365853658537</v>
      </c>
      <c r="J18" s="146">
        <f>SUM(J15/J16)</f>
        <v>0.13202247191011235</v>
      </c>
      <c r="K18" s="146">
        <f>SUM(K15/K16)</f>
        <v>0.1053639846743295</v>
      </c>
      <c r="L18" s="146">
        <f>SUM(L15/L16)</f>
        <v>0.10815939278937381</v>
      </c>
      <c r="M18" s="142"/>
      <c r="N18" s="146">
        <f>SUM(N15/N16)</f>
        <v>0.123046875</v>
      </c>
      <c r="O18" s="146">
        <f>SUM(O15/O16)</f>
        <v>0.22340425531914893</v>
      </c>
      <c r="P18" s="146">
        <f>SUM(P15/P16)</f>
        <v>9.0269636576787812E-2</v>
      </c>
      <c r="Q18" s="147">
        <f>SUM(Q15/Q16)</f>
        <v>0.10928961748633879</v>
      </c>
      <c r="R18" s="147">
        <f>SUM(R15/R16)</f>
        <v>0.11826697892271663</v>
      </c>
      <c r="T18" s="147">
        <f>SUM(T15/T16)</f>
        <v>0.10268562401263823</v>
      </c>
      <c r="U18" s="147">
        <f>SUM(U15/U16)</f>
        <v>0.12872083668543846</v>
      </c>
      <c r="V18" s="147">
        <f>SUM(V15/V16)</f>
        <v>0.12491781722550953</v>
      </c>
      <c r="W18" s="147">
        <f>SUM(W15/W16)</f>
        <v>0.11758417958311064</v>
      </c>
      <c r="X18" s="147">
        <f>SUM(X15/X16)</f>
        <v>0.11862396204033215</v>
      </c>
      <c r="Z18" s="147">
        <f>SUM(Z15/Z16)</f>
        <v>0.11256190904997748</v>
      </c>
      <c r="AA18" s="147">
        <f>SUM(AA15/AA16)</f>
        <v>0.10802469135802469</v>
      </c>
      <c r="AB18" s="147">
        <f>SUM(AB15/AB16)</f>
        <v>0.1111111111111111</v>
      </c>
      <c r="AC18" s="147">
        <f>SUM(AC15/AC16)</f>
        <v>0.1111111111111111</v>
      </c>
      <c r="AD18" s="147">
        <f>SUM(AD15/AD16)</f>
        <v>0.11068463804338123</v>
      </c>
      <c r="AF18" s="147">
        <f>SUM(AF15/AF16)</f>
        <v>6.6827051590483827E-2</v>
      </c>
      <c r="AG18" s="147">
        <f>SUM(AG15/AG16)</f>
        <v>6.6793893129770993E-2</v>
      </c>
      <c r="AH18" s="147">
        <f>SUM(AH15/AH16)</f>
        <v>7.3496659242761692E-2</v>
      </c>
      <c r="AI18" s="147">
        <f>SUM(AI15/AI16)</f>
        <v>7.6923076923076927E-2</v>
      </c>
      <c r="AJ18" s="147">
        <f>SUM(AJ15/AJ16)</f>
        <v>7.1416229914185336E-2</v>
      </c>
    </row>
    <row r="19" spans="1:36" ht="15" hidden="1" customHeight="1" x14ac:dyDescent="0.3">
      <c r="A19" s="148"/>
      <c r="B19" s="149"/>
      <c r="C19" s="149"/>
      <c r="D19" s="149"/>
      <c r="E19" s="149"/>
      <c r="F19" s="149"/>
      <c r="G19" s="142"/>
      <c r="H19" s="149"/>
      <c r="I19" s="149"/>
      <c r="J19" s="149"/>
      <c r="K19" s="149"/>
      <c r="L19" s="149"/>
      <c r="M19" s="142"/>
      <c r="N19" s="149"/>
      <c r="O19" s="149"/>
      <c r="P19" s="149"/>
      <c r="Q19" s="150"/>
      <c r="R19" s="321"/>
      <c r="T19" s="150"/>
      <c r="U19" s="150"/>
      <c r="V19" s="150"/>
      <c r="W19" s="150"/>
      <c r="X19" s="150"/>
      <c r="Z19" s="150"/>
      <c r="AA19" s="150"/>
      <c r="AB19" s="150"/>
      <c r="AC19" s="150"/>
      <c r="AD19" s="150"/>
      <c r="AF19" s="150"/>
      <c r="AG19" s="150"/>
      <c r="AH19" s="150"/>
      <c r="AI19" s="150"/>
      <c r="AJ19" s="150"/>
    </row>
    <row r="20" spans="1:36" s="58" customFormat="1" ht="15" customHeight="1" thickBot="1" x14ac:dyDescent="0.35">
      <c r="A20" s="151" t="s">
        <v>69</v>
      </c>
      <c r="B20" s="152"/>
      <c r="C20" s="153"/>
      <c r="D20" s="153">
        <v>94</v>
      </c>
      <c r="E20" s="154">
        <v>69</v>
      </c>
      <c r="F20" s="155">
        <f>SUM(B20:E20)</f>
        <v>163</v>
      </c>
      <c r="G20" s="156"/>
      <c r="H20" s="157">
        <v>118</v>
      </c>
      <c r="I20" s="158">
        <v>152</v>
      </c>
      <c r="J20" s="158">
        <v>79</v>
      </c>
      <c r="K20" s="159">
        <v>40</v>
      </c>
      <c r="L20" s="155">
        <f>SUM(H20:K20)</f>
        <v>389</v>
      </c>
      <c r="M20" s="156"/>
      <c r="N20" s="152">
        <v>25</v>
      </c>
      <c r="O20" s="153">
        <v>42</v>
      </c>
      <c r="P20" s="153">
        <v>42</v>
      </c>
      <c r="Q20" s="161">
        <v>42</v>
      </c>
      <c r="R20" s="162">
        <f>SUM(N20:Q20)</f>
        <v>151</v>
      </c>
      <c r="T20" s="163">
        <f>SUM(T55*25)</f>
        <v>50</v>
      </c>
      <c r="U20" s="160">
        <f>SUM(U55*25)</f>
        <v>75</v>
      </c>
      <c r="V20" s="160">
        <f>SUM(V55*25)</f>
        <v>75</v>
      </c>
      <c r="W20" s="161">
        <f>SUM(W55*25)</f>
        <v>75</v>
      </c>
      <c r="X20" s="162">
        <f>SUM(T20:W20)</f>
        <v>275</v>
      </c>
      <c r="Z20" s="163">
        <f>SUM(Z55*25)</f>
        <v>100</v>
      </c>
      <c r="AA20" s="160">
        <f>SUM(AA55*25)</f>
        <v>100</v>
      </c>
      <c r="AB20" s="160">
        <f>SUM(AB55*25)</f>
        <v>100</v>
      </c>
      <c r="AC20" s="161">
        <f>SUM(AC55*25)</f>
        <v>100</v>
      </c>
      <c r="AD20" s="162">
        <f>SUM(Z20:AC20)</f>
        <v>400</v>
      </c>
      <c r="AF20" s="163">
        <f>SUM(AF55*25)</f>
        <v>125</v>
      </c>
      <c r="AG20" s="160">
        <f>SUM(AG55*25)</f>
        <v>125</v>
      </c>
      <c r="AH20" s="160">
        <f>SUM(AH55*25)</f>
        <v>150</v>
      </c>
      <c r="AI20" s="161">
        <f>SUM(AI55*25)</f>
        <v>150</v>
      </c>
      <c r="AJ20" s="162">
        <f>SUM(AF20:AI20)</f>
        <v>550</v>
      </c>
    </row>
    <row r="21" spans="1:36" ht="15" customHeight="1" thickTop="1" x14ac:dyDescent="0.3">
      <c r="A21" s="61" t="s">
        <v>117</v>
      </c>
      <c r="B21" s="164"/>
      <c r="C21" s="128"/>
      <c r="D21" s="128">
        <f>+D20</f>
        <v>94</v>
      </c>
      <c r="E21" s="165">
        <f>SUM(E20)</f>
        <v>69</v>
      </c>
      <c r="F21" s="165">
        <f>SUM(F20)</f>
        <v>163</v>
      </c>
      <c r="G21" s="166"/>
      <c r="H21" s="167">
        <f>SUM(H20)</f>
        <v>118</v>
      </c>
      <c r="I21" s="168">
        <f>SUM(I20)</f>
        <v>152</v>
      </c>
      <c r="J21" s="168">
        <f>SUM(J20)</f>
        <v>79</v>
      </c>
      <c r="K21" s="168">
        <f>SUM(K20)</f>
        <v>40</v>
      </c>
      <c r="L21" s="169">
        <f>SUM(L20)</f>
        <v>389</v>
      </c>
      <c r="M21" s="166"/>
      <c r="N21" s="170">
        <f>SUM(N20)</f>
        <v>25</v>
      </c>
      <c r="O21" s="128">
        <f>SUM(O20)</f>
        <v>42</v>
      </c>
      <c r="P21" s="128">
        <f>SUM(P20)</f>
        <v>42</v>
      </c>
      <c r="Q21" s="172">
        <f>SUM(Q20)</f>
        <v>42</v>
      </c>
      <c r="R21" s="172">
        <f>SUM(R20)</f>
        <v>151</v>
      </c>
      <c r="S21" s="53"/>
      <c r="T21" s="173">
        <f>SUM(T20)</f>
        <v>50</v>
      </c>
      <c r="U21" s="171">
        <f>SUM(U20)</f>
        <v>75</v>
      </c>
      <c r="V21" s="171">
        <f>SUM(V20)</f>
        <v>75</v>
      </c>
      <c r="W21" s="172">
        <f>SUM(W20)</f>
        <v>75</v>
      </c>
      <c r="X21" s="172">
        <f>SUM(X20)</f>
        <v>275</v>
      </c>
      <c r="Y21" s="53"/>
      <c r="Z21" s="173">
        <f>SUM(Z20)</f>
        <v>100</v>
      </c>
      <c r="AA21" s="171">
        <f>SUM(AA20)</f>
        <v>100</v>
      </c>
      <c r="AB21" s="171">
        <f>SUM(AB20)</f>
        <v>100</v>
      </c>
      <c r="AC21" s="172">
        <f>SUM(AC20)</f>
        <v>100</v>
      </c>
      <c r="AD21" s="172">
        <f>SUM(AD20)</f>
        <v>400</v>
      </c>
      <c r="AE21" s="53"/>
      <c r="AF21" s="173">
        <f>SUM(AF20)</f>
        <v>125</v>
      </c>
      <c r="AG21" s="171">
        <f>SUM(AG20)</f>
        <v>125</v>
      </c>
      <c r="AH21" s="171">
        <f>SUM(AH20)</f>
        <v>150</v>
      </c>
      <c r="AI21" s="172">
        <f>SUM(AI20)</f>
        <v>150</v>
      </c>
      <c r="AJ21" s="172">
        <f>SUM(AJ20)</f>
        <v>550</v>
      </c>
    </row>
    <row r="22" spans="1:36" ht="15" customHeight="1" x14ac:dyDescent="0.3">
      <c r="A22" s="174"/>
      <c r="B22" s="175"/>
      <c r="C22" s="175"/>
      <c r="D22" s="175"/>
      <c r="E22" s="175"/>
      <c r="F22" s="139"/>
      <c r="G22" s="142"/>
      <c r="H22" s="145"/>
      <c r="I22" s="145"/>
      <c r="J22" s="145"/>
      <c r="K22" s="145"/>
      <c r="L22" s="175"/>
      <c r="M22" s="142"/>
      <c r="N22" s="139"/>
      <c r="O22" s="139"/>
      <c r="P22" s="139"/>
      <c r="Q22" s="176"/>
      <c r="R22" s="177"/>
      <c r="T22" s="176"/>
      <c r="U22" s="176"/>
      <c r="V22" s="176"/>
      <c r="W22" s="176"/>
      <c r="X22" s="177"/>
      <c r="Z22" s="176"/>
      <c r="AA22" s="176"/>
      <c r="AB22" s="176"/>
      <c r="AC22" s="176"/>
      <c r="AD22" s="177"/>
      <c r="AF22" s="176"/>
      <c r="AG22" s="176"/>
      <c r="AH22" s="176"/>
      <c r="AI22" s="176"/>
      <c r="AJ22" s="177"/>
    </row>
    <row r="23" spans="1:36" ht="15" customHeight="1" x14ac:dyDescent="0.3">
      <c r="A23" s="178" t="s">
        <v>60</v>
      </c>
      <c r="B23" s="179"/>
      <c r="C23" s="141"/>
      <c r="D23" s="141">
        <f>+D16-D21</f>
        <v>383</v>
      </c>
      <c r="E23" s="180">
        <f>+E16-E21</f>
        <v>412</v>
      </c>
      <c r="F23" s="181">
        <f>SUM(B23:E23)</f>
        <v>795</v>
      </c>
      <c r="G23" s="182"/>
      <c r="H23" s="183">
        <f>+H16-H21</f>
        <v>257</v>
      </c>
      <c r="I23" s="184">
        <f>+I16-I21</f>
        <v>176</v>
      </c>
      <c r="J23" s="184">
        <f>+J16-J21</f>
        <v>277</v>
      </c>
      <c r="K23" s="185">
        <f>+K16-K21</f>
        <v>482</v>
      </c>
      <c r="L23" s="186">
        <f>SUM(H23:K23)</f>
        <v>1192</v>
      </c>
      <c r="M23" s="187"/>
      <c r="N23" s="188">
        <f>+N16-N21</f>
        <v>487</v>
      </c>
      <c r="O23" s="189">
        <f>+O16-O21</f>
        <v>240</v>
      </c>
      <c r="P23" s="189">
        <f>+P16-P21</f>
        <v>811</v>
      </c>
      <c r="Q23" s="191">
        <f>+Q16-Q21</f>
        <v>873</v>
      </c>
      <c r="R23" s="192">
        <f>SUM(N23:Q23)</f>
        <v>2411</v>
      </c>
      <c r="T23" s="193">
        <f>+T16-T21</f>
        <v>1216</v>
      </c>
      <c r="U23" s="190">
        <f>+U16-U21</f>
        <v>1168</v>
      </c>
      <c r="V23" s="190">
        <f>+V16-V21</f>
        <v>1446</v>
      </c>
      <c r="W23" s="191">
        <f>+W16-W21</f>
        <v>1796</v>
      </c>
      <c r="X23" s="192">
        <f>SUM(T23:W23)</f>
        <v>5626</v>
      </c>
      <c r="Z23" s="193">
        <f>+Z16-Z21</f>
        <v>2121</v>
      </c>
      <c r="AA23" s="190">
        <f>+AA16-AA21</f>
        <v>2492</v>
      </c>
      <c r="AB23" s="190">
        <f>+AB16-AB21</f>
        <v>2870</v>
      </c>
      <c r="AC23" s="191">
        <f>+AC16-AC21</f>
        <v>3320</v>
      </c>
      <c r="AD23" s="192">
        <f>SUM(Z23:AC23)</f>
        <v>10803</v>
      </c>
      <c r="AF23" s="193">
        <f>+AF16-AF21</f>
        <v>3616</v>
      </c>
      <c r="AG23" s="190">
        <f>+AG16-AG21</f>
        <v>4067</v>
      </c>
      <c r="AH23" s="190">
        <f>+AH16-AH21</f>
        <v>4340</v>
      </c>
      <c r="AI23" s="191">
        <f>+AI16-AI21</f>
        <v>4790</v>
      </c>
      <c r="AJ23" s="192">
        <f>SUM(AF23:AI23)</f>
        <v>16813</v>
      </c>
    </row>
    <row r="24" spans="1:36" ht="15" customHeight="1" x14ac:dyDescent="0.3">
      <c r="A24" s="61" t="s">
        <v>64</v>
      </c>
      <c r="B24" s="194"/>
      <c r="C24" s="195"/>
      <c r="D24" s="195">
        <f>+D23/D16</f>
        <v>0.8029350104821803</v>
      </c>
      <c r="E24" s="195">
        <f>+E23/E16</f>
        <v>0.8565488565488566</v>
      </c>
      <c r="F24" s="196">
        <f>+F23/F16</f>
        <v>0.82985386221294366</v>
      </c>
      <c r="G24" s="197"/>
      <c r="H24" s="198">
        <f>+H23/H16</f>
        <v>0.68533333333333335</v>
      </c>
      <c r="I24" s="199">
        <f>+I23/I16</f>
        <v>0.53658536585365857</v>
      </c>
      <c r="J24" s="199">
        <f>+J23/J16</f>
        <v>0.7780898876404494</v>
      </c>
      <c r="K24" s="200">
        <f>+K23/K16</f>
        <v>0.92337164750957856</v>
      </c>
      <c r="L24" s="201">
        <f>+L23/L16</f>
        <v>0.75395319418089812</v>
      </c>
      <c r="M24" s="166"/>
      <c r="N24" s="198">
        <f>+N23/N16</f>
        <v>0.951171875</v>
      </c>
      <c r="O24" s="199">
        <f>+O23/O16</f>
        <v>0.85106382978723405</v>
      </c>
      <c r="P24" s="199">
        <f>+P23/P16</f>
        <v>0.95076201641266123</v>
      </c>
      <c r="Q24" s="203">
        <f>+Q23/Q16</f>
        <v>0.95409836065573772</v>
      </c>
      <c r="R24" s="204">
        <f>+R23/R16</f>
        <v>0.94106167056986734</v>
      </c>
      <c r="T24" s="205">
        <f>+T23/T16</f>
        <v>0.96050552922590837</v>
      </c>
      <c r="U24" s="202">
        <f>+U23/U16</f>
        <v>0.93966210780370074</v>
      </c>
      <c r="V24" s="202">
        <f>+V23/V16</f>
        <v>0.95069033530571989</v>
      </c>
      <c r="W24" s="203">
        <f>+W23/W16</f>
        <v>0.9599144842330305</v>
      </c>
      <c r="X24" s="204">
        <f>+X23/X16</f>
        <v>0.9533977291984409</v>
      </c>
      <c r="Z24" s="205">
        <f>+Z23/Z16</f>
        <v>0.95497523638000903</v>
      </c>
      <c r="AA24" s="202">
        <f>+AA23/AA16</f>
        <v>0.9614197530864198</v>
      </c>
      <c r="AB24" s="202">
        <f>+AB23/AB16</f>
        <v>0.96632996632996637</v>
      </c>
      <c r="AC24" s="203">
        <f>+AC23/AC16</f>
        <v>0.9707602339181286</v>
      </c>
      <c r="AD24" s="204">
        <f>+AD23/AD16</f>
        <v>0.96429527805052218</v>
      </c>
      <c r="AF24" s="205">
        <f>+AF23/AF16</f>
        <v>0.96658647420475807</v>
      </c>
      <c r="AG24" s="202">
        <f>+AG23/AG16</f>
        <v>0.97018129770992367</v>
      </c>
      <c r="AH24" s="202">
        <f>+AH23/AH16</f>
        <v>0.96659242761692654</v>
      </c>
      <c r="AI24" s="203">
        <f>+AI23/AI16</f>
        <v>0.96963562753036436</v>
      </c>
      <c r="AJ24" s="204">
        <f>+AJ23/AJ16</f>
        <v>0.96832344640903067</v>
      </c>
    </row>
    <row r="25" spans="1:36" ht="15" customHeight="1" x14ac:dyDescent="0.3">
      <c r="A25" s="174"/>
      <c r="B25" s="175"/>
      <c r="C25" s="175"/>
      <c r="D25" s="175"/>
      <c r="E25" s="175"/>
      <c r="F25" s="145"/>
      <c r="G25" s="142"/>
      <c r="H25" s="149"/>
      <c r="I25" s="149"/>
      <c r="J25" s="149"/>
      <c r="K25" s="149"/>
      <c r="L25" s="175"/>
      <c r="M25" s="142"/>
      <c r="N25" s="149"/>
      <c r="O25" s="149"/>
      <c r="P25" s="149"/>
      <c r="Q25" s="150"/>
      <c r="R25" s="177"/>
      <c r="T25" s="150"/>
      <c r="U25" s="150"/>
      <c r="V25" s="150"/>
      <c r="W25" s="150"/>
      <c r="X25" s="177"/>
      <c r="Z25" s="150"/>
      <c r="AA25" s="150"/>
      <c r="AB25" s="150"/>
      <c r="AC25" s="150"/>
      <c r="AD25" s="177"/>
      <c r="AF25" s="150"/>
      <c r="AG25" s="150"/>
      <c r="AH25" s="150"/>
      <c r="AI25" s="150"/>
      <c r="AJ25" s="177"/>
    </row>
    <row r="26" spans="1:36" ht="15" customHeight="1" x14ac:dyDescent="0.3">
      <c r="A26" s="178" t="s">
        <v>1</v>
      </c>
      <c r="B26" s="179"/>
      <c r="C26" s="141"/>
      <c r="D26" s="141">
        <v>373</v>
      </c>
      <c r="E26" s="141">
        <v>361</v>
      </c>
      <c r="F26" s="206">
        <f>SUM(B26:E26)</f>
        <v>734</v>
      </c>
      <c r="G26" s="59"/>
      <c r="H26" s="179">
        <v>371</v>
      </c>
      <c r="I26" s="141">
        <v>432</v>
      </c>
      <c r="J26" s="141">
        <v>410</v>
      </c>
      <c r="K26" s="207">
        <v>420</v>
      </c>
      <c r="L26" s="208">
        <f t="shared" ref="L26:L44" si="4">SUM(H26:K26)</f>
        <v>1633</v>
      </c>
      <c r="M26" s="60"/>
      <c r="N26" s="179">
        <v>503</v>
      </c>
      <c r="O26" s="141">
        <v>428</v>
      </c>
      <c r="P26" s="141">
        <f>453-20</f>
        <v>433</v>
      </c>
      <c r="Q26" s="210">
        <v>435</v>
      </c>
      <c r="R26" s="211">
        <f t="shared" ref="R26:R32" si="5">SUM(N26:Q26)</f>
        <v>1799</v>
      </c>
      <c r="T26" s="212">
        <v>450</v>
      </c>
      <c r="U26" s="209">
        <v>450</v>
      </c>
      <c r="V26" s="209">
        <f>SUM(V56*37)</f>
        <v>481</v>
      </c>
      <c r="W26" s="210">
        <f>SUM(W56*37)</f>
        <v>481</v>
      </c>
      <c r="X26" s="211">
        <f t="shared" ref="X26:X32" si="6">SUM(T26:W26)</f>
        <v>1862</v>
      </c>
      <c r="Z26" s="212">
        <f>SUM(Z56*38)</f>
        <v>532</v>
      </c>
      <c r="AA26" s="209">
        <f>SUM(AA56*38)</f>
        <v>532</v>
      </c>
      <c r="AB26" s="209">
        <f>SUM(AB56*38)</f>
        <v>532</v>
      </c>
      <c r="AC26" s="210">
        <f>SUM(AC56*38)</f>
        <v>532</v>
      </c>
      <c r="AD26" s="211">
        <f t="shared" ref="AD26:AD32" si="7">SUM(Z26:AC26)</f>
        <v>2128</v>
      </c>
      <c r="AF26" s="212">
        <f>SUM(AF56*38)</f>
        <v>608</v>
      </c>
      <c r="AG26" s="209">
        <f>SUM(AG56*38)</f>
        <v>608</v>
      </c>
      <c r="AH26" s="209">
        <f>SUM(AH56*38)</f>
        <v>608</v>
      </c>
      <c r="AI26" s="210">
        <f>SUM(AI56*38)</f>
        <v>684</v>
      </c>
      <c r="AJ26" s="211">
        <f t="shared" ref="AJ26:AJ32" si="8">SUM(AF26:AI26)</f>
        <v>2508</v>
      </c>
    </row>
    <row r="27" spans="1:36" ht="15" customHeight="1" x14ac:dyDescent="0.3">
      <c r="A27" s="85" t="s">
        <v>87</v>
      </c>
      <c r="B27" s="213"/>
      <c r="C27" s="214"/>
      <c r="D27" s="214">
        <v>113</v>
      </c>
      <c r="E27" s="214">
        <v>133</v>
      </c>
      <c r="F27" s="215">
        <f>SUM(B27:E27)</f>
        <v>246</v>
      </c>
      <c r="G27" s="59"/>
      <c r="H27" s="213">
        <v>153</v>
      </c>
      <c r="I27" s="214">
        <v>248</v>
      </c>
      <c r="J27" s="214">
        <v>248</v>
      </c>
      <c r="K27" s="214">
        <v>276</v>
      </c>
      <c r="L27" s="216">
        <f t="shared" si="4"/>
        <v>925</v>
      </c>
      <c r="M27" s="60"/>
      <c r="N27" s="217">
        <v>376</v>
      </c>
      <c r="O27" s="218">
        <f>SUM(O28:O31)</f>
        <v>360</v>
      </c>
      <c r="P27" s="218">
        <f>SUM(P28:P31)</f>
        <v>481</v>
      </c>
      <c r="Q27" s="220">
        <f>SUM(Q28:Q31)</f>
        <v>480</v>
      </c>
      <c r="R27" s="221">
        <f t="shared" si="5"/>
        <v>1697</v>
      </c>
      <c r="T27" s="222">
        <f>SUM(T28:T31)</f>
        <v>628</v>
      </c>
      <c r="U27" s="219">
        <f>SUM(U28:U31)</f>
        <v>722</v>
      </c>
      <c r="V27" s="219">
        <f>SUM(V28:V31)</f>
        <v>851</v>
      </c>
      <c r="W27" s="220">
        <f>SUM(W28:W31)</f>
        <v>1012</v>
      </c>
      <c r="X27" s="221">
        <f t="shared" si="6"/>
        <v>3213</v>
      </c>
      <c r="Z27" s="222">
        <f>SUM(Z28:Z31)</f>
        <v>1287</v>
      </c>
      <c r="AA27" s="219">
        <f>SUM(AA28:AA31)</f>
        <v>1468</v>
      </c>
      <c r="AB27" s="219">
        <f>SUM(AB28:AB31)</f>
        <v>1639</v>
      </c>
      <c r="AC27" s="220">
        <f>SUM(AC28:AC31)</f>
        <v>1850</v>
      </c>
      <c r="AD27" s="221">
        <f t="shared" si="7"/>
        <v>6244</v>
      </c>
      <c r="AF27" s="222">
        <f>SUM(AF28:AF31)</f>
        <v>2088</v>
      </c>
      <c r="AG27" s="219">
        <f>SUM(AG28:AG31)</f>
        <v>2232</v>
      </c>
      <c r="AH27" s="219">
        <f>SUM(AH28:AH31)</f>
        <v>2440</v>
      </c>
      <c r="AI27" s="220">
        <f>SUM(AI28:AI31)</f>
        <v>2651</v>
      </c>
      <c r="AJ27" s="221">
        <f t="shared" si="8"/>
        <v>9411</v>
      </c>
    </row>
    <row r="28" spans="1:36" ht="15" customHeight="1" x14ac:dyDescent="0.3">
      <c r="A28" s="85" t="s">
        <v>97</v>
      </c>
      <c r="B28" s="223"/>
      <c r="C28" s="224"/>
      <c r="D28" s="224"/>
      <c r="E28" s="224"/>
      <c r="F28" s="206"/>
      <c r="G28" s="59"/>
      <c r="H28" s="223">
        <v>96</v>
      </c>
      <c r="I28" s="224">
        <v>173</v>
      </c>
      <c r="J28" s="224">
        <v>199</v>
      </c>
      <c r="K28" s="224">
        <v>165</v>
      </c>
      <c r="L28" s="225">
        <f t="shared" si="4"/>
        <v>633</v>
      </c>
      <c r="M28" s="60"/>
      <c r="N28" s="223">
        <v>250</v>
      </c>
      <c r="O28" s="224">
        <v>256</v>
      </c>
      <c r="P28" s="224">
        <v>280</v>
      </c>
      <c r="Q28" s="227">
        <v>280</v>
      </c>
      <c r="R28" s="111">
        <f t="shared" si="5"/>
        <v>1066</v>
      </c>
      <c r="T28" s="228">
        <f>SUM(T59*42)</f>
        <v>378</v>
      </c>
      <c r="U28" s="226">
        <f>SUM(U59*42)</f>
        <v>462</v>
      </c>
      <c r="V28" s="226">
        <f>SUM(V59*42)</f>
        <v>546</v>
      </c>
      <c r="W28" s="227">
        <f>SUM(W59*42)</f>
        <v>672</v>
      </c>
      <c r="X28" s="111">
        <f t="shared" si="6"/>
        <v>2058</v>
      </c>
      <c r="Z28" s="228">
        <f>SUM(Z59*42)</f>
        <v>882</v>
      </c>
      <c r="AA28" s="226">
        <f>SUM(AA59*42)</f>
        <v>1008</v>
      </c>
      <c r="AB28" s="226">
        <f>SUM(AB59*42)</f>
        <v>1134</v>
      </c>
      <c r="AC28" s="227">
        <f>SUM(AC59*42)</f>
        <v>1260</v>
      </c>
      <c r="AD28" s="111">
        <f t="shared" si="7"/>
        <v>4284</v>
      </c>
      <c r="AF28" s="228">
        <f>SUM(AF59*42)</f>
        <v>1428</v>
      </c>
      <c r="AG28" s="226">
        <f>SUM(AG59*42)</f>
        <v>1512</v>
      </c>
      <c r="AH28" s="226">
        <f>SUM(AH59*42)</f>
        <v>1680</v>
      </c>
      <c r="AI28" s="227">
        <f>SUM(AI59*42)</f>
        <v>1806</v>
      </c>
      <c r="AJ28" s="111">
        <f t="shared" si="8"/>
        <v>6426</v>
      </c>
    </row>
    <row r="29" spans="1:36" ht="15" customHeight="1" x14ac:dyDescent="0.3">
      <c r="A29" s="85" t="s">
        <v>89</v>
      </c>
      <c r="B29" s="229"/>
      <c r="C29" s="101"/>
      <c r="D29" s="101"/>
      <c r="E29" s="101"/>
      <c r="F29" s="230"/>
      <c r="G29" s="59"/>
      <c r="H29" s="229">
        <v>0</v>
      </c>
      <c r="I29" s="101">
        <v>6</v>
      </c>
      <c r="J29" s="101">
        <v>6</v>
      </c>
      <c r="K29" s="101">
        <v>10</v>
      </c>
      <c r="L29" s="107">
        <f t="shared" si="4"/>
        <v>22</v>
      </c>
      <c r="M29" s="60"/>
      <c r="N29" s="229">
        <v>45</v>
      </c>
      <c r="O29" s="101">
        <v>0</v>
      </c>
      <c r="P29" s="101">
        <v>0</v>
      </c>
      <c r="Q29" s="231">
        <v>0</v>
      </c>
      <c r="R29" s="111">
        <f t="shared" si="5"/>
        <v>45</v>
      </c>
      <c r="T29" s="232">
        <v>40</v>
      </c>
      <c r="U29" s="144">
        <v>40</v>
      </c>
      <c r="V29" s="144">
        <v>60</v>
      </c>
      <c r="W29" s="231">
        <v>60</v>
      </c>
      <c r="X29" s="111">
        <f t="shared" si="6"/>
        <v>200</v>
      </c>
      <c r="Z29" s="232">
        <v>60</v>
      </c>
      <c r="AA29" s="144">
        <v>60</v>
      </c>
      <c r="AB29" s="144">
        <v>40</v>
      </c>
      <c r="AC29" s="231">
        <v>60</v>
      </c>
      <c r="AD29" s="111">
        <f t="shared" si="7"/>
        <v>220</v>
      </c>
      <c r="AF29" s="232">
        <v>60</v>
      </c>
      <c r="AG29" s="144">
        <v>60</v>
      </c>
      <c r="AH29" s="144">
        <v>40</v>
      </c>
      <c r="AI29" s="231">
        <v>60</v>
      </c>
      <c r="AJ29" s="111">
        <f t="shared" si="8"/>
        <v>220</v>
      </c>
    </row>
    <row r="30" spans="1:36" ht="15" customHeight="1" x14ac:dyDescent="0.3">
      <c r="A30" s="85" t="s">
        <v>88</v>
      </c>
      <c r="B30" s="229"/>
      <c r="C30" s="233"/>
      <c r="D30" s="233"/>
      <c r="E30" s="101"/>
      <c r="F30" s="230"/>
      <c r="G30" s="59"/>
      <c r="H30" s="229">
        <v>14</v>
      </c>
      <c r="I30" s="233">
        <v>34</v>
      </c>
      <c r="J30" s="233">
        <v>27</v>
      </c>
      <c r="K30" s="233">
        <v>44</v>
      </c>
      <c r="L30" s="107">
        <f t="shared" si="4"/>
        <v>119</v>
      </c>
      <c r="M30" s="60"/>
      <c r="N30" s="229">
        <v>33</v>
      </c>
      <c r="O30" s="101">
        <f>48+9</f>
        <v>57</v>
      </c>
      <c r="P30" s="101">
        <v>46</v>
      </c>
      <c r="Q30" s="231">
        <v>50</v>
      </c>
      <c r="R30" s="111">
        <f t="shared" si="5"/>
        <v>186</v>
      </c>
      <c r="T30" s="232">
        <v>60</v>
      </c>
      <c r="U30" s="144">
        <v>70</v>
      </c>
      <c r="V30" s="144">
        <v>85</v>
      </c>
      <c r="W30" s="231">
        <f>SUM(W59*5)</f>
        <v>80</v>
      </c>
      <c r="X30" s="111">
        <f t="shared" si="6"/>
        <v>295</v>
      </c>
      <c r="Z30" s="232">
        <f>SUM(Z59*5)</f>
        <v>105</v>
      </c>
      <c r="AA30" s="144">
        <f>SUM(AA59*5)</f>
        <v>120</v>
      </c>
      <c r="AB30" s="144">
        <f>SUM(AB59*5)</f>
        <v>135</v>
      </c>
      <c r="AC30" s="231">
        <f>SUM(AC59*5)</f>
        <v>150</v>
      </c>
      <c r="AD30" s="111">
        <f t="shared" si="7"/>
        <v>510</v>
      </c>
      <c r="AF30" s="232">
        <f>SUM(AF59*5)</f>
        <v>170</v>
      </c>
      <c r="AG30" s="144">
        <f>SUM(AG59*5)</f>
        <v>180</v>
      </c>
      <c r="AH30" s="144">
        <f>SUM(AH59*5)</f>
        <v>200</v>
      </c>
      <c r="AI30" s="231">
        <f>SUM(AI59*5)</f>
        <v>215</v>
      </c>
      <c r="AJ30" s="111">
        <f t="shared" si="8"/>
        <v>765</v>
      </c>
    </row>
    <row r="31" spans="1:36" ht="15" customHeight="1" x14ac:dyDescent="0.3">
      <c r="A31" s="85" t="s">
        <v>93</v>
      </c>
      <c r="B31" s="234"/>
      <c r="C31" s="87"/>
      <c r="D31" s="87"/>
      <c r="E31" s="87"/>
      <c r="F31" s="235"/>
      <c r="G31" s="59"/>
      <c r="H31" s="234">
        <v>53</v>
      </c>
      <c r="I31" s="87">
        <v>44</v>
      </c>
      <c r="J31" s="87">
        <v>26</v>
      </c>
      <c r="K31" s="87">
        <v>63</v>
      </c>
      <c r="L31" s="93">
        <f t="shared" si="4"/>
        <v>186</v>
      </c>
      <c r="M31" s="60"/>
      <c r="N31" s="236">
        <v>48</v>
      </c>
      <c r="O31" s="237">
        <v>47</v>
      </c>
      <c r="P31" s="237">
        <v>155</v>
      </c>
      <c r="Q31" s="239">
        <v>150</v>
      </c>
      <c r="R31" s="98">
        <f t="shared" si="5"/>
        <v>400</v>
      </c>
      <c r="T31" s="240">
        <v>150</v>
      </c>
      <c r="U31" s="238">
        <v>150</v>
      </c>
      <c r="V31" s="238">
        <f>SUM(V8*0.1)</f>
        <v>160</v>
      </c>
      <c r="W31" s="239">
        <f>SUM(W8*0.1)</f>
        <v>200</v>
      </c>
      <c r="X31" s="98">
        <f t="shared" si="6"/>
        <v>660</v>
      </c>
      <c r="Z31" s="240">
        <f>SUM(Z8*0.1)</f>
        <v>240</v>
      </c>
      <c r="AA31" s="238">
        <f>SUM(AA8*0.1)</f>
        <v>280</v>
      </c>
      <c r="AB31" s="238">
        <f>SUM(AB8*0.1)</f>
        <v>330</v>
      </c>
      <c r="AC31" s="239">
        <f>SUM(AC8*0.1)</f>
        <v>380</v>
      </c>
      <c r="AD31" s="98">
        <f t="shared" si="7"/>
        <v>1230</v>
      </c>
      <c r="AF31" s="240">
        <f>SUM(AF8*0.1)</f>
        <v>430</v>
      </c>
      <c r="AG31" s="238">
        <f>SUM(AG8*0.1)</f>
        <v>480</v>
      </c>
      <c r="AH31" s="238">
        <f>SUM(AH8*0.1)</f>
        <v>520</v>
      </c>
      <c r="AI31" s="239">
        <f>SUM(AI8*0.1)</f>
        <v>570</v>
      </c>
      <c r="AJ31" s="98">
        <f t="shared" si="8"/>
        <v>2000</v>
      </c>
    </row>
    <row r="32" spans="1:36" ht="15" customHeight="1" x14ac:dyDescent="0.3">
      <c r="A32" s="85" t="s">
        <v>90</v>
      </c>
      <c r="B32" s="229"/>
      <c r="C32" s="233"/>
      <c r="D32" s="233">
        <v>99</v>
      </c>
      <c r="E32" s="101">
        <v>60</v>
      </c>
      <c r="F32" s="230">
        <f>SUM(B32:E32)</f>
        <v>159</v>
      </c>
      <c r="G32" s="59"/>
      <c r="H32" s="229">
        <f>SUM(H33:H34)</f>
        <v>96</v>
      </c>
      <c r="I32" s="233">
        <f>SUM(I33:I34)</f>
        <v>107</v>
      </c>
      <c r="J32" s="233">
        <v>125</v>
      </c>
      <c r="K32" s="102">
        <f>SUM(K33:K34)</f>
        <v>103</v>
      </c>
      <c r="L32" s="107">
        <f t="shared" si="4"/>
        <v>431</v>
      </c>
      <c r="M32" s="60"/>
      <c r="N32" s="229">
        <v>98</v>
      </c>
      <c r="O32" s="233">
        <f>SUM(O33:O34)</f>
        <v>133</v>
      </c>
      <c r="P32" s="233">
        <f>SUM(P33:P34)</f>
        <v>124</v>
      </c>
      <c r="Q32" s="231">
        <f>SUM(Q33:Q34)</f>
        <v>124</v>
      </c>
      <c r="R32" s="111">
        <f t="shared" si="5"/>
        <v>479</v>
      </c>
      <c r="T32" s="232">
        <f>SUM(T33:T34)</f>
        <v>146</v>
      </c>
      <c r="U32" s="241">
        <f>SUM(U33:U34)</f>
        <v>156</v>
      </c>
      <c r="V32" s="241">
        <f>SUM(V33:V34)</f>
        <v>166</v>
      </c>
      <c r="W32" s="231">
        <f>SUM(W33:W34)</f>
        <v>156</v>
      </c>
      <c r="X32" s="111">
        <f t="shared" si="6"/>
        <v>624</v>
      </c>
      <c r="Z32" s="232">
        <f>SUM(Z33:Z34)</f>
        <v>188</v>
      </c>
      <c r="AA32" s="241">
        <f>SUM(AA33:AA34)</f>
        <v>188</v>
      </c>
      <c r="AB32" s="241">
        <f>SUM(AB33:AB34)</f>
        <v>198</v>
      </c>
      <c r="AC32" s="231">
        <f>SUM(AC33:AC34)</f>
        <v>208</v>
      </c>
      <c r="AD32" s="111">
        <f t="shared" si="7"/>
        <v>782</v>
      </c>
      <c r="AF32" s="232">
        <f>SUM(AF33:AF34)</f>
        <v>230</v>
      </c>
      <c r="AG32" s="241">
        <f>SUM(AG33:AG34)</f>
        <v>230</v>
      </c>
      <c r="AH32" s="241">
        <f>SUM(AH33:AH34)</f>
        <v>230</v>
      </c>
      <c r="AI32" s="231">
        <f>SUM(AI33:AI34)</f>
        <v>230</v>
      </c>
      <c r="AJ32" s="111">
        <f t="shared" si="8"/>
        <v>920</v>
      </c>
    </row>
    <row r="33" spans="1:36" ht="15" customHeight="1" x14ac:dyDescent="0.3">
      <c r="A33" s="85" t="s">
        <v>92</v>
      </c>
      <c r="B33" s="223"/>
      <c r="C33" s="224"/>
      <c r="D33" s="224"/>
      <c r="E33" s="224"/>
      <c r="F33" s="206"/>
      <c r="G33" s="59"/>
      <c r="H33" s="223">
        <v>43</v>
      </c>
      <c r="I33" s="224">
        <v>43</v>
      </c>
      <c r="J33" s="224">
        <v>40</v>
      </c>
      <c r="K33" s="242">
        <v>32</v>
      </c>
      <c r="L33" s="225">
        <f t="shared" si="4"/>
        <v>158</v>
      </c>
      <c r="M33" s="60"/>
      <c r="N33" s="223">
        <v>53</v>
      </c>
      <c r="O33" s="224">
        <v>40</v>
      </c>
      <c r="P33" s="224">
        <v>44</v>
      </c>
      <c r="Q33" s="227">
        <v>44</v>
      </c>
      <c r="R33" s="243">
        <f>SUM(N33:Q33)</f>
        <v>181</v>
      </c>
      <c r="T33" s="228">
        <f>SUM(T60*22)</f>
        <v>66</v>
      </c>
      <c r="U33" s="226">
        <f>SUM(U60*22)</f>
        <v>66</v>
      </c>
      <c r="V33" s="226">
        <f>SUM(V60*22)</f>
        <v>66</v>
      </c>
      <c r="W33" s="227">
        <f>SUM(W60*22)</f>
        <v>66</v>
      </c>
      <c r="X33" s="243">
        <f t="shared" ref="X33:X44" si="9">SUM(T33:W33)</f>
        <v>264</v>
      </c>
      <c r="Z33" s="228">
        <f>SUM(Z60*22)</f>
        <v>88</v>
      </c>
      <c r="AA33" s="226">
        <f>SUM(AA60*22)</f>
        <v>88</v>
      </c>
      <c r="AB33" s="226">
        <f>SUM(AB60*22)</f>
        <v>88</v>
      </c>
      <c r="AC33" s="227">
        <f>SUM(AC60*22)</f>
        <v>88</v>
      </c>
      <c r="AD33" s="243">
        <f t="shared" ref="AD33:AD44" si="10">SUM(Z33:AC33)</f>
        <v>352</v>
      </c>
      <c r="AF33" s="228">
        <f>SUM(AF60*22)</f>
        <v>110</v>
      </c>
      <c r="AG33" s="226">
        <f>SUM(AG60*22)</f>
        <v>110</v>
      </c>
      <c r="AH33" s="226">
        <f>SUM(AH60*22)</f>
        <v>110</v>
      </c>
      <c r="AI33" s="227">
        <f>SUM(AI60*22)</f>
        <v>110</v>
      </c>
      <c r="AJ33" s="243">
        <f t="shared" ref="AJ33:AJ44" si="11">SUM(AF33:AI33)</f>
        <v>440</v>
      </c>
    </row>
    <row r="34" spans="1:36" ht="15" customHeight="1" x14ac:dyDescent="0.3">
      <c r="A34" s="85" t="s">
        <v>91</v>
      </c>
      <c r="B34" s="234"/>
      <c r="C34" s="87"/>
      <c r="D34" s="87"/>
      <c r="E34" s="87"/>
      <c r="F34" s="235"/>
      <c r="G34" s="59"/>
      <c r="H34" s="234">
        <v>53</v>
      </c>
      <c r="I34" s="87">
        <v>64</v>
      </c>
      <c r="J34" s="87">
        <v>87</v>
      </c>
      <c r="K34" s="88">
        <v>71</v>
      </c>
      <c r="L34" s="93">
        <f t="shared" si="4"/>
        <v>275</v>
      </c>
      <c r="M34" s="60"/>
      <c r="N34" s="234">
        <v>45</v>
      </c>
      <c r="O34" s="87">
        <v>93</v>
      </c>
      <c r="P34" s="87">
        <f>73+7</f>
        <v>80</v>
      </c>
      <c r="Q34" s="245">
        <v>80</v>
      </c>
      <c r="R34" s="98">
        <f>SUM(N34:Q34)</f>
        <v>298</v>
      </c>
      <c r="T34" s="246">
        <v>80</v>
      </c>
      <c r="U34" s="244">
        <v>90</v>
      </c>
      <c r="V34" s="244">
        <v>100</v>
      </c>
      <c r="W34" s="245">
        <v>90</v>
      </c>
      <c r="X34" s="98">
        <f t="shared" si="9"/>
        <v>360</v>
      </c>
      <c r="Z34" s="246">
        <v>100</v>
      </c>
      <c r="AA34" s="244">
        <v>100</v>
      </c>
      <c r="AB34" s="244">
        <v>110</v>
      </c>
      <c r="AC34" s="245">
        <v>120</v>
      </c>
      <c r="AD34" s="98">
        <f t="shared" si="10"/>
        <v>430</v>
      </c>
      <c r="AF34" s="246">
        <v>120</v>
      </c>
      <c r="AG34" s="244">
        <v>120</v>
      </c>
      <c r="AH34" s="244">
        <v>120</v>
      </c>
      <c r="AI34" s="245">
        <v>120</v>
      </c>
      <c r="AJ34" s="98">
        <f t="shared" si="11"/>
        <v>480</v>
      </c>
    </row>
    <row r="35" spans="1:36" ht="15" customHeight="1" x14ac:dyDescent="0.3">
      <c r="A35" s="85" t="s">
        <v>94</v>
      </c>
      <c r="B35" s="213"/>
      <c r="C35" s="214"/>
      <c r="D35" s="214">
        <v>358</v>
      </c>
      <c r="E35" s="214">
        <v>325</v>
      </c>
      <c r="F35" s="215">
        <f>SUM(B35:E35)</f>
        <v>683</v>
      </c>
      <c r="G35" s="59"/>
      <c r="H35" s="213">
        <f>SUM(H36:H44)</f>
        <v>205</v>
      </c>
      <c r="I35" s="214">
        <f>SUM(I36:I44)</f>
        <v>199</v>
      </c>
      <c r="J35" s="214">
        <f>SUM(J36:J44)</f>
        <v>199</v>
      </c>
      <c r="K35" s="247">
        <f>SUM(K36:K44)</f>
        <v>194</v>
      </c>
      <c r="L35" s="216">
        <f t="shared" si="4"/>
        <v>797</v>
      </c>
      <c r="M35" s="60"/>
      <c r="N35" s="217">
        <f>SUM(N36:N44)</f>
        <v>222</v>
      </c>
      <c r="O35" s="214">
        <f>SUM(O36:O44)</f>
        <v>167</v>
      </c>
      <c r="P35" s="214">
        <f>SUM(P36:P44)</f>
        <v>177</v>
      </c>
      <c r="Q35" s="249">
        <f>SUM(Q36:Q44)</f>
        <v>308</v>
      </c>
      <c r="R35" s="221">
        <f>SUM(N35:Q35)</f>
        <v>874</v>
      </c>
      <c r="T35" s="250">
        <f>SUM(T36:T44)</f>
        <v>213</v>
      </c>
      <c r="U35" s="248">
        <f>SUM(U36:U44)</f>
        <v>215</v>
      </c>
      <c r="V35" s="248">
        <f>SUM(V36:V44)</f>
        <v>216</v>
      </c>
      <c r="W35" s="249">
        <f>SUM(W36:W44)</f>
        <v>221</v>
      </c>
      <c r="X35" s="221">
        <f t="shared" si="9"/>
        <v>865</v>
      </c>
      <c r="Z35" s="250">
        <f>SUM(Z36:Z44)</f>
        <v>272</v>
      </c>
      <c r="AA35" s="248">
        <f>SUM(AA36:AA44)</f>
        <v>272</v>
      </c>
      <c r="AB35" s="248">
        <f>SUM(AB36:AB44)</f>
        <v>275</v>
      </c>
      <c r="AC35" s="249">
        <f>SUM(AC36:AC44)</f>
        <v>275</v>
      </c>
      <c r="AD35" s="221">
        <f t="shared" si="10"/>
        <v>1094</v>
      </c>
      <c r="AF35" s="250">
        <f>SUM(AF36:AF44)</f>
        <v>272</v>
      </c>
      <c r="AG35" s="248">
        <f>SUM(AG36:AG44)</f>
        <v>302</v>
      </c>
      <c r="AH35" s="248">
        <f>SUM(AH36:AH44)</f>
        <v>305</v>
      </c>
      <c r="AI35" s="249">
        <f>SUM(AI36:AI44)</f>
        <v>305</v>
      </c>
      <c r="AJ35" s="221">
        <f t="shared" si="11"/>
        <v>1184</v>
      </c>
    </row>
    <row r="36" spans="1:36" ht="15" customHeight="1" x14ac:dyDescent="0.3">
      <c r="A36" s="85" t="s">
        <v>95</v>
      </c>
      <c r="B36" s="229"/>
      <c r="C36" s="101"/>
      <c r="D36" s="101"/>
      <c r="E36" s="101"/>
      <c r="F36" s="230"/>
      <c r="G36" s="59"/>
      <c r="H36" s="229">
        <v>95</v>
      </c>
      <c r="I36" s="101">
        <v>87</v>
      </c>
      <c r="J36" s="101">
        <v>87</v>
      </c>
      <c r="K36" s="102">
        <v>85</v>
      </c>
      <c r="L36" s="107">
        <f t="shared" si="4"/>
        <v>354</v>
      </c>
      <c r="M36" s="60"/>
      <c r="N36" s="104">
        <v>118</v>
      </c>
      <c r="O36" s="101">
        <v>82</v>
      </c>
      <c r="P36" s="101">
        <v>103</v>
      </c>
      <c r="Q36" s="231">
        <v>103</v>
      </c>
      <c r="R36" s="111">
        <f>SUM(N36:Q36)</f>
        <v>406</v>
      </c>
      <c r="T36" s="232">
        <v>103</v>
      </c>
      <c r="U36" s="144">
        <v>103</v>
      </c>
      <c r="V36" s="144">
        <v>103</v>
      </c>
      <c r="W36" s="231">
        <v>103</v>
      </c>
      <c r="X36" s="111">
        <f t="shared" si="9"/>
        <v>412</v>
      </c>
      <c r="Z36" s="232">
        <f>SUM(Z61*30)</f>
        <v>120</v>
      </c>
      <c r="AA36" s="144">
        <f>SUM(AA61*30)</f>
        <v>120</v>
      </c>
      <c r="AB36" s="144">
        <f>SUM(AB61*30)</f>
        <v>120</v>
      </c>
      <c r="AC36" s="231">
        <f>SUM(AC61*30)</f>
        <v>120</v>
      </c>
      <c r="AD36" s="111">
        <f t="shared" si="10"/>
        <v>480</v>
      </c>
      <c r="AF36" s="232">
        <f>SUM(AF61*30)</f>
        <v>120</v>
      </c>
      <c r="AG36" s="144">
        <f>SUM(AG61*30)</f>
        <v>150</v>
      </c>
      <c r="AH36" s="144">
        <f>SUM(AH61*30)</f>
        <v>150</v>
      </c>
      <c r="AI36" s="231">
        <f>SUM(AI61*30)</f>
        <v>150</v>
      </c>
      <c r="AJ36" s="111">
        <f t="shared" si="11"/>
        <v>570</v>
      </c>
    </row>
    <row r="37" spans="1:36" ht="15" customHeight="1" x14ac:dyDescent="0.3">
      <c r="A37" s="85" t="s">
        <v>98</v>
      </c>
      <c r="B37" s="229"/>
      <c r="C37" s="101"/>
      <c r="D37" s="101"/>
      <c r="E37" s="101"/>
      <c r="F37" s="230"/>
      <c r="G37" s="59"/>
      <c r="H37" s="229">
        <v>1</v>
      </c>
      <c r="I37" s="101">
        <v>5</v>
      </c>
      <c r="J37" s="101">
        <v>6</v>
      </c>
      <c r="K37" s="102">
        <v>6</v>
      </c>
      <c r="L37" s="107">
        <f t="shared" si="4"/>
        <v>18</v>
      </c>
      <c r="M37" s="60"/>
      <c r="N37" s="229">
        <v>7</v>
      </c>
      <c r="O37" s="101">
        <v>8</v>
      </c>
      <c r="P37" s="101">
        <v>3</v>
      </c>
      <c r="Q37" s="231">
        <v>8</v>
      </c>
      <c r="R37" s="111">
        <f t="shared" ref="R37:R44" si="12">SUM(N37:Q37)</f>
        <v>26</v>
      </c>
      <c r="T37" s="232">
        <v>8</v>
      </c>
      <c r="U37" s="144">
        <v>8</v>
      </c>
      <c r="V37" s="144">
        <v>8</v>
      </c>
      <c r="W37" s="231">
        <v>8</v>
      </c>
      <c r="X37" s="111">
        <f t="shared" si="9"/>
        <v>32</v>
      </c>
      <c r="Z37" s="232">
        <v>8</v>
      </c>
      <c r="AA37" s="144">
        <v>8</v>
      </c>
      <c r="AB37" s="144">
        <v>8</v>
      </c>
      <c r="AC37" s="231">
        <v>8</v>
      </c>
      <c r="AD37" s="111">
        <f t="shared" si="10"/>
        <v>32</v>
      </c>
      <c r="AF37" s="232">
        <v>8</v>
      </c>
      <c r="AG37" s="144">
        <v>8</v>
      </c>
      <c r="AH37" s="144">
        <v>8</v>
      </c>
      <c r="AI37" s="231">
        <v>8</v>
      </c>
      <c r="AJ37" s="111">
        <f t="shared" si="11"/>
        <v>32</v>
      </c>
    </row>
    <row r="38" spans="1:36" ht="15" customHeight="1" x14ac:dyDescent="0.3">
      <c r="A38" s="85" t="s">
        <v>104</v>
      </c>
      <c r="B38" s="229"/>
      <c r="C38" s="101"/>
      <c r="D38" s="101"/>
      <c r="E38" s="101"/>
      <c r="F38" s="230"/>
      <c r="G38" s="59"/>
      <c r="H38" s="229">
        <v>5</v>
      </c>
      <c r="I38" s="101">
        <v>6</v>
      </c>
      <c r="J38" s="101">
        <v>6</v>
      </c>
      <c r="K38" s="102">
        <v>6</v>
      </c>
      <c r="L38" s="107">
        <f t="shared" si="4"/>
        <v>23</v>
      </c>
      <c r="M38" s="60"/>
      <c r="N38" s="320">
        <v>4</v>
      </c>
      <c r="O38" s="320">
        <v>5</v>
      </c>
      <c r="P38" s="320">
        <v>5</v>
      </c>
      <c r="Q38" s="57">
        <v>6</v>
      </c>
      <c r="R38" s="111">
        <f t="shared" si="12"/>
        <v>20</v>
      </c>
      <c r="T38" s="323">
        <v>6</v>
      </c>
      <c r="U38" s="57">
        <v>8</v>
      </c>
      <c r="V38" s="57">
        <v>8</v>
      </c>
      <c r="W38" s="57">
        <v>8</v>
      </c>
      <c r="X38" s="111">
        <f t="shared" si="9"/>
        <v>30</v>
      </c>
      <c r="Z38" s="323">
        <v>10</v>
      </c>
      <c r="AA38" s="57">
        <v>10</v>
      </c>
      <c r="AB38" s="57">
        <v>10</v>
      </c>
      <c r="AC38" s="57">
        <v>10</v>
      </c>
      <c r="AD38" s="111">
        <f t="shared" si="10"/>
        <v>40</v>
      </c>
      <c r="AE38" s="57"/>
      <c r="AF38" s="323">
        <v>10</v>
      </c>
      <c r="AG38" s="57">
        <v>10</v>
      </c>
      <c r="AH38" s="57">
        <v>10</v>
      </c>
      <c r="AI38" s="57">
        <v>10</v>
      </c>
      <c r="AJ38" s="111">
        <f t="shared" si="11"/>
        <v>40</v>
      </c>
    </row>
    <row r="39" spans="1:36" ht="15" customHeight="1" x14ac:dyDescent="0.3">
      <c r="A39" s="85" t="s">
        <v>96</v>
      </c>
      <c r="B39" s="229"/>
      <c r="C39" s="101"/>
      <c r="D39" s="101"/>
      <c r="E39" s="101"/>
      <c r="F39" s="230"/>
      <c r="G39" s="59"/>
      <c r="H39" s="229">
        <v>65</v>
      </c>
      <c r="I39" s="101">
        <v>63</v>
      </c>
      <c r="J39" s="101">
        <v>63</v>
      </c>
      <c r="K39" s="102">
        <v>56</v>
      </c>
      <c r="L39" s="107">
        <f t="shared" si="4"/>
        <v>247</v>
      </c>
      <c r="M39" s="60"/>
      <c r="N39" s="229">
        <v>34</v>
      </c>
      <c r="O39" s="101">
        <v>46</v>
      </c>
      <c r="P39" s="101">
        <v>45</v>
      </c>
      <c r="Q39" s="231">
        <v>46</v>
      </c>
      <c r="R39" s="111">
        <f t="shared" si="12"/>
        <v>171</v>
      </c>
      <c r="T39" s="232">
        <v>46</v>
      </c>
      <c r="U39" s="144">
        <v>46</v>
      </c>
      <c r="V39" s="144">
        <v>46</v>
      </c>
      <c r="W39" s="231">
        <v>50</v>
      </c>
      <c r="X39" s="111">
        <f t="shared" si="9"/>
        <v>188</v>
      </c>
      <c r="Z39" s="232">
        <f>21*3+6</f>
        <v>69</v>
      </c>
      <c r="AA39" s="144">
        <v>69</v>
      </c>
      <c r="AB39" s="144">
        <v>69</v>
      </c>
      <c r="AC39" s="231">
        <v>69</v>
      </c>
      <c r="AD39" s="111">
        <f t="shared" si="10"/>
        <v>276</v>
      </c>
      <c r="AF39" s="232">
        <f>21*3+6</f>
        <v>69</v>
      </c>
      <c r="AG39" s="144">
        <v>69</v>
      </c>
      <c r="AH39" s="144">
        <v>69</v>
      </c>
      <c r="AI39" s="231">
        <v>69</v>
      </c>
      <c r="AJ39" s="111">
        <f t="shared" si="11"/>
        <v>276</v>
      </c>
    </row>
    <row r="40" spans="1:36" ht="15" customHeight="1" x14ac:dyDescent="0.3">
      <c r="A40" s="85" t="s">
        <v>99</v>
      </c>
      <c r="B40" s="229"/>
      <c r="C40" s="101"/>
      <c r="D40" s="101"/>
      <c r="E40" s="101"/>
      <c r="F40" s="230"/>
      <c r="G40" s="59"/>
      <c r="H40" s="229">
        <v>4</v>
      </c>
      <c r="I40" s="101">
        <v>8</v>
      </c>
      <c r="J40" s="101">
        <v>4</v>
      </c>
      <c r="K40" s="102">
        <v>5</v>
      </c>
      <c r="L40" s="107">
        <f t="shared" si="4"/>
        <v>21</v>
      </c>
      <c r="M40" s="60"/>
      <c r="N40" s="229">
        <v>4</v>
      </c>
      <c r="O40" s="101">
        <v>6</v>
      </c>
      <c r="P40" s="101">
        <v>2</v>
      </c>
      <c r="Q40" s="231">
        <v>5</v>
      </c>
      <c r="R40" s="111">
        <f t="shared" si="12"/>
        <v>17</v>
      </c>
      <c r="T40" s="232">
        <v>8</v>
      </c>
      <c r="U40" s="144">
        <v>8</v>
      </c>
      <c r="V40" s="144">
        <v>8</v>
      </c>
      <c r="W40" s="231">
        <v>8</v>
      </c>
      <c r="X40" s="111">
        <f t="shared" si="9"/>
        <v>32</v>
      </c>
      <c r="Z40" s="232">
        <v>10</v>
      </c>
      <c r="AA40" s="144">
        <v>10</v>
      </c>
      <c r="AB40" s="144">
        <v>12</v>
      </c>
      <c r="AC40" s="231">
        <v>12</v>
      </c>
      <c r="AD40" s="111">
        <f t="shared" si="10"/>
        <v>44</v>
      </c>
      <c r="AF40" s="232">
        <v>10</v>
      </c>
      <c r="AG40" s="144">
        <v>10</v>
      </c>
      <c r="AH40" s="144">
        <v>12</v>
      </c>
      <c r="AI40" s="231">
        <v>12</v>
      </c>
      <c r="AJ40" s="111">
        <f t="shared" si="11"/>
        <v>44</v>
      </c>
    </row>
    <row r="41" spans="1:36" ht="15" customHeight="1" x14ac:dyDescent="0.3">
      <c r="A41" s="251" t="s">
        <v>100</v>
      </c>
      <c r="B41" s="229"/>
      <c r="C41" s="101"/>
      <c r="D41" s="101"/>
      <c r="E41" s="101"/>
      <c r="F41" s="230"/>
      <c r="G41" s="59"/>
      <c r="H41" s="229">
        <v>8</v>
      </c>
      <c r="I41" s="101">
        <v>22</v>
      </c>
      <c r="J41" s="101">
        <v>6</v>
      </c>
      <c r="K41" s="102">
        <v>10</v>
      </c>
      <c r="L41" s="107">
        <f t="shared" si="4"/>
        <v>46</v>
      </c>
      <c r="M41" s="60"/>
      <c r="N41" s="229">
        <v>30</v>
      </c>
      <c r="O41" s="101">
        <v>8</v>
      </c>
      <c r="P41" s="101">
        <v>7</v>
      </c>
      <c r="Q41" s="231">
        <v>115</v>
      </c>
      <c r="R41" s="111">
        <f t="shared" si="12"/>
        <v>160</v>
      </c>
      <c r="T41" s="232">
        <v>10</v>
      </c>
      <c r="U41" s="144">
        <v>10</v>
      </c>
      <c r="V41" s="144">
        <v>10</v>
      </c>
      <c r="W41" s="231">
        <v>10</v>
      </c>
      <c r="X41" s="111">
        <f t="shared" si="9"/>
        <v>40</v>
      </c>
      <c r="Z41" s="232">
        <v>20</v>
      </c>
      <c r="AA41" s="144">
        <v>20</v>
      </c>
      <c r="AB41" s="144">
        <v>20</v>
      </c>
      <c r="AC41" s="231">
        <v>20</v>
      </c>
      <c r="AD41" s="111">
        <f t="shared" si="10"/>
        <v>80</v>
      </c>
      <c r="AF41" s="232">
        <v>20</v>
      </c>
      <c r="AG41" s="144">
        <v>20</v>
      </c>
      <c r="AH41" s="144">
        <v>20</v>
      </c>
      <c r="AI41" s="231">
        <v>20</v>
      </c>
      <c r="AJ41" s="111">
        <f t="shared" si="11"/>
        <v>80</v>
      </c>
    </row>
    <row r="42" spans="1:36" ht="15" customHeight="1" x14ac:dyDescent="0.3">
      <c r="A42" s="251" t="s">
        <v>101</v>
      </c>
      <c r="B42" s="229"/>
      <c r="C42" s="101"/>
      <c r="D42" s="101"/>
      <c r="E42" s="101"/>
      <c r="F42" s="230"/>
      <c r="G42" s="59"/>
      <c r="H42" s="229">
        <v>19</v>
      </c>
      <c r="I42" s="101">
        <v>0</v>
      </c>
      <c r="J42" s="101">
        <v>9</v>
      </c>
      <c r="K42" s="102">
        <v>17</v>
      </c>
      <c r="L42" s="107">
        <f t="shared" si="4"/>
        <v>45</v>
      </c>
      <c r="M42" s="60"/>
      <c r="N42" s="229">
        <v>6</v>
      </c>
      <c r="O42" s="101">
        <v>4</v>
      </c>
      <c r="P42" s="101">
        <v>3</v>
      </c>
      <c r="Q42" s="231">
        <v>15</v>
      </c>
      <c r="R42" s="111">
        <f t="shared" si="12"/>
        <v>28</v>
      </c>
      <c r="T42" s="232">
        <v>20</v>
      </c>
      <c r="U42" s="144">
        <v>20</v>
      </c>
      <c r="V42" s="144">
        <v>20</v>
      </c>
      <c r="W42" s="231">
        <v>20</v>
      </c>
      <c r="X42" s="111">
        <f t="shared" si="9"/>
        <v>80</v>
      </c>
      <c r="Z42" s="232">
        <v>20</v>
      </c>
      <c r="AA42" s="144">
        <v>20</v>
      </c>
      <c r="AB42" s="144">
        <v>20</v>
      </c>
      <c r="AC42" s="231">
        <v>20</v>
      </c>
      <c r="AD42" s="111">
        <f t="shared" si="10"/>
        <v>80</v>
      </c>
      <c r="AF42" s="232">
        <v>20</v>
      </c>
      <c r="AG42" s="144">
        <v>20</v>
      </c>
      <c r="AH42" s="144">
        <v>20</v>
      </c>
      <c r="AI42" s="231">
        <v>20</v>
      </c>
      <c r="AJ42" s="111">
        <f t="shared" si="11"/>
        <v>80</v>
      </c>
    </row>
    <row r="43" spans="1:36" ht="15" customHeight="1" x14ac:dyDescent="0.3">
      <c r="A43" s="85" t="s">
        <v>102</v>
      </c>
      <c r="B43" s="229"/>
      <c r="C43" s="101"/>
      <c r="D43" s="101"/>
      <c r="E43" s="101"/>
      <c r="F43" s="230"/>
      <c r="G43" s="59"/>
      <c r="H43" s="229">
        <v>0</v>
      </c>
      <c r="I43" s="101">
        <v>0</v>
      </c>
      <c r="J43" s="101">
        <v>10</v>
      </c>
      <c r="K43" s="102">
        <v>0</v>
      </c>
      <c r="L43" s="107">
        <f t="shared" si="4"/>
        <v>10</v>
      </c>
      <c r="M43" s="60"/>
      <c r="N43" s="229">
        <v>5</v>
      </c>
      <c r="O43" s="101">
        <v>0</v>
      </c>
      <c r="P43" s="101">
        <v>0</v>
      </c>
      <c r="Q43" s="231">
        <v>0</v>
      </c>
      <c r="R43" s="111">
        <f t="shared" si="12"/>
        <v>5</v>
      </c>
      <c r="T43" s="232">
        <v>0</v>
      </c>
      <c r="U43" s="144">
        <v>0</v>
      </c>
      <c r="V43" s="144">
        <v>0</v>
      </c>
      <c r="W43" s="231">
        <v>0</v>
      </c>
      <c r="X43" s="111">
        <f t="shared" si="9"/>
        <v>0</v>
      </c>
      <c r="Z43" s="232">
        <v>0</v>
      </c>
      <c r="AA43" s="144">
        <v>0</v>
      </c>
      <c r="AB43" s="144">
        <v>0</v>
      </c>
      <c r="AC43" s="231">
        <v>0</v>
      </c>
      <c r="AD43" s="111">
        <f t="shared" si="10"/>
        <v>0</v>
      </c>
      <c r="AF43" s="232">
        <v>0</v>
      </c>
      <c r="AG43" s="144">
        <v>0</v>
      </c>
      <c r="AH43" s="144">
        <v>0</v>
      </c>
      <c r="AI43" s="231">
        <v>0</v>
      </c>
      <c r="AJ43" s="111">
        <f t="shared" si="11"/>
        <v>0</v>
      </c>
    </row>
    <row r="44" spans="1:36" ht="15" customHeight="1" thickBot="1" x14ac:dyDescent="0.35">
      <c r="A44" s="85" t="s">
        <v>103</v>
      </c>
      <c r="B44" s="252"/>
      <c r="C44" s="117"/>
      <c r="D44" s="117"/>
      <c r="E44" s="253"/>
      <c r="F44" s="235"/>
      <c r="G44" s="59"/>
      <c r="H44" s="234">
        <v>8</v>
      </c>
      <c r="I44" s="87">
        <v>8</v>
      </c>
      <c r="J44" s="87">
        <v>8</v>
      </c>
      <c r="K44" s="88">
        <v>9</v>
      </c>
      <c r="L44" s="93">
        <f t="shared" si="4"/>
        <v>33</v>
      </c>
      <c r="M44" s="60"/>
      <c r="N44" s="234">
        <v>14</v>
      </c>
      <c r="O44" s="87">
        <v>8</v>
      </c>
      <c r="P44" s="87">
        <v>9</v>
      </c>
      <c r="Q44" s="245">
        <v>10</v>
      </c>
      <c r="R44" s="98">
        <f t="shared" si="12"/>
        <v>41</v>
      </c>
      <c r="S44" s="53"/>
      <c r="T44" s="246">
        <v>12</v>
      </c>
      <c r="U44" s="244">
        <v>12</v>
      </c>
      <c r="V44" s="244">
        <v>13</v>
      </c>
      <c r="W44" s="245">
        <v>14</v>
      </c>
      <c r="X44" s="98">
        <f t="shared" si="9"/>
        <v>51</v>
      </c>
      <c r="Y44" s="53"/>
      <c r="Z44" s="246">
        <v>15</v>
      </c>
      <c r="AA44" s="244">
        <v>15</v>
      </c>
      <c r="AB44" s="244">
        <v>16</v>
      </c>
      <c r="AC44" s="245">
        <v>16</v>
      </c>
      <c r="AD44" s="98">
        <f t="shared" si="10"/>
        <v>62</v>
      </c>
      <c r="AE44" s="53"/>
      <c r="AF44" s="246">
        <v>15</v>
      </c>
      <c r="AG44" s="244">
        <v>15</v>
      </c>
      <c r="AH44" s="244">
        <v>16</v>
      </c>
      <c r="AI44" s="245">
        <v>16</v>
      </c>
      <c r="AJ44" s="98">
        <f t="shared" si="11"/>
        <v>62</v>
      </c>
    </row>
    <row r="45" spans="1:36" s="55" customFormat="1" ht="15" customHeight="1" thickTop="1" x14ac:dyDescent="0.3">
      <c r="A45" s="254" t="s">
        <v>65</v>
      </c>
      <c r="B45" s="255"/>
      <c r="C45" s="256"/>
      <c r="D45" s="256">
        <f>SUM(D26:D35)</f>
        <v>943</v>
      </c>
      <c r="E45" s="257">
        <f>SUM(E26:E35)</f>
        <v>879</v>
      </c>
      <c r="F45" s="258">
        <f>SUM(F26:F35)</f>
        <v>1822</v>
      </c>
      <c r="G45" s="259"/>
      <c r="H45" s="255">
        <f>SUM(H26,H27,H32,H35)</f>
        <v>825</v>
      </c>
      <c r="I45" s="256">
        <f>SUM(I26,I27,I32,I35)</f>
        <v>986</v>
      </c>
      <c r="J45" s="256">
        <f>SUM(J26,J27,J32,J35)</f>
        <v>982</v>
      </c>
      <c r="K45" s="257">
        <f>SUM(K26,K27,K32,K35)</f>
        <v>993</v>
      </c>
      <c r="L45" s="260">
        <f>+L26+L27+L32+L35</f>
        <v>3786</v>
      </c>
      <c r="M45" s="261"/>
      <c r="N45" s="262">
        <f>SUM(N26,N27,N32,N35)</f>
        <v>1199</v>
      </c>
      <c r="O45" s="256">
        <f>SUM(O26,O27,O32,O35)</f>
        <v>1088</v>
      </c>
      <c r="P45" s="256">
        <f>SUM(P26,P27,P32,P35)</f>
        <v>1215</v>
      </c>
      <c r="Q45" s="263">
        <f>SUM(Q26,Q27,Q32,Q35)</f>
        <v>1347</v>
      </c>
      <c r="R45" s="264">
        <f>+R26+R27+R32+R35</f>
        <v>4849</v>
      </c>
      <c r="S45" s="54"/>
      <c r="T45" s="265">
        <f>SUM(T26,T27,T32,T35)</f>
        <v>1437</v>
      </c>
      <c r="U45" s="263">
        <f>SUM(U26,U27,U32,U35)</f>
        <v>1543</v>
      </c>
      <c r="V45" s="263">
        <f>SUM(V26,V27,V32,V35)</f>
        <v>1714</v>
      </c>
      <c r="W45" s="263">
        <f>SUM(W26,W27,W32,W35)</f>
        <v>1870</v>
      </c>
      <c r="X45" s="264">
        <f>+X26+X27+X32+X35</f>
        <v>6564</v>
      </c>
      <c r="Y45" s="54"/>
      <c r="Z45" s="265">
        <f>SUM(Z26,Z27,Z32,Z35)</f>
        <v>2279</v>
      </c>
      <c r="AA45" s="263">
        <f>SUM(AA26,AA27,AA32,AA35)</f>
        <v>2460</v>
      </c>
      <c r="AB45" s="263">
        <f>SUM(AB26,AB27,AB32,AB35)</f>
        <v>2644</v>
      </c>
      <c r="AC45" s="263">
        <f>SUM(AC26,AC27,AC32,AC35)</f>
        <v>2865</v>
      </c>
      <c r="AD45" s="264">
        <f>+AD26+AD27+AD32+AD35</f>
        <v>10248</v>
      </c>
      <c r="AE45" s="54"/>
      <c r="AF45" s="265">
        <f>SUM(AF26,AF27,AF32,AF35)</f>
        <v>3198</v>
      </c>
      <c r="AG45" s="263">
        <f>SUM(AG26,AG27,AG32,AG35)</f>
        <v>3372</v>
      </c>
      <c r="AH45" s="263">
        <f>SUM(AH26,AH27,AH32,AH35)</f>
        <v>3583</v>
      </c>
      <c r="AI45" s="263">
        <f>SUM(AI26,AI27,AI32,AI35)</f>
        <v>3870</v>
      </c>
      <c r="AJ45" s="264">
        <f>+AJ26+AJ27+AJ32+AJ35</f>
        <v>14023</v>
      </c>
    </row>
    <row r="46" spans="1:36" ht="15" customHeight="1" x14ac:dyDescent="0.3">
      <c r="A46" s="174"/>
      <c r="B46" s="175"/>
      <c r="C46" s="175"/>
      <c r="D46" s="175"/>
      <c r="E46" s="175"/>
      <c r="F46" s="175"/>
      <c r="G46" s="142"/>
      <c r="H46" s="175"/>
      <c r="I46" s="175"/>
      <c r="J46" s="175"/>
      <c r="K46" s="175"/>
      <c r="L46" s="175"/>
      <c r="M46" s="142"/>
      <c r="N46" s="175"/>
      <c r="O46" s="175"/>
      <c r="P46" s="175"/>
      <c r="Q46" s="177"/>
      <c r="R46" s="176"/>
      <c r="T46" s="177"/>
      <c r="U46" s="177"/>
      <c r="V46" s="177"/>
      <c r="W46" s="177"/>
      <c r="X46" s="176"/>
      <c r="Z46" s="177"/>
      <c r="AA46" s="177"/>
      <c r="AB46" s="177"/>
      <c r="AC46" s="177"/>
      <c r="AD46" s="176"/>
      <c r="AF46" s="177"/>
      <c r="AG46" s="177"/>
      <c r="AH46" s="177"/>
      <c r="AI46" s="177"/>
      <c r="AJ46" s="176"/>
    </row>
    <row r="47" spans="1:36" s="55" customFormat="1" ht="15" customHeight="1" x14ac:dyDescent="0.3">
      <c r="A47" s="266" t="s">
        <v>67</v>
      </c>
      <c r="B47" s="267"/>
      <c r="C47" s="268"/>
      <c r="D47" s="268">
        <f>+D23-D45</f>
        <v>-560</v>
      </c>
      <c r="E47" s="268">
        <f>+E23-E45</f>
        <v>-467</v>
      </c>
      <c r="F47" s="269">
        <f>SUM(D47:E47)</f>
        <v>-1027</v>
      </c>
      <c r="G47" s="270"/>
      <c r="H47" s="268">
        <f>+H23-H45</f>
        <v>-568</v>
      </c>
      <c r="I47" s="268">
        <f>+I23-I45</f>
        <v>-810</v>
      </c>
      <c r="J47" s="268">
        <f>+J23-J45</f>
        <v>-705</v>
      </c>
      <c r="K47" s="268">
        <f>+K23-K45</f>
        <v>-511</v>
      </c>
      <c r="L47" s="269">
        <f>+L23-L45</f>
        <v>-2594</v>
      </c>
      <c r="M47" s="270"/>
      <c r="N47" s="268">
        <f>+N23-N45</f>
        <v>-712</v>
      </c>
      <c r="O47" s="268">
        <f>+O23-O45</f>
        <v>-848</v>
      </c>
      <c r="P47" s="268">
        <f>+P23-P45</f>
        <v>-404</v>
      </c>
      <c r="Q47" s="271">
        <f>+Q23-Q45</f>
        <v>-474</v>
      </c>
      <c r="R47" s="272">
        <f>SUM(N47:Q47)</f>
        <v>-2438</v>
      </c>
      <c r="T47" s="271">
        <f>+T23-T45</f>
        <v>-221</v>
      </c>
      <c r="U47" s="271">
        <f>+U23-U45</f>
        <v>-375</v>
      </c>
      <c r="V47" s="271">
        <f>+V23-V45</f>
        <v>-268</v>
      </c>
      <c r="W47" s="271">
        <f>+W23-W45</f>
        <v>-74</v>
      </c>
      <c r="X47" s="272">
        <f>SUM(T47:W47)</f>
        <v>-938</v>
      </c>
      <c r="Z47" s="271">
        <f>+Z23-Z45</f>
        <v>-158</v>
      </c>
      <c r="AA47" s="271">
        <f>+AA23-AA45</f>
        <v>32</v>
      </c>
      <c r="AB47" s="271">
        <f>+AB23-AB45</f>
        <v>226</v>
      </c>
      <c r="AC47" s="271">
        <f>+AC23-AC45</f>
        <v>455</v>
      </c>
      <c r="AD47" s="272">
        <f>SUM(Z47:AC47)</f>
        <v>555</v>
      </c>
      <c r="AF47" s="271">
        <f>+AF23-AF45</f>
        <v>418</v>
      </c>
      <c r="AG47" s="271">
        <f>+AG23-AG45</f>
        <v>695</v>
      </c>
      <c r="AH47" s="271">
        <f>+AH23-AH45</f>
        <v>757</v>
      </c>
      <c r="AI47" s="271">
        <f>+AI23-AI45</f>
        <v>920</v>
      </c>
      <c r="AJ47" s="272">
        <f>SUM(AF47:AI47)</f>
        <v>2790</v>
      </c>
    </row>
    <row r="48" spans="1:36" ht="15" customHeight="1" x14ac:dyDescent="0.3">
      <c r="A48" s="241" t="s">
        <v>66</v>
      </c>
      <c r="B48" s="273"/>
      <c r="C48" s="140"/>
      <c r="D48" s="273"/>
      <c r="E48" s="140">
        <f>SUM(E47/E16)</f>
        <v>-0.97089397089397089</v>
      </c>
      <c r="F48" s="140">
        <f>SUM(F47/F16)</f>
        <v>-1.0720250521920669</v>
      </c>
      <c r="G48" s="142"/>
      <c r="H48" s="140">
        <f>SUM(H47/H16)</f>
        <v>-1.5146666666666666</v>
      </c>
      <c r="I48" s="140">
        <f>SUM(I47/I16)</f>
        <v>-2.4695121951219514</v>
      </c>
      <c r="J48" s="140">
        <f>SUM(J47/J16)</f>
        <v>-1.9803370786516854</v>
      </c>
      <c r="K48" s="140">
        <f>SUM(K47/K16)</f>
        <v>-0.97892720306513414</v>
      </c>
      <c r="L48" s="140">
        <f>SUM(L47/L16)</f>
        <v>-1.6407337128399746</v>
      </c>
      <c r="M48" s="142"/>
      <c r="N48" s="140">
        <f>SUM(N47/N16)</f>
        <v>-1.390625</v>
      </c>
      <c r="O48" s="140">
        <f>SUM(O47/O16)</f>
        <v>-3.0070921985815602</v>
      </c>
      <c r="P48" s="140">
        <f>SUM(P47/P16)</f>
        <v>-0.47362250879249707</v>
      </c>
      <c r="Q48" s="143">
        <f>SUM(Q47/Q16)</f>
        <v>-0.5180327868852459</v>
      </c>
      <c r="R48" s="147">
        <f>SUM(R47/R16)</f>
        <v>-0.95160031225604991</v>
      </c>
      <c r="T48" s="143">
        <f>SUM(T47/T16)</f>
        <v>-0.174565560821485</v>
      </c>
      <c r="U48" s="143">
        <f>SUM(U47/U16)</f>
        <v>-0.3016894609814964</v>
      </c>
      <c r="V48" s="143">
        <f>SUM(V47/V16)</f>
        <v>-0.17619986850756081</v>
      </c>
      <c r="W48" s="143">
        <f>SUM(W47/W16)</f>
        <v>-3.9551042223409938E-2</v>
      </c>
      <c r="X48" s="147">
        <f>SUM(X47/X16)</f>
        <v>-0.15895610913404506</v>
      </c>
      <c r="Z48" s="143">
        <f>SUM(Z47/Z16)</f>
        <v>-7.1139126519585774E-2</v>
      </c>
      <c r="AA48" s="143">
        <f>SUM(AA47/AA16)</f>
        <v>1.2345679012345678E-2</v>
      </c>
      <c r="AB48" s="143">
        <f>SUM(AB47/AB16)</f>
        <v>7.6094276094276089E-2</v>
      </c>
      <c r="AC48" s="143">
        <f>SUM(AC47/AC16)</f>
        <v>0.13304093567251463</v>
      </c>
      <c r="AD48" s="147">
        <f>SUM(AD47/AD16)</f>
        <v>4.9540301704900473E-2</v>
      </c>
      <c r="AF48" s="143">
        <f>SUM(AF47/AF16)</f>
        <v>0.11173483025928896</v>
      </c>
      <c r="AG48" s="143">
        <f>SUM(AG47/AG16)</f>
        <v>0.16579198473282442</v>
      </c>
      <c r="AH48" s="143">
        <f>SUM(AH47/AH16)</f>
        <v>0.1685968819599109</v>
      </c>
      <c r="AI48" s="143">
        <f>SUM(AI47/AI16)</f>
        <v>0.18623481781376519</v>
      </c>
      <c r="AJ48" s="147">
        <f>SUM(AJ47/AJ16)</f>
        <v>0.16068651730691702</v>
      </c>
    </row>
    <row r="49" spans="1:36" ht="15" customHeight="1" x14ac:dyDescent="0.3">
      <c r="A49" s="241"/>
      <c r="B49" s="274"/>
      <c r="C49" s="275"/>
      <c r="D49" s="274"/>
      <c r="E49" s="275"/>
      <c r="F49" s="275"/>
      <c r="G49" s="317"/>
      <c r="H49" s="275"/>
      <c r="I49" s="275"/>
      <c r="J49" s="275"/>
      <c r="K49" s="275"/>
      <c r="L49" s="275"/>
      <c r="M49" s="317"/>
      <c r="N49" s="275"/>
      <c r="O49" s="275"/>
      <c r="P49" s="147"/>
      <c r="Q49" s="147"/>
      <c r="R49" s="147"/>
      <c r="T49" s="147"/>
      <c r="U49" s="147"/>
      <c r="V49" s="147"/>
      <c r="W49" s="147"/>
      <c r="X49" s="147"/>
      <c r="Z49" s="147"/>
      <c r="AA49" s="147"/>
      <c r="AB49" s="147"/>
      <c r="AC49" s="147"/>
      <c r="AD49" s="147"/>
      <c r="AF49" s="147"/>
      <c r="AG49" s="147"/>
      <c r="AH49" s="147"/>
      <c r="AI49" s="147"/>
      <c r="AJ49" s="147"/>
    </row>
    <row r="50" spans="1:36" s="56" customFormat="1" ht="20.25" customHeight="1" x14ac:dyDescent="0.3">
      <c r="A50" s="355" t="s">
        <v>85</v>
      </c>
      <c r="B50" s="355"/>
      <c r="C50" s="355"/>
      <c r="D50" s="355"/>
      <c r="E50" s="355"/>
      <c r="F50" s="355"/>
      <c r="G50" s="276"/>
      <c r="H50" s="277"/>
      <c r="I50" s="278">
        <v>5174</v>
      </c>
      <c r="J50" s="279">
        <f>SUM(I52)</f>
        <v>4279</v>
      </c>
      <c r="K50" s="279">
        <f>SUM(J52)</f>
        <v>3544</v>
      </c>
      <c r="L50" s="277"/>
      <c r="M50" s="276"/>
      <c r="N50" s="279">
        <f>SUM(K52)</f>
        <v>2869</v>
      </c>
      <c r="O50" s="279">
        <f>SUM(N52)</f>
        <v>2224</v>
      </c>
      <c r="P50" s="279">
        <f>SUM(O52)</f>
        <v>1621</v>
      </c>
      <c r="Q50" s="277">
        <f>SUM(P52)</f>
        <v>766</v>
      </c>
      <c r="R50" s="277"/>
      <c r="T50" s="277">
        <f>SUM(Q52)</f>
        <v>126</v>
      </c>
      <c r="U50" s="277">
        <f>SUM(T52)</f>
        <v>-696</v>
      </c>
      <c r="V50" s="277">
        <f>SUM(U52)</f>
        <v>-1369</v>
      </c>
      <c r="W50" s="277">
        <f>SUM(V52)</f>
        <v>-2203</v>
      </c>
      <c r="X50" s="277"/>
      <c r="Z50" s="277">
        <f>SUM(W52)</f>
        <v>-2843</v>
      </c>
      <c r="AA50" s="277">
        <f>SUM(Z52)</f>
        <v>-3597</v>
      </c>
      <c r="AB50" s="277">
        <f>SUM(AA52)</f>
        <v>-4024</v>
      </c>
      <c r="AC50" s="277">
        <f>SUM(AB52)</f>
        <v>-4258</v>
      </c>
      <c r="AD50" s="277"/>
      <c r="AF50" s="277">
        <f>SUM(AC52)</f>
        <v>-4303</v>
      </c>
      <c r="AG50" s="277">
        <f>SUM(AF52)</f>
        <v>-4303</v>
      </c>
      <c r="AH50" s="277">
        <f>SUM(AG52)</f>
        <v>-4303</v>
      </c>
      <c r="AI50" s="277">
        <f>SUM(AH52)</f>
        <v>-4303</v>
      </c>
      <c r="AJ50" s="277"/>
    </row>
    <row r="51" spans="1:36" s="56" customFormat="1" ht="20.25" customHeight="1" thickBot="1" x14ac:dyDescent="0.35">
      <c r="A51" s="280" t="s">
        <v>106</v>
      </c>
      <c r="B51" s="281"/>
      <c r="C51" s="282"/>
      <c r="D51" s="281"/>
      <c r="E51" s="281"/>
      <c r="G51" s="276"/>
      <c r="I51" s="283">
        <f>SUM(I50-I52)</f>
        <v>895</v>
      </c>
      <c r="J51" s="284">
        <f>+J50-J52</f>
        <v>735</v>
      </c>
      <c r="K51" s="284">
        <v>675</v>
      </c>
      <c r="L51" s="277"/>
      <c r="M51" s="276"/>
      <c r="N51" s="284">
        <f>+N50-N52</f>
        <v>645</v>
      </c>
      <c r="O51" s="284">
        <f>+O50-O52</f>
        <v>603</v>
      </c>
      <c r="P51" s="284">
        <f>+P50-P52</f>
        <v>855</v>
      </c>
      <c r="Q51" s="285">
        <f>+'Cash Burn'!E24</f>
        <v>640</v>
      </c>
      <c r="R51" s="285"/>
      <c r="T51" s="285">
        <f>+'Cash Burn'!G24</f>
        <v>822</v>
      </c>
      <c r="U51" s="285">
        <f>+'Cash Burn'!H24</f>
        <v>673</v>
      </c>
      <c r="V51" s="285">
        <f>+'Cash Burn'!I24</f>
        <v>834</v>
      </c>
      <c r="W51" s="285">
        <f>+'Cash Burn'!J24</f>
        <v>640</v>
      </c>
      <c r="X51" s="285"/>
      <c r="Z51" s="285">
        <f>+'Cash Burn'!L24</f>
        <v>754</v>
      </c>
      <c r="AA51" s="285">
        <f>+'Cash Burn'!M24</f>
        <v>427</v>
      </c>
      <c r="AB51" s="285">
        <f>+'Cash Burn'!N24</f>
        <v>234.00000000000045</v>
      </c>
      <c r="AC51" s="285">
        <f>+'Cash Burn'!O24</f>
        <v>45</v>
      </c>
      <c r="AD51" s="285"/>
      <c r="AF51" s="285">
        <f>+'Cash Burn'!R24</f>
        <v>0</v>
      </c>
      <c r="AG51" s="285">
        <f>+'Cash Burn'!S24</f>
        <v>0</v>
      </c>
      <c r="AH51" s="285">
        <f>+'Cash Burn'!T24</f>
        <v>0</v>
      </c>
      <c r="AI51" s="285">
        <f>+'Cash Burn'!U24</f>
        <v>0</v>
      </c>
      <c r="AJ51" s="285"/>
    </row>
    <row r="52" spans="1:36" s="57" customFormat="1" ht="21" customHeight="1" thickTop="1" x14ac:dyDescent="0.25">
      <c r="A52" s="353" t="s">
        <v>86</v>
      </c>
      <c r="B52" s="353"/>
      <c r="C52" s="353"/>
      <c r="D52" s="353"/>
      <c r="E52" s="353"/>
      <c r="F52" s="353"/>
      <c r="G52" s="142"/>
      <c r="H52" s="286"/>
      <c r="I52" s="278">
        <v>4279</v>
      </c>
      <c r="J52" s="278">
        <v>3544</v>
      </c>
      <c r="K52" s="278">
        <f>SUM(K50-K51)</f>
        <v>2869</v>
      </c>
      <c r="L52" s="287"/>
      <c r="M52" s="288"/>
      <c r="N52" s="278">
        <v>2224</v>
      </c>
      <c r="O52" s="278">
        <v>1621</v>
      </c>
      <c r="P52" s="278">
        <v>766</v>
      </c>
      <c r="Q52" s="289">
        <f>SUM(Q50-Q51)</f>
        <v>126</v>
      </c>
      <c r="T52" s="289">
        <f>SUM(T50-T51)</f>
        <v>-696</v>
      </c>
      <c r="U52" s="289">
        <f>SUM(U50-U51)</f>
        <v>-1369</v>
      </c>
      <c r="V52" s="289">
        <f>SUM(V50-V51)</f>
        <v>-2203</v>
      </c>
      <c r="W52" s="289">
        <f>SUM(W50-W51)</f>
        <v>-2843</v>
      </c>
      <c r="Z52" s="289">
        <f>SUM(Z50-Z51)</f>
        <v>-3597</v>
      </c>
      <c r="AA52" s="289">
        <f>SUM(AA50-AA51)</f>
        <v>-4024</v>
      </c>
      <c r="AB52" s="289">
        <f>SUM(AB50-AB51)</f>
        <v>-4258</v>
      </c>
      <c r="AC52" s="289">
        <f>SUM(AC50-AC51)</f>
        <v>-4303</v>
      </c>
      <c r="AF52" s="289">
        <f>SUM(AF50-AF51)</f>
        <v>-4303</v>
      </c>
      <c r="AG52" s="289">
        <f>SUM(AG50-AG51)</f>
        <v>-4303</v>
      </c>
      <c r="AH52" s="289">
        <f>SUM(AH50-AH51)</f>
        <v>-4303</v>
      </c>
      <c r="AI52" s="289">
        <f>SUM(AI50-AI51)</f>
        <v>-4303</v>
      </c>
    </row>
    <row r="53" spans="1:36" ht="12.75" customHeight="1" x14ac:dyDescent="0.3">
      <c r="A53" s="290"/>
      <c r="B53" s="290"/>
      <c r="C53" s="290"/>
      <c r="E53" s="290"/>
      <c r="F53" s="291"/>
      <c r="G53" s="290"/>
      <c r="H53" s="290"/>
      <c r="I53" s="292"/>
      <c r="J53" s="292"/>
      <c r="K53" s="292"/>
      <c r="L53" s="142"/>
      <c r="M53" s="142"/>
      <c r="N53" s="292"/>
      <c r="O53" s="292"/>
      <c r="P53" s="292"/>
      <c r="Q53" s="142"/>
      <c r="R53" s="290"/>
      <c r="T53" s="292"/>
      <c r="U53" s="292"/>
      <c r="V53" s="292"/>
      <c r="W53" s="142"/>
      <c r="X53" s="290"/>
      <c r="Z53" s="292"/>
      <c r="AA53" s="292"/>
      <c r="AB53" s="292"/>
      <c r="AC53" s="142"/>
      <c r="AD53" s="290"/>
      <c r="AF53" s="292"/>
      <c r="AG53" s="292"/>
      <c r="AH53" s="292"/>
      <c r="AI53" s="142"/>
      <c r="AJ53" s="290"/>
    </row>
    <row r="54" spans="1:36" ht="15" customHeight="1" x14ac:dyDescent="0.3">
      <c r="A54" s="293" t="s">
        <v>84</v>
      </c>
      <c r="B54" s="148"/>
      <c r="C54" s="148"/>
      <c r="D54" s="148"/>
      <c r="E54" s="148"/>
      <c r="F54" s="148"/>
      <c r="G54" s="142"/>
      <c r="H54" s="148"/>
      <c r="I54" s="148"/>
      <c r="J54" s="148"/>
      <c r="K54" s="148"/>
      <c r="L54" s="294" t="s">
        <v>71</v>
      </c>
      <c r="M54" s="142"/>
      <c r="N54" s="148"/>
      <c r="O54" s="148"/>
      <c r="P54" s="148"/>
      <c r="Q54" s="148"/>
      <c r="R54" s="294" t="s">
        <v>71</v>
      </c>
      <c r="T54" s="148"/>
      <c r="U54" s="148"/>
      <c r="V54" s="148"/>
      <c r="W54" s="148"/>
      <c r="X54" s="294" t="s">
        <v>71</v>
      </c>
      <c r="Z54" s="148"/>
      <c r="AA54" s="148"/>
      <c r="AB54" s="148"/>
      <c r="AC54" s="148"/>
      <c r="AD54" s="294" t="s">
        <v>71</v>
      </c>
      <c r="AF54" s="148"/>
      <c r="AG54" s="148"/>
      <c r="AH54" s="148"/>
      <c r="AI54" s="148"/>
      <c r="AJ54" s="294" t="s">
        <v>71</v>
      </c>
    </row>
    <row r="55" spans="1:36" ht="15" customHeight="1" x14ac:dyDescent="0.3">
      <c r="A55" s="209" t="s">
        <v>2</v>
      </c>
      <c r="B55" s="209">
        <v>2</v>
      </c>
      <c r="C55" s="209">
        <v>3</v>
      </c>
      <c r="D55" s="209">
        <v>2</v>
      </c>
      <c r="E55" s="209">
        <v>2</v>
      </c>
      <c r="F55" s="176"/>
      <c r="G55" s="142"/>
      <c r="H55" s="141">
        <v>2</v>
      </c>
      <c r="I55" s="141">
        <v>2</v>
      </c>
      <c r="J55" s="141">
        <v>2</v>
      </c>
      <c r="K55" s="141">
        <v>2</v>
      </c>
      <c r="L55" s="295">
        <f>SUM(L20/L16)</f>
        <v>0.24604680581910182</v>
      </c>
      <c r="M55" s="142"/>
      <c r="N55" s="141">
        <v>1</v>
      </c>
      <c r="O55" s="141">
        <v>2</v>
      </c>
      <c r="P55" s="141">
        <v>2</v>
      </c>
      <c r="Q55" s="209">
        <v>2</v>
      </c>
      <c r="R55" s="296">
        <f>SUM(R20/R16)</f>
        <v>5.8938329430132712E-2</v>
      </c>
      <c r="T55" s="209">
        <v>2</v>
      </c>
      <c r="U55" s="209">
        <v>3</v>
      </c>
      <c r="V55" s="209">
        <v>3</v>
      </c>
      <c r="W55" s="209">
        <v>3</v>
      </c>
      <c r="X55" s="296">
        <f>SUM(X20/X16)</f>
        <v>4.6602270801559056E-2</v>
      </c>
      <c r="Z55" s="209">
        <v>4</v>
      </c>
      <c r="AA55" s="209">
        <v>4</v>
      </c>
      <c r="AB55" s="209">
        <v>4</v>
      </c>
      <c r="AC55" s="209">
        <v>4</v>
      </c>
      <c r="AD55" s="296">
        <f>SUM(AD20/AD16)</f>
        <v>3.5704721949477818E-2</v>
      </c>
      <c r="AF55" s="209">
        <v>5</v>
      </c>
      <c r="AG55" s="209">
        <v>5</v>
      </c>
      <c r="AH55" s="209">
        <v>6</v>
      </c>
      <c r="AI55" s="209">
        <v>6</v>
      </c>
      <c r="AJ55" s="296">
        <f>SUM(AJ20/AJ16)</f>
        <v>3.1676553590969304E-2</v>
      </c>
    </row>
    <row r="56" spans="1:36" ht="15" customHeight="1" x14ac:dyDescent="0.3">
      <c r="A56" s="241" t="s">
        <v>1</v>
      </c>
      <c r="B56" s="244">
        <v>13</v>
      </c>
      <c r="C56" s="244">
        <v>13</v>
      </c>
      <c r="D56" s="244">
        <v>12</v>
      </c>
      <c r="E56" s="244">
        <v>12</v>
      </c>
      <c r="F56" s="297"/>
      <c r="G56" s="142"/>
      <c r="H56" s="87">
        <v>12</v>
      </c>
      <c r="I56" s="87">
        <v>12</v>
      </c>
      <c r="J56" s="87">
        <v>12</v>
      </c>
      <c r="K56" s="87">
        <v>12</v>
      </c>
      <c r="L56" s="298">
        <f>SUM(L26/L16)</f>
        <v>1.0328905755850728</v>
      </c>
      <c r="M56" s="142"/>
      <c r="N56" s="87">
        <v>12</v>
      </c>
      <c r="O56" s="87">
        <v>12</v>
      </c>
      <c r="P56" s="87">
        <v>12</v>
      </c>
      <c r="Q56" s="244">
        <v>12</v>
      </c>
      <c r="R56" s="299">
        <f>SUM(R26/R16)</f>
        <v>0.70218579234972678</v>
      </c>
      <c r="T56" s="244">
        <v>12</v>
      </c>
      <c r="U56" s="244">
        <v>12</v>
      </c>
      <c r="V56" s="244">
        <v>13</v>
      </c>
      <c r="W56" s="244">
        <v>13</v>
      </c>
      <c r="X56" s="299">
        <f>SUM(X26/X16)</f>
        <v>0.31553973902728349</v>
      </c>
      <c r="Z56" s="244">
        <v>14</v>
      </c>
      <c r="AA56" s="244">
        <v>14</v>
      </c>
      <c r="AB56" s="244">
        <v>14</v>
      </c>
      <c r="AC56" s="244">
        <v>14</v>
      </c>
      <c r="AD56" s="299">
        <f>SUM(AD26/AD16)</f>
        <v>0.189949120771222</v>
      </c>
      <c r="AF56" s="244">
        <v>16</v>
      </c>
      <c r="AG56" s="244">
        <v>16</v>
      </c>
      <c r="AH56" s="244">
        <v>16</v>
      </c>
      <c r="AI56" s="244">
        <v>18</v>
      </c>
      <c r="AJ56" s="299">
        <f>SUM(AJ26/AJ16)</f>
        <v>0.14444508437482001</v>
      </c>
    </row>
    <row r="57" spans="1:36" ht="15" customHeight="1" x14ac:dyDescent="0.3">
      <c r="A57" s="241" t="s">
        <v>73</v>
      </c>
      <c r="B57" s="241">
        <v>2</v>
      </c>
      <c r="C57" s="241">
        <v>2</v>
      </c>
      <c r="D57" s="241">
        <v>1</v>
      </c>
      <c r="E57" s="241">
        <v>1</v>
      </c>
      <c r="F57" s="142"/>
      <c r="G57" s="142"/>
      <c r="H57" s="233">
        <v>2</v>
      </c>
      <c r="I57" s="233">
        <v>4</v>
      </c>
      <c r="J57" s="233">
        <v>4</v>
      </c>
      <c r="K57" s="233">
        <v>2</v>
      </c>
      <c r="L57" s="300"/>
      <c r="M57" s="142"/>
      <c r="N57" s="233">
        <v>3</v>
      </c>
      <c r="O57" s="233">
        <v>5</v>
      </c>
      <c r="P57" s="233">
        <v>5</v>
      </c>
      <c r="Q57" s="241">
        <v>5</v>
      </c>
      <c r="R57" s="296"/>
      <c r="T57" s="241">
        <v>7</v>
      </c>
      <c r="U57" s="241">
        <v>8</v>
      </c>
      <c r="V57" s="241">
        <v>10</v>
      </c>
      <c r="W57" s="241">
        <v>12</v>
      </c>
      <c r="X57" s="296"/>
      <c r="Z57" s="241">
        <v>14</v>
      </c>
      <c r="AA57" s="241">
        <v>16</v>
      </c>
      <c r="AB57" s="241">
        <v>18</v>
      </c>
      <c r="AC57" s="241">
        <v>20</v>
      </c>
      <c r="AD57" s="296"/>
      <c r="AF57" s="241">
        <v>22</v>
      </c>
      <c r="AG57" s="241">
        <v>24</v>
      </c>
      <c r="AH57" s="241">
        <v>26</v>
      </c>
      <c r="AI57" s="241">
        <v>28</v>
      </c>
      <c r="AJ57" s="296"/>
    </row>
    <row r="58" spans="1:36" ht="15" customHeight="1" x14ac:dyDescent="0.3">
      <c r="A58" s="241" t="s">
        <v>74</v>
      </c>
      <c r="B58" s="244">
        <v>1</v>
      </c>
      <c r="C58" s="244">
        <v>1</v>
      </c>
      <c r="D58" s="244">
        <v>1</v>
      </c>
      <c r="E58" s="244">
        <v>0</v>
      </c>
      <c r="F58" s="297"/>
      <c r="G58" s="142"/>
      <c r="H58" s="87">
        <v>1</v>
      </c>
      <c r="I58" s="87">
        <v>2</v>
      </c>
      <c r="J58" s="87">
        <v>2</v>
      </c>
      <c r="K58" s="87">
        <v>2</v>
      </c>
      <c r="L58" s="298"/>
      <c r="M58" s="142"/>
      <c r="N58" s="87">
        <v>2</v>
      </c>
      <c r="O58" s="87">
        <v>2</v>
      </c>
      <c r="P58" s="87">
        <v>2</v>
      </c>
      <c r="Q58" s="244">
        <v>2</v>
      </c>
      <c r="R58" s="299"/>
      <c r="T58" s="244">
        <v>2</v>
      </c>
      <c r="U58" s="244">
        <v>3</v>
      </c>
      <c r="V58" s="244">
        <v>3</v>
      </c>
      <c r="W58" s="244">
        <v>4</v>
      </c>
      <c r="X58" s="299"/>
      <c r="Z58" s="244">
        <v>7</v>
      </c>
      <c r="AA58" s="244">
        <v>8</v>
      </c>
      <c r="AB58" s="244">
        <v>9</v>
      </c>
      <c r="AC58" s="244">
        <v>10</v>
      </c>
      <c r="AD58" s="299"/>
      <c r="AF58" s="244">
        <v>12</v>
      </c>
      <c r="AG58" s="244">
        <v>12</v>
      </c>
      <c r="AH58" s="244">
        <v>14</v>
      </c>
      <c r="AI58" s="244">
        <v>15</v>
      </c>
      <c r="AJ58" s="299"/>
    </row>
    <row r="59" spans="1:36" ht="15" customHeight="1" x14ac:dyDescent="0.3">
      <c r="A59" s="241" t="s">
        <v>75</v>
      </c>
      <c r="B59" s="241">
        <f>SUM(B57:B58)</f>
        <v>3</v>
      </c>
      <c r="C59" s="241">
        <f>SUM(C57:C58)</f>
        <v>3</v>
      </c>
      <c r="D59" s="241">
        <f>SUM(D57:D58)</f>
        <v>2</v>
      </c>
      <c r="E59" s="241">
        <f>SUM(E57:E58)</f>
        <v>1</v>
      </c>
      <c r="F59" s="142"/>
      <c r="G59" s="142"/>
      <c r="H59" s="233">
        <f>SUM(H57:H58)</f>
        <v>3</v>
      </c>
      <c r="I59" s="233">
        <f>SUM(I57:I58)</f>
        <v>6</v>
      </c>
      <c r="J59" s="233">
        <f>SUM(J57:J58)</f>
        <v>6</v>
      </c>
      <c r="K59" s="233">
        <f>SUM(K57:K58)</f>
        <v>4</v>
      </c>
      <c r="L59" s="300">
        <f>SUM(L27/L16)</f>
        <v>0.58507273877292854</v>
      </c>
      <c r="M59" s="142"/>
      <c r="N59" s="233">
        <f>SUM(N57:N58)</f>
        <v>5</v>
      </c>
      <c r="O59" s="233">
        <f>SUM(O57:O58)</f>
        <v>7</v>
      </c>
      <c r="P59" s="233">
        <f>SUM(P57:P58)</f>
        <v>7</v>
      </c>
      <c r="Q59" s="241">
        <f>SUM(Q57:Q58)</f>
        <v>7</v>
      </c>
      <c r="R59" s="296">
        <f>SUM(R27/R16)</f>
        <v>0.66237314597970331</v>
      </c>
      <c r="T59" s="241">
        <f>SUM(T57:T58)</f>
        <v>9</v>
      </c>
      <c r="U59" s="241">
        <f>SUM(U57:U58)</f>
        <v>11</v>
      </c>
      <c r="V59" s="241">
        <f>SUM(V57:V58)</f>
        <v>13</v>
      </c>
      <c r="W59" s="241">
        <f>SUM(W57:W58)</f>
        <v>16</v>
      </c>
      <c r="X59" s="296">
        <f>SUM(X27/X16)</f>
        <v>0.54448398576512458</v>
      </c>
      <c r="Z59" s="241">
        <f>SUM(Z57:Z58)</f>
        <v>21</v>
      </c>
      <c r="AA59" s="241">
        <f>SUM(AA57:AA58)</f>
        <v>24</v>
      </c>
      <c r="AB59" s="241">
        <f>SUM(AB57:AB58)</f>
        <v>27</v>
      </c>
      <c r="AC59" s="241">
        <f>SUM(AC57:AC58)</f>
        <v>30</v>
      </c>
      <c r="AD59" s="296">
        <f>SUM(AD27/AD16)</f>
        <v>0.5573507096313487</v>
      </c>
      <c r="AF59" s="241">
        <f>SUM(AF57:AF58)</f>
        <v>34</v>
      </c>
      <c r="AG59" s="241">
        <f>SUM(AG57:AG58)</f>
        <v>36</v>
      </c>
      <c r="AH59" s="241">
        <f>SUM(AH57:AH58)</f>
        <v>40</v>
      </c>
      <c r="AI59" s="241">
        <f>SUM(AI57:AI58)</f>
        <v>43</v>
      </c>
      <c r="AJ59" s="296">
        <f>SUM(AJ27/AJ16)</f>
        <v>0.54201462880838569</v>
      </c>
    </row>
    <row r="60" spans="1:36" ht="15" customHeight="1" x14ac:dyDescent="0.3">
      <c r="A60" s="241" t="s">
        <v>70</v>
      </c>
      <c r="B60" s="241">
        <v>1</v>
      </c>
      <c r="C60" s="241">
        <v>1</v>
      </c>
      <c r="D60" s="241">
        <v>2</v>
      </c>
      <c r="E60" s="241">
        <v>2</v>
      </c>
      <c r="F60" s="142"/>
      <c r="G60" s="142"/>
      <c r="H60" s="233">
        <v>2</v>
      </c>
      <c r="I60" s="233">
        <v>2</v>
      </c>
      <c r="J60" s="233">
        <v>2</v>
      </c>
      <c r="K60" s="233">
        <v>1</v>
      </c>
      <c r="L60" s="300">
        <f>SUM(L32/L16)</f>
        <v>0.27261227071473748</v>
      </c>
      <c r="M60" s="142"/>
      <c r="N60" s="233">
        <v>2</v>
      </c>
      <c r="O60" s="233">
        <v>2</v>
      </c>
      <c r="P60" s="233">
        <v>2</v>
      </c>
      <c r="Q60" s="241">
        <v>2</v>
      </c>
      <c r="R60" s="296">
        <f>SUM(R32/R16)</f>
        <v>0.1869633099141296</v>
      </c>
      <c r="T60" s="241">
        <v>3</v>
      </c>
      <c r="U60" s="241">
        <v>3</v>
      </c>
      <c r="V60" s="241">
        <v>3</v>
      </c>
      <c r="W60" s="241">
        <v>3</v>
      </c>
      <c r="X60" s="296">
        <f>SUM(X32/X16)</f>
        <v>0.10574478901881038</v>
      </c>
      <c r="Z60" s="241">
        <v>4</v>
      </c>
      <c r="AA60" s="241">
        <v>4</v>
      </c>
      <c r="AB60" s="241">
        <v>4</v>
      </c>
      <c r="AC60" s="241">
        <v>4</v>
      </c>
      <c r="AD60" s="296">
        <f>SUM(AD32/AD16)</f>
        <v>6.9802731411229141E-2</v>
      </c>
      <c r="AF60" s="241">
        <v>5</v>
      </c>
      <c r="AG60" s="241">
        <v>5</v>
      </c>
      <c r="AH60" s="241">
        <v>5</v>
      </c>
      <c r="AI60" s="241">
        <v>5</v>
      </c>
      <c r="AJ60" s="296">
        <f>SUM(AJ32/AJ16)</f>
        <v>5.2986235097621376E-2</v>
      </c>
    </row>
    <row r="61" spans="1:36" ht="15" customHeight="1" thickBot="1" x14ac:dyDescent="0.35">
      <c r="A61" s="241" t="s">
        <v>0</v>
      </c>
      <c r="B61" s="301">
        <v>6</v>
      </c>
      <c r="C61" s="301">
        <v>3</v>
      </c>
      <c r="D61" s="301">
        <v>3</v>
      </c>
      <c r="E61" s="301">
        <v>3</v>
      </c>
      <c r="F61" s="302"/>
      <c r="G61" s="142"/>
      <c r="H61" s="117">
        <v>3</v>
      </c>
      <c r="I61" s="117">
        <v>3</v>
      </c>
      <c r="J61" s="117">
        <v>3</v>
      </c>
      <c r="K61" s="117">
        <v>3</v>
      </c>
      <c r="L61" s="303">
        <f>SUM(L35/L16)</f>
        <v>0.50411132194813413</v>
      </c>
      <c r="M61" s="142"/>
      <c r="N61" s="117">
        <v>3</v>
      </c>
      <c r="O61" s="117">
        <v>3</v>
      </c>
      <c r="P61" s="117">
        <v>3</v>
      </c>
      <c r="Q61" s="301">
        <v>3</v>
      </c>
      <c r="R61" s="304">
        <f>SUM(R35/R16)</f>
        <v>0.34113973458235752</v>
      </c>
      <c r="T61" s="301">
        <v>3</v>
      </c>
      <c r="U61" s="301">
        <v>3</v>
      </c>
      <c r="V61" s="301">
        <v>3</v>
      </c>
      <c r="W61" s="301">
        <v>3</v>
      </c>
      <c r="X61" s="304">
        <f>SUM(X35/X16)</f>
        <v>0.14658532452126757</v>
      </c>
      <c r="Z61" s="301">
        <v>4</v>
      </c>
      <c r="AA61" s="301">
        <v>4</v>
      </c>
      <c r="AB61" s="301">
        <v>4</v>
      </c>
      <c r="AC61" s="301">
        <v>4</v>
      </c>
      <c r="AD61" s="304">
        <f>SUM(AD35/AD16)</f>
        <v>9.765241453182183E-2</v>
      </c>
      <c r="AF61" s="301">
        <v>4</v>
      </c>
      <c r="AG61" s="301">
        <v>5</v>
      </c>
      <c r="AH61" s="301">
        <v>5</v>
      </c>
      <c r="AI61" s="301">
        <v>5</v>
      </c>
      <c r="AJ61" s="304">
        <f>SUM(AJ35/AJ16)</f>
        <v>6.8190980821286648E-2</v>
      </c>
    </row>
    <row r="62" spans="1:36" ht="15" customHeight="1" thickTop="1" x14ac:dyDescent="0.3">
      <c r="A62" s="241" t="s">
        <v>57</v>
      </c>
      <c r="B62" s="305">
        <f>SUM(B55,B56,B59,B60,B61)</f>
        <v>25</v>
      </c>
      <c r="C62" s="305">
        <f>SUM(C55,C56,C59,C60,C61)</f>
        <v>23</v>
      </c>
      <c r="D62" s="305">
        <f>SUM(D55,D56,D59,D60,D61)</f>
        <v>21</v>
      </c>
      <c r="E62" s="305">
        <f>SUM(E55,E56,E59,E60,E61)</f>
        <v>20</v>
      </c>
      <c r="F62" s="306"/>
      <c r="G62" s="142"/>
      <c r="H62" s="307">
        <f>SUM(H55:H56,H59,H60,H61)</f>
        <v>22</v>
      </c>
      <c r="I62" s="307">
        <f>SUM(I55:I56,I59,I60,I61)</f>
        <v>25</v>
      </c>
      <c r="J62" s="307">
        <f>SUM(J55:J56,J59,J60,J61)</f>
        <v>25</v>
      </c>
      <c r="K62" s="307">
        <f>SUM(K55:K56,K59,K60,K61)</f>
        <v>22</v>
      </c>
      <c r="L62" s="300">
        <f>SUM(L55:L61)</f>
        <v>2.6407337128399746</v>
      </c>
      <c r="M62" s="142"/>
      <c r="N62" s="307">
        <f>SUM(N55,N56,N59,N60,N61)</f>
        <v>23</v>
      </c>
      <c r="O62" s="307">
        <f>SUM(O55,O56,O59,O60,O61)</f>
        <v>26</v>
      </c>
      <c r="P62" s="307">
        <f>SUM(P55,P56,P59,P60,P61)</f>
        <v>26</v>
      </c>
      <c r="Q62" s="305">
        <f>SUM(Q55,Q56,Q59,Q60,Q61)</f>
        <v>26</v>
      </c>
      <c r="R62" s="308">
        <f>SUM(R55:R61)</f>
        <v>1.9516003122560499</v>
      </c>
      <c r="T62" s="305">
        <f>SUM(T55,T56,T59,T60,T61)</f>
        <v>29</v>
      </c>
      <c r="U62" s="305">
        <f>SUM(U55,U56,U59,U60,U61)</f>
        <v>32</v>
      </c>
      <c r="V62" s="305">
        <f>SUM(V55,V56,V59,V60,V61)</f>
        <v>35</v>
      </c>
      <c r="W62" s="305">
        <f>SUM(W55,W56,W59,W60,W61)</f>
        <v>38</v>
      </c>
      <c r="X62" s="308">
        <f>SUM(X55:X61)</f>
        <v>1.158956109134045</v>
      </c>
      <c r="Z62" s="305">
        <f>SUM(Z55,Z56,Z59,Z60,Z61)</f>
        <v>47</v>
      </c>
      <c r="AA62" s="305">
        <f>SUM(AA55,AA56,AA59,AA60,AA61)</f>
        <v>50</v>
      </c>
      <c r="AB62" s="305">
        <f>SUM(AB55,AB56,AB59,AB60,AB61)</f>
        <v>53</v>
      </c>
      <c r="AC62" s="305">
        <f>SUM(AC55,AC56,AC59,AC60,AC61)</f>
        <v>56</v>
      </c>
      <c r="AD62" s="308">
        <f>SUM(AD55:AD61)</f>
        <v>0.95045969829509958</v>
      </c>
      <c r="AF62" s="305">
        <f>SUM(AF55,AF56,AF59,AF60,AF61)</f>
        <v>64</v>
      </c>
      <c r="AG62" s="305">
        <f>SUM(AG55,AG56,AG59,AG60,AG61)</f>
        <v>67</v>
      </c>
      <c r="AH62" s="305">
        <f>SUM(AH55,AH56,AH59,AH60,AH61)</f>
        <v>72</v>
      </c>
      <c r="AI62" s="305">
        <f>SUM(AI55,AI56,AI59,AI60,AI61)</f>
        <v>77</v>
      </c>
      <c r="AJ62" s="308">
        <f>SUM(AJ55:AJ61)</f>
        <v>0.83931348269308292</v>
      </c>
    </row>
    <row r="64" spans="1:36" ht="28.5" customHeight="1" x14ac:dyDescent="0.3">
      <c r="A64" s="309"/>
      <c r="B64" s="353" t="s">
        <v>76</v>
      </c>
      <c r="C64" s="353"/>
      <c r="D64" s="353"/>
      <c r="E64" s="353"/>
      <c r="F64" s="310">
        <v>250</v>
      </c>
      <c r="G64" s="309"/>
      <c r="H64" s="353" t="s">
        <v>76</v>
      </c>
      <c r="I64" s="353"/>
      <c r="J64" s="353"/>
      <c r="K64" s="353"/>
      <c r="L64" s="310">
        <v>300</v>
      </c>
      <c r="M64" s="309"/>
      <c r="N64" s="353" t="s">
        <v>76</v>
      </c>
      <c r="O64" s="353"/>
      <c r="P64" s="353"/>
      <c r="Q64" s="353"/>
      <c r="R64" s="310">
        <v>300</v>
      </c>
      <c r="T64" s="353" t="s">
        <v>76</v>
      </c>
      <c r="U64" s="353"/>
      <c r="V64" s="353"/>
      <c r="W64" s="353"/>
      <c r="X64" s="310">
        <v>300</v>
      </c>
      <c r="Z64" s="353" t="s">
        <v>76</v>
      </c>
      <c r="AA64" s="353"/>
      <c r="AB64" s="353"/>
      <c r="AC64" s="353"/>
      <c r="AD64" s="310">
        <v>300</v>
      </c>
      <c r="AF64" s="353" t="s">
        <v>76</v>
      </c>
      <c r="AG64" s="353"/>
      <c r="AH64" s="353"/>
      <c r="AI64" s="353"/>
      <c r="AJ64" s="310">
        <v>300</v>
      </c>
    </row>
    <row r="65" spans="1:36" ht="14.25" customHeight="1" x14ac:dyDescent="0.3">
      <c r="A65" s="309"/>
      <c r="B65" s="311"/>
      <c r="C65" s="311"/>
      <c r="D65" s="311"/>
      <c r="E65" s="311"/>
      <c r="F65" s="310"/>
      <c r="G65" s="309"/>
      <c r="H65" s="311"/>
      <c r="I65" s="311"/>
      <c r="J65" s="311"/>
      <c r="K65" s="311"/>
      <c r="L65" s="310"/>
      <c r="M65" s="309"/>
      <c r="N65" s="311"/>
      <c r="O65" s="311"/>
      <c r="P65" s="311"/>
      <c r="Q65" s="311"/>
      <c r="R65" s="310"/>
      <c r="T65" s="311"/>
      <c r="U65" s="311"/>
      <c r="V65" s="311"/>
      <c r="W65" s="311"/>
      <c r="X65" s="310"/>
      <c r="Z65" s="311"/>
      <c r="AA65" s="311"/>
      <c r="AB65" s="311"/>
      <c r="AC65" s="311"/>
      <c r="AD65" s="310"/>
      <c r="AF65" s="345"/>
      <c r="AG65" s="345"/>
      <c r="AH65" s="345"/>
      <c r="AI65" s="345"/>
      <c r="AJ65" s="310"/>
    </row>
    <row r="66" spans="1:36" x14ac:dyDescent="0.3">
      <c r="D66" s="318" t="s">
        <v>105</v>
      </c>
      <c r="H66" s="312"/>
      <c r="I66" s="312"/>
      <c r="J66" s="312"/>
      <c r="K66" s="312"/>
      <c r="L66" s="310"/>
      <c r="M66" s="57"/>
      <c r="N66" s="312">
        <f>SUM(R64*(K57))</f>
        <v>600</v>
      </c>
      <c r="O66" s="312">
        <f>SUM(R64*(N57))</f>
        <v>900</v>
      </c>
      <c r="P66" s="312">
        <f>SUM(R64*(O57))</f>
        <v>1500</v>
      </c>
      <c r="Q66" s="312">
        <f>SUM(R64*(O57))</f>
        <v>1500</v>
      </c>
      <c r="R66" s="310">
        <f>SUM(N66:Q66)</f>
        <v>4500</v>
      </c>
      <c r="S66" s="57"/>
      <c r="T66" s="312">
        <f>SUM(X64*(P57))</f>
        <v>1500</v>
      </c>
      <c r="U66" s="312">
        <f>SUM(X64*(Q57))</f>
        <v>1500</v>
      </c>
      <c r="V66" s="312">
        <f>SUM(X64*(T57))</f>
        <v>2100</v>
      </c>
      <c r="W66" s="312">
        <f>SUM(X64*(U57))</f>
        <v>2400</v>
      </c>
      <c r="X66" s="310">
        <f>SUM(T66:W66)</f>
        <v>7500</v>
      </c>
      <c r="Y66" s="57"/>
      <c r="Z66" s="312">
        <f>SUM(AD64*(V57))</f>
        <v>3000</v>
      </c>
      <c r="AA66" s="312">
        <f>SUM(AD64*(W57))</f>
        <v>3600</v>
      </c>
      <c r="AB66" s="312">
        <f>SUM(AD64*(Z57))</f>
        <v>4200</v>
      </c>
      <c r="AC66" s="312">
        <f>SUM(AD64*(AA57))</f>
        <v>4800</v>
      </c>
      <c r="AD66" s="310">
        <f>SUM(Z66:AC66)</f>
        <v>15600</v>
      </c>
      <c r="AE66" s="57"/>
      <c r="AF66" s="312">
        <f>SUM(AJ64*(AB57))</f>
        <v>5400</v>
      </c>
      <c r="AG66" s="312">
        <f>SUM(AJ64*(AC57))</f>
        <v>6000</v>
      </c>
      <c r="AH66" s="312">
        <f>SUM(AJ64*(AF57))</f>
        <v>6600</v>
      </c>
      <c r="AI66" s="312">
        <f>SUM(AJ64*(AG57))</f>
        <v>7200</v>
      </c>
      <c r="AJ66" s="310">
        <f>SUM(AF66:AI66)</f>
        <v>25200</v>
      </c>
    </row>
    <row r="67" spans="1:36" x14ac:dyDescent="0.3">
      <c r="D67" s="318" t="s">
        <v>107</v>
      </c>
      <c r="H67" s="312"/>
      <c r="I67" s="312"/>
      <c r="J67" s="312"/>
      <c r="K67" s="312"/>
      <c r="L67" s="310"/>
      <c r="M67" s="57"/>
      <c r="N67" s="312">
        <f>SUM(R64*(K57))*0.8</f>
        <v>480</v>
      </c>
      <c r="O67" s="312">
        <f>SUM(R64*(N57))*0.8</f>
        <v>720</v>
      </c>
      <c r="P67" s="312">
        <f>SUM(R64*(O57))*0.8</f>
        <v>1200</v>
      </c>
      <c r="Q67" s="312">
        <f>SUM(Q66*0.8)</f>
        <v>1200</v>
      </c>
      <c r="R67" s="310">
        <f>SUM(N67:Q67)</f>
        <v>3600</v>
      </c>
      <c r="S67" s="57"/>
      <c r="T67" s="312">
        <f t="shared" ref="T67:W67" si="13">SUM(T66*0.8)</f>
        <v>1200</v>
      </c>
      <c r="U67" s="312">
        <f t="shared" si="13"/>
        <v>1200</v>
      </c>
      <c r="V67" s="312">
        <f t="shared" si="13"/>
        <v>1680</v>
      </c>
      <c r="W67" s="312">
        <f t="shared" si="13"/>
        <v>1920</v>
      </c>
      <c r="X67" s="310">
        <f>SUM(T67:W67)</f>
        <v>6000</v>
      </c>
      <c r="Y67" s="57"/>
      <c r="Z67" s="312">
        <f t="shared" ref="Z67:AC67" si="14">SUM(Z66*0.8)</f>
        <v>2400</v>
      </c>
      <c r="AA67" s="312">
        <f t="shared" si="14"/>
        <v>2880</v>
      </c>
      <c r="AB67" s="312">
        <f t="shared" si="14"/>
        <v>3360</v>
      </c>
      <c r="AC67" s="312">
        <f t="shared" si="14"/>
        <v>3840</v>
      </c>
      <c r="AD67" s="310">
        <f>SUM(Z67:AC67)</f>
        <v>12480</v>
      </c>
      <c r="AE67" s="57"/>
      <c r="AF67" s="312">
        <f t="shared" ref="AF67:AI67" si="15">SUM(AF66*0.8)</f>
        <v>4320</v>
      </c>
      <c r="AG67" s="312">
        <f t="shared" si="15"/>
        <v>4800</v>
      </c>
      <c r="AH67" s="312">
        <f t="shared" si="15"/>
        <v>5280</v>
      </c>
      <c r="AI67" s="312">
        <f t="shared" si="15"/>
        <v>5760</v>
      </c>
      <c r="AJ67" s="310">
        <f>SUM(AF67:AI67)</f>
        <v>20160</v>
      </c>
    </row>
  </sheetData>
  <mergeCells count="17">
    <mergeCell ref="AF5:AJ5"/>
    <mergeCell ref="AF64:AI64"/>
    <mergeCell ref="A2:AJ2"/>
    <mergeCell ref="A3:AJ3"/>
    <mergeCell ref="T64:W64"/>
    <mergeCell ref="Z64:AC64"/>
    <mergeCell ref="A7:B7"/>
    <mergeCell ref="A50:F50"/>
    <mergeCell ref="A52:F52"/>
    <mergeCell ref="B64:E64"/>
    <mergeCell ref="H64:K64"/>
    <mergeCell ref="N64:Q64"/>
    <mergeCell ref="B5:F5"/>
    <mergeCell ref="H5:L5"/>
    <mergeCell ref="N5:R5"/>
    <mergeCell ref="T5:X5"/>
    <mergeCell ref="Z5:AD5"/>
  </mergeCells>
  <pageMargins left="0.2" right="0.2" top="1" bottom="0.75" header="0.3" footer="0.3"/>
  <pageSetup scale="46" orientation="landscape" r:id="rId1"/>
  <headerFooter>
    <oddFooter>&amp;L&amp;"-,Bold" Reflex Systems Confidential&amp;C&amp;D&amp;RPage &amp;P</oddFooter>
  </headerFooter>
  <ignoredErrors>
    <ignoredError sqref="P13:Q13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"/>
  <sheetViews>
    <sheetView workbookViewId="0">
      <selection activeCell="E9" sqref="E9"/>
    </sheetView>
  </sheetViews>
  <sheetFormatPr defaultColWidth="9.109375" defaultRowHeight="13.8" x14ac:dyDescent="0.25"/>
  <cols>
    <col min="1" max="1" width="48.33203125" style="324" customWidth="1"/>
    <col min="2" max="4" width="9" style="324" bestFit="1" customWidth="1"/>
    <col min="5" max="5" width="12.6640625" style="324" bestFit="1" customWidth="1"/>
    <col min="6" max="6" width="3.6640625" style="324" customWidth="1"/>
    <col min="7" max="7" width="11.33203125" style="324" bestFit="1" customWidth="1"/>
    <col min="8" max="10" width="9.44140625" style="324" bestFit="1" customWidth="1"/>
    <col min="11" max="11" width="3.6640625" style="324" customWidth="1"/>
    <col min="12" max="15" width="9.44140625" style="324" bestFit="1" customWidth="1"/>
    <col min="16" max="16384" width="9.109375" style="324"/>
  </cols>
  <sheetData>
    <row r="1" spans="1:15" x14ac:dyDescent="0.25">
      <c r="A1" s="324" t="s">
        <v>118</v>
      </c>
    </row>
    <row r="2" spans="1:15" s="328" customFormat="1" x14ac:dyDescent="0.25">
      <c r="A2" s="325" t="s">
        <v>119</v>
      </c>
      <c r="B2" s="326" t="s">
        <v>120</v>
      </c>
      <c r="C2" s="326" t="s">
        <v>121</v>
      </c>
      <c r="D2" s="326" t="s">
        <v>122</v>
      </c>
      <c r="E2" s="326" t="s">
        <v>123</v>
      </c>
      <c r="F2" s="327"/>
      <c r="G2" s="326" t="s">
        <v>124</v>
      </c>
      <c r="H2" s="326" t="s">
        <v>125</v>
      </c>
      <c r="I2" s="326" t="s">
        <v>126</v>
      </c>
      <c r="J2" s="326" t="s">
        <v>127</v>
      </c>
      <c r="K2" s="327"/>
      <c r="L2" s="326" t="s">
        <v>128</v>
      </c>
      <c r="M2" s="326" t="s">
        <v>129</v>
      </c>
      <c r="N2" s="326" t="s">
        <v>130</v>
      </c>
      <c r="O2" s="326" t="s">
        <v>131</v>
      </c>
    </row>
    <row r="3" spans="1:15" s="328" customFormat="1" x14ac:dyDescent="0.25">
      <c r="A3" s="329" t="s">
        <v>118</v>
      </c>
      <c r="B3" s="330"/>
      <c r="C3" s="330"/>
      <c r="F3" s="331"/>
      <c r="K3" s="331"/>
    </row>
    <row r="4" spans="1:15" s="328" customFormat="1" x14ac:dyDescent="0.25">
      <c r="A4" s="329"/>
      <c r="B4" s="332"/>
      <c r="C4" s="332"/>
      <c r="F4" s="331"/>
      <c r="K4" s="331"/>
    </row>
    <row r="5" spans="1:15" s="328" customFormat="1" x14ac:dyDescent="0.25">
      <c r="A5" s="329" t="s">
        <v>132</v>
      </c>
      <c r="B5" s="333">
        <v>2869</v>
      </c>
      <c r="C5" s="333">
        <f>+B22</f>
        <v>1928</v>
      </c>
      <c r="D5" s="334">
        <f>+C22</f>
        <v>1332.4</v>
      </c>
      <c r="E5" s="334">
        <f>+D22</f>
        <v>830.40000000000009</v>
      </c>
      <c r="F5" s="331"/>
      <c r="G5" s="334">
        <f>+E22</f>
        <v>190.40000000000009</v>
      </c>
      <c r="H5" s="334">
        <f>+G22</f>
        <v>-631.59999999999991</v>
      </c>
      <c r="I5" s="334">
        <f>+H22</f>
        <v>-1304.5999999999999</v>
      </c>
      <c r="J5" s="334">
        <f>+I22</f>
        <v>-2138.6</v>
      </c>
      <c r="K5" s="331"/>
      <c r="L5" s="334">
        <f>+J22</f>
        <v>-2778.6</v>
      </c>
      <c r="M5" s="334">
        <f>+L22</f>
        <v>-3532.6</v>
      </c>
      <c r="N5" s="334">
        <f>+M22</f>
        <v>-3959.6</v>
      </c>
      <c r="O5" s="334">
        <f>+N22</f>
        <v>-4193.6000000000004</v>
      </c>
    </row>
    <row r="6" spans="1:15" s="328" customFormat="1" x14ac:dyDescent="0.25">
      <c r="A6" s="329" t="s">
        <v>118</v>
      </c>
      <c r="B6" s="333"/>
      <c r="C6" s="333"/>
      <c r="F6" s="331"/>
      <c r="K6" s="331"/>
    </row>
    <row r="7" spans="1:15" s="328" customFormat="1" x14ac:dyDescent="0.25">
      <c r="A7" s="329" t="s">
        <v>133</v>
      </c>
      <c r="B7" s="333">
        <f>+'P&amp;L Summary base case EXT'!N14</f>
        <v>117</v>
      </c>
      <c r="C7" s="333">
        <f>+'P&amp;L Summary base case EXT'!O14</f>
        <v>79</v>
      </c>
      <c r="D7" s="333">
        <f>+'P&amp;L Summary base case EXT'!P14</f>
        <v>110</v>
      </c>
      <c r="E7" s="333">
        <f>+'P&amp;L Summary base case EXT'!Q14</f>
        <v>50</v>
      </c>
      <c r="F7" s="331"/>
      <c r="G7" s="333">
        <f>+'[1]P&amp;L Summary base case'!T77</f>
        <v>0</v>
      </c>
      <c r="H7" s="333">
        <f>+'[1]P&amp;L Summary base case'!U77</f>
        <v>0</v>
      </c>
      <c r="I7" s="333">
        <f>+'[1]P&amp;L Summary base case'!V77</f>
        <v>0</v>
      </c>
      <c r="J7" s="333">
        <f>+'[1]P&amp;L Summary base case'!W77</f>
        <v>0</v>
      </c>
      <c r="K7" s="331"/>
      <c r="L7" s="333">
        <f>+'[1]P&amp;L Summary base case'!Z77</f>
        <v>0</v>
      </c>
      <c r="M7" s="333">
        <f>+'[1]P&amp;L Summary base case'!AA77</f>
        <v>0</v>
      </c>
      <c r="N7" s="333">
        <f>+'[1]P&amp;L Summary base case'!AB77</f>
        <v>0</v>
      </c>
      <c r="O7" s="333">
        <f>+'[1]P&amp;L Summary base case'!AC77</f>
        <v>0</v>
      </c>
    </row>
    <row r="8" spans="1:15" s="328" customFormat="1" x14ac:dyDescent="0.25">
      <c r="A8" s="329" t="s">
        <v>134</v>
      </c>
      <c r="B8" s="333">
        <f>407-29-170</f>
        <v>208</v>
      </c>
      <c r="C8" s="333">
        <f>+'P&amp;L Summary base case EXT'!H8*0.8+153</f>
        <v>467.40000000000003</v>
      </c>
      <c r="D8" s="333">
        <f>10+5+75+35+5+205+200+17</f>
        <v>552</v>
      </c>
      <c r="E8" s="333">
        <f>50+50+365+140+28+8+12+31+35</f>
        <v>719</v>
      </c>
      <c r="F8" s="331"/>
      <c r="G8" s="333">
        <f>+'P&amp;L Summary base case EXT'!Q8*0.8</f>
        <v>680</v>
      </c>
      <c r="H8" s="333">
        <f>+'P&amp;L Summary base case EXT'!T8*0.8</f>
        <v>960</v>
      </c>
      <c r="I8" s="333">
        <f>+'P&amp;L Summary base case EXT'!U8*0.8</f>
        <v>960</v>
      </c>
      <c r="J8" s="333">
        <f>+'P&amp;L Summary base case EXT'!V8*0.8</f>
        <v>1280</v>
      </c>
      <c r="K8" s="331"/>
      <c r="L8" s="333">
        <f>+'P&amp;L Summary base case EXT'!W8*0.8</f>
        <v>1600</v>
      </c>
      <c r="M8" s="333">
        <f>+'P&amp;L Summary base case EXT'!Z8*0.8</f>
        <v>1920</v>
      </c>
      <c r="N8" s="333">
        <f>+'P&amp;L Summary base case EXT'!AA8*0.8</f>
        <v>2240</v>
      </c>
      <c r="O8" s="333">
        <f>+'P&amp;L Summary base case EXT'!AB8*0.8</f>
        <v>2640</v>
      </c>
    </row>
    <row r="9" spans="1:15" s="328" customFormat="1" x14ac:dyDescent="0.25">
      <c r="A9" s="329" t="s">
        <v>146</v>
      </c>
      <c r="B9" s="333">
        <v>0</v>
      </c>
      <c r="C9" s="333">
        <v>0</v>
      </c>
      <c r="D9" s="333">
        <v>0</v>
      </c>
      <c r="E9" s="333">
        <v>0</v>
      </c>
      <c r="F9" s="331" t="s">
        <v>118</v>
      </c>
      <c r="G9" s="333">
        <v>0</v>
      </c>
      <c r="H9" s="333">
        <v>0</v>
      </c>
      <c r="I9" s="333">
        <v>0</v>
      </c>
      <c r="J9" s="333">
        <v>0</v>
      </c>
      <c r="K9" s="331"/>
      <c r="L9" s="333">
        <v>0</v>
      </c>
      <c r="M9" s="333">
        <v>0</v>
      </c>
      <c r="N9" s="333">
        <v>0</v>
      </c>
      <c r="O9" s="333">
        <v>0</v>
      </c>
    </row>
    <row r="10" spans="1:15" s="328" customFormat="1" x14ac:dyDescent="0.25">
      <c r="A10" s="329" t="s">
        <v>135</v>
      </c>
      <c r="B10" s="333">
        <v>8</v>
      </c>
      <c r="C10" s="333">
        <v>4</v>
      </c>
      <c r="D10" s="333">
        <v>0</v>
      </c>
      <c r="E10" s="333">
        <v>0</v>
      </c>
      <c r="F10" s="331"/>
      <c r="G10" s="333">
        <v>0</v>
      </c>
      <c r="H10" s="333">
        <v>0</v>
      </c>
      <c r="I10" s="333">
        <v>0</v>
      </c>
      <c r="J10" s="333">
        <v>0</v>
      </c>
      <c r="K10" s="331"/>
      <c r="L10" s="333">
        <v>0</v>
      </c>
      <c r="M10" s="333">
        <v>0</v>
      </c>
      <c r="N10" s="333">
        <v>0</v>
      </c>
      <c r="O10" s="333">
        <v>0</v>
      </c>
    </row>
    <row r="11" spans="1:15" s="328" customFormat="1" x14ac:dyDescent="0.25">
      <c r="A11" s="329" t="s">
        <v>136</v>
      </c>
      <c r="B11" s="335">
        <f>SUM(B7:B10)</f>
        <v>333</v>
      </c>
      <c r="C11" s="335">
        <f>SUM(C7:C10)</f>
        <v>550.40000000000009</v>
      </c>
      <c r="D11" s="335">
        <f>SUM(D7:D10)</f>
        <v>662</v>
      </c>
      <c r="E11" s="335">
        <f>SUM(E7:E10)</f>
        <v>769</v>
      </c>
      <c r="F11" s="331"/>
      <c r="G11" s="335">
        <f>SUM(G7:G10)</f>
        <v>680</v>
      </c>
      <c r="H11" s="335">
        <f>SUM(H7:H10)</f>
        <v>960</v>
      </c>
      <c r="I11" s="335">
        <f>SUM(I7:I10)</f>
        <v>960</v>
      </c>
      <c r="J11" s="335">
        <f>SUM(J7:J10)</f>
        <v>1280</v>
      </c>
      <c r="K11" s="331"/>
      <c r="L11" s="335">
        <f>SUM(L7:L10)</f>
        <v>1600</v>
      </c>
      <c r="M11" s="335">
        <f>SUM(M7:M10)</f>
        <v>1920</v>
      </c>
      <c r="N11" s="335">
        <f>SUM(N7:N10)</f>
        <v>2240</v>
      </c>
      <c r="O11" s="335">
        <f>SUM(O7:O10)</f>
        <v>2640</v>
      </c>
    </row>
    <row r="12" spans="1:15" s="328" customFormat="1" x14ac:dyDescent="0.25">
      <c r="A12" s="329"/>
      <c r="B12" s="333"/>
      <c r="C12" s="333"/>
      <c r="F12" s="331"/>
      <c r="K12" s="331"/>
    </row>
    <row r="13" spans="1:15" s="328" customFormat="1" x14ac:dyDescent="0.25">
      <c r="A13" s="329" t="s">
        <v>137</v>
      </c>
      <c r="B13" s="333">
        <f>+-'P&amp;L Summary base case EXT'!N26</f>
        <v>-503</v>
      </c>
      <c r="C13" s="333">
        <f>+-'P&amp;L Summary base case EXT'!O26</f>
        <v>-428</v>
      </c>
      <c r="D13" s="333">
        <f>+-'P&amp;L Summary base case EXT'!P26</f>
        <v>-433</v>
      </c>
      <c r="E13" s="333">
        <f>+-'P&amp;L Summary base case EXT'!Q26</f>
        <v>-435</v>
      </c>
      <c r="F13" s="331"/>
      <c r="G13" s="333">
        <f>+-'P&amp;L Summary base case EXT'!T26</f>
        <v>-450</v>
      </c>
      <c r="H13" s="333">
        <f>+-'P&amp;L Summary base case EXT'!U26</f>
        <v>-450</v>
      </c>
      <c r="I13" s="333">
        <f>+-'P&amp;L Summary base case EXT'!V26</f>
        <v>-481</v>
      </c>
      <c r="J13" s="333">
        <f>+-'P&amp;L Summary base case EXT'!W26</f>
        <v>-481</v>
      </c>
      <c r="K13" s="331"/>
      <c r="L13" s="333">
        <f>+-'P&amp;L Summary base case EXT'!Z26</f>
        <v>-532</v>
      </c>
      <c r="M13" s="333">
        <f>+-'P&amp;L Summary base case EXT'!AA26</f>
        <v>-532</v>
      </c>
      <c r="N13" s="333">
        <f>+-'P&amp;L Summary base case EXT'!AB26</f>
        <v>-532</v>
      </c>
      <c r="O13" s="333">
        <f>+-'P&amp;L Summary base case EXT'!AC26</f>
        <v>-532</v>
      </c>
    </row>
    <row r="14" spans="1:15" s="328" customFormat="1" x14ac:dyDescent="0.25">
      <c r="A14" s="329" t="s">
        <v>138</v>
      </c>
      <c r="B14" s="333">
        <f>+-'P&amp;L Summary base case EXT'!N32</f>
        <v>-98</v>
      </c>
      <c r="C14" s="333">
        <f>+-'P&amp;L Summary base case EXT'!O32</f>
        <v>-133</v>
      </c>
      <c r="D14" s="333">
        <f>+-'P&amp;L Summary base case EXT'!P32</f>
        <v>-124</v>
      </c>
      <c r="E14" s="333">
        <f>+-'P&amp;L Summary base case EXT'!Q32</f>
        <v>-124</v>
      </c>
      <c r="F14" s="331"/>
      <c r="G14" s="333">
        <f>+-'P&amp;L Summary base case EXT'!T32</f>
        <v>-146</v>
      </c>
      <c r="H14" s="333">
        <f>+-'P&amp;L Summary base case EXT'!U32</f>
        <v>-156</v>
      </c>
      <c r="I14" s="333">
        <f>+-'P&amp;L Summary base case EXT'!V32</f>
        <v>-166</v>
      </c>
      <c r="J14" s="333">
        <f>+-'P&amp;L Summary base case EXT'!W32</f>
        <v>-156</v>
      </c>
      <c r="K14" s="331"/>
      <c r="L14" s="333">
        <f>+-'P&amp;L Summary base case EXT'!Z32</f>
        <v>-188</v>
      </c>
      <c r="M14" s="333">
        <f>+-'P&amp;L Summary base case EXT'!AA32</f>
        <v>-188</v>
      </c>
      <c r="N14" s="333">
        <f>+-'P&amp;L Summary base case EXT'!AB32</f>
        <v>-198</v>
      </c>
      <c r="O14" s="333">
        <f>+-'P&amp;L Summary base case EXT'!AC32</f>
        <v>-208</v>
      </c>
    </row>
    <row r="15" spans="1:15" s="328" customFormat="1" x14ac:dyDescent="0.25">
      <c r="A15" s="329" t="s">
        <v>139</v>
      </c>
      <c r="B15" s="333">
        <f>+-'P&amp;L Summary base case EXT'!N27-'P&amp;L Summary base case EXT'!K31+'P&amp;L Summary base case EXT'!N31</f>
        <v>-391</v>
      </c>
      <c r="C15" s="333">
        <f>+-'P&amp;L Summary base case EXT'!O27-'P&amp;L Summary base case EXT'!N31+'P&amp;L Summary base case EXT'!O31</f>
        <v>-361</v>
      </c>
      <c r="D15" s="333">
        <f>+-'P&amp;L Summary base case EXT'!P27-'P&amp;L Summary base case EXT'!O31+'P&amp;L Summary base case EXT'!P31</f>
        <v>-373</v>
      </c>
      <c r="E15" s="333">
        <f>+-'P&amp;L Summary base case EXT'!Q27-'P&amp;L Summary base case EXT'!P31+'P&amp;L Summary base case EXT'!Q31</f>
        <v>-485</v>
      </c>
      <c r="F15" s="331"/>
      <c r="G15" s="333">
        <f>+-'P&amp;L Summary base case EXT'!T27+-'P&amp;L Summary base case EXT'!Q31+'P&amp;L Summary base case EXT'!T31</f>
        <v>-628</v>
      </c>
      <c r="H15" s="333">
        <f>+-'P&amp;L Summary base case EXT'!U27+'P&amp;L Summary base case EXT'!U31-'P&amp;L Summary base case EXT'!T31</f>
        <v>-722</v>
      </c>
      <c r="I15" s="333">
        <f>+-'P&amp;L Summary base case EXT'!V27+'P&amp;L Summary base case EXT'!V31-'P&amp;L Summary base case EXT'!U31</f>
        <v>-841</v>
      </c>
      <c r="J15" s="333">
        <f>+-'P&amp;L Summary base case EXT'!W27+'P&amp;L Summary base case EXT'!W31-'P&amp;L Summary base case EXT'!V31</f>
        <v>-972</v>
      </c>
      <c r="K15" s="331"/>
      <c r="L15" s="333">
        <f>-'P&amp;L Summary base case EXT'!Z27-'P&amp;L Summary base case EXT'!W31+'P&amp;L Summary base case EXT'!Z31</f>
        <v>-1247</v>
      </c>
      <c r="M15" s="333">
        <f>+-'[1]P&amp;L Summary base case'!AA53+'[1]P&amp;L Summary base case'!AA57-'[1]P&amp;L Summary base case'!Z57</f>
        <v>-1240</v>
      </c>
      <c r="N15" s="333">
        <f>+-'[1]P&amp;L Summary base case'!AB53+'[1]P&amp;L Summary base case'!AB57-'[1]P&amp;L Summary base case'!AA57</f>
        <v>-1354</v>
      </c>
      <c r="O15" s="333">
        <f>+-'[1]P&amp;L Summary base case'!AC53+'[1]P&amp;L Summary base case'!AC57-'[1]P&amp;L Summary base case'!AB57</f>
        <v>-1555</v>
      </c>
    </row>
    <row r="16" spans="1:15" s="328" customFormat="1" x14ac:dyDescent="0.25">
      <c r="A16" s="329" t="s">
        <v>140</v>
      </c>
      <c r="B16" s="333">
        <f>+-'P&amp;L Summary base case EXT'!N35</f>
        <v>-222</v>
      </c>
      <c r="C16" s="333">
        <f>+-'P&amp;L Summary base case EXT'!O35</f>
        <v>-167</v>
      </c>
      <c r="D16" s="333">
        <f>+-'P&amp;L Summary base case EXT'!P35</f>
        <v>-177</v>
      </c>
      <c r="E16" s="333">
        <f>+-'P&amp;L Summary base case EXT'!Q35</f>
        <v>-308</v>
      </c>
      <c r="F16" s="331"/>
      <c r="G16" s="333">
        <f>+-'P&amp;L Summary base case EXT'!T35</f>
        <v>-213</v>
      </c>
      <c r="H16" s="333">
        <f>+-'P&amp;L Summary base case EXT'!U35</f>
        <v>-215</v>
      </c>
      <c r="I16" s="333">
        <f>+-'P&amp;L Summary base case EXT'!V35</f>
        <v>-216</v>
      </c>
      <c r="J16" s="333">
        <f>+-'P&amp;L Summary base case EXT'!W35</f>
        <v>-221</v>
      </c>
      <c r="K16" s="331"/>
      <c r="L16" s="333">
        <f>+-'P&amp;L Summary base case EXT'!Z35</f>
        <v>-272</v>
      </c>
      <c r="M16" s="333">
        <f>+-'P&amp;L Summary base case EXT'!AA35</f>
        <v>-272</v>
      </c>
      <c r="N16" s="333">
        <f>+-'P&amp;L Summary base case EXT'!AB35</f>
        <v>-275</v>
      </c>
      <c r="O16" s="333">
        <f>+-'P&amp;L Summary base case EXT'!AC35</f>
        <v>-275</v>
      </c>
    </row>
    <row r="17" spans="1:15" s="328" customFormat="1" x14ac:dyDescent="0.25">
      <c r="A17" s="329" t="s">
        <v>141</v>
      </c>
      <c r="B17" s="333">
        <v>-35</v>
      </c>
      <c r="C17" s="333">
        <v>-15</v>
      </c>
      <c r="D17" s="333">
        <v>-15</v>
      </c>
      <c r="E17" s="333">
        <v>-15</v>
      </c>
      <c r="F17" s="331"/>
      <c r="G17" s="333">
        <f>+-15</f>
        <v>-15</v>
      </c>
      <c r="H17" s="333">
        <f>+-15</f>
        <v>-15</v>
      </c>
      <c r="I17" s="333">
        <f>+-15</f>
        <v>-15</v>
      </c>
      <c r="J17" s="333">
        <f>+-15</f>
        <v>-15</v>
      </c>
      <c r="K17" s="331"/>
      <c r="L17" s="333">
        <f>+-15</f>
        <v>-15</v>
      </c>
      <c r="M17" s="333">
        <f>+-15</f>
        <v>-15</v>
      </c>
      <c r="N17" s="333">
        <f>+-15</f>
        <v>-15</v>
      </c>
      <c r="O17" s="333">
        <f>+-15</f>
        <v>-15</v>
      </c>
    </row>
    <row r="18" spans="1:15" s="328" customFormat="1" x14ac:dyDescent="0.25">
      <c r="A18" s="329" t="s">
        <v>142</v>
      </c>
      <c r="B18" s="333">
        <f>+-'P&amp;L Summary base case EXT'!N20</f>
        <v>-25</v>
      </c>
      <c r="C18" s="333">
        <f>+-'P&amp;L Summary base case EXT'!O20</f>
        <v>-42</v>
      </c>
      <c r="D18" s="333">
        <f>+-'P&amp;L Summary base case EXT'!P20</f>
        <v>-42</v>
      </c>
      <c r="E18" s="333">
        <f>+-'P&amp;L Summary base case EXT'!Q20</f>
        <v>-42</v>
      </c>
      <c r="F18" s="331"/>
      <c r="G18" s="333">
        <f>+-'P&amp;L Summary base case EXT'!T20</f>
        <v>-50</v>
      </c>
      <c r="H18" s="333">
        <f>+-'P&amp;L Summary base case EXT'!U20</f>
        <v>-75</v>
      </c>
      <c r="I18" s="333">
        <f>+-'P&amp;L Summary base case EXT'!V20</f>
        <v>-75</v>
      </c>
      <c r="J18" s="333">
        <f>+-'P&amp;L Summary base case EXT'!W20</f>
        <v>-75</v>
      </c>
      <c r="K18" s="331"/>
      <c r="L18" s="333">
        <f>+-'P&amp;L Summary base case EXT'!Z20</f>
        <v>-100</v>
      </c>
      <c r="M18" s="333">
        <f>+-'P&amp;L Summary base case EXT'!AA20</f>
        <v>-100</v>
      </c>
      <c r="N18" s="333">
        <f>+-'P&amp;L Summary base case EXT'!AB20</f>
        <v>-100</v>
      </c>
      <c r="O18" s="333">
        <f>+-'P&amp;L Summary base case EXT'!AC20</f>
        <v>-100</v>
      </c>
    </row>
    <row r="19" spans="1:15" s="328" customFormat="1" x14ac:dyDescent="0.25">
      <c r="A19" s="329" t="s">
        <v>143</v>
      </c>
      <c r="B19" s="335">
        <f>SUM(B13:B18)</f>
        <v>-1274</v>
      </c>
      <c r="C19" s="335">
        <f>SUM(C13:C18)</f>
        <v>-1146</v>
      </c>
      <c r="D19" s="335">
        <f>SUM(D13:D18)</f>
        <v>-1164</v>
      </c>
      <c r="E19" s="335">
        <f>SUM(E13:E18)</f>
        <v>-1409</v>
      </c>
      <c r="F19" s="331"/>
      <c r="G19" s="335">
        <f>SUM(G13:G18)</f>
        <v>-1502</v>
      </c>
      <c r="H19" s="335">
        <f>SUM(H13:H18)</f>
        <v>-1633</v>
      </c>
      <c r="I19" s="335">
        <f>SUM(I13:I18)</f>
        <v>-1794</v>
      </c>
      <c r="J19" s="335">
        <f>SUM(J13:J18)</f>
        <v>-1920</v>
      </c>
      <c r="K19" s="331"/>
      <c r="L19" s="335">
        <f>SUM(L13:L18)</f>
        <v>-2354</v>
      </c>
      <c r="M19" s="335">
        <f>SUM(M13:M18)</f>
        <v>-2347</v>
      </c>
      <c r="N19" s="335">
        <f>SUM(N13:N18)</f>
        <v>-2474</v>
      </c>
      <c r="O19" s="335">
        <f>SUM(O13:O18)</f>
        <v>-2685</v>
      </c>
    </row>
    <row r="20" spans="1:15" s="328" customFormat="1" x14ac:dyDescent="0.25">
      <c r="A20" s="329"/>
      <c r="B20" s="333" t="s">
        <v>118</v>
      </c>
      <c r="C20" s="333" t="s">
        <v>118</v>
      </c>
      <c r="D20" s="333" t="s">
        <v>118</v>
      </c>
      <c r="F20" s="331"/>
      <c r="K20" s="331"/>
    </row>
    <row r="21" spans="1:15" s="328" customFormat="1" x14ac:dyDescent="0.25">
      <c r="A21" s="329"/>
      <c r="B21" s="336" t="s">
        <v>118</v>
      </c>
      <c r="C21" s="336" t="s">
        <v>118</v>
      </c>
      <c r="D21" s="344" t="s">
        <v>118</v>
      </c>
      <c r="F21" s="331"/>
      <c r="K21" s="331"/>
    </row>
    <row r="22" spans="1:15" s="328" customFormat="1" ht="14.4" thickBot="1" x14ac:dyDescent="0.3">
      <c r="A22" s="329" t="s">
        <v>144</v>
      </c>
      <c r="B22" s="337">
        <f>+B5+B11+B19</f>
        <v>1928</v>
      </c>
      <c r="C22" s="337">
        <f>+C5+C11+C19</f>
        <v>1332.4</v>
      </c>
      <c r="D22" s="337">
        <f>+D5+D11+D19</f>
        <v>830.40000000000009</v>
      </c>
      <c r="E22" s="338">
        <f>+E5+E11+E19</f>
        <v>190.40000000000009</v>
      </c>
      <c r="F22" s="331"/>
      <c r="G22" s="338">
        <f>+G5+G11+G19</f>
        <v>-631.59999999999991</v>
      </c>
      <c r="H22" s="338">
        <f>+H5+H11+H19</f>
        <v>-1304.5999999999999</v>
      </c>
      <c r="I22" s="338">
        <f>+I5+I11+I19</f>
        <v>-2138.6</v>
      </c>
      <c r="J22" s="338">
        <f>+J5+J11+J19</f>
        <v>-2778.6</v>
      </c>
      <c r="K22" s="331"/>
      <c r="L22" s="338">
        <f>+L5+L11+L19</f>
        <v>-3532.6</v>
      </c>
      <c r="M22" s="338">
        <f>+M5+M11+M19</f>
        <v>-3959.6</v>
      </c>
      <c r="N22" s="338">
        <f>+N5+N11+N19</f>
        <v>-4193.6000000000004</v>
      </c>
      <c r="O22" s="338">
        <f>+O5+O11+O19</f>
        <v>-4238.6000000000004</v>
      </c>
    </row>
    <row r="23" spans="1:15" s="328" customFormat="1" ht="14.4" thickTop="1" x14ac:dyDescent="0.25">
      <c r="A23" s="329"/>
      <c r="B23" s="339"/>
      <c r="C23" s="339"/>
      <c r="D23" s="328" t="s">
        <v>118</v>
      </c>
      <c r="F23" s="331"/>
      <c r="K23" s="331"/>
    </row>
    <row r="24" spans="1:15" x14ac:dyDescent="0.25">
      <c r="A24" s="340" t="s">
        <v>145</v>
      </c>
      <c r="B24" s="341">
        <f>+B5-B22</f>
        <v>941</v>
      </c>
      <c r="C24" s="341">
        <f>+C5-C22</f>
        <v>595.59999999999991</v>
      </c>
      <c r="D24" s="341">
        <f>+D5-D22</f>
        <v>502</v>
      </c>
      <c r="E24" s="341">
        <f>+E5-E22</f>
        <v>640</v>
      </c>
      <c r="F24" s="342"/>
      <c r="G24" s="341">
        <f>+G5-G22</f>
        <v>822</v>
      </c>
      <c r="H24" s="341">
        <f>+H5-H22</f>
        <v>673</v>
      </c>
      <c r="I24" s="341">
        <f>+I5-I22</f>
        <v>834</v>
      </c>
      <c r="J24" s="341">
        <f>+J5-J22</f>
        <v>640</v>
      </c>
      <c r="K24" s="342"/>
      <c r="L24" s="341">
        <f>+L5-L22</f>
        <v>754</v>
      </c>
      <c r="M24" s="341">
        <f>+M5-M22</f>
        <v>427</v>
      </c>
      <c r="N24" s="341">
        <f>+N5-N22</f>
        <v>234.00000000000045</v>
      </c>
      <c r="O24" s="341">
        <f>+O5-O22</f>
        <v>45</v>
      </c>
    </row>
    <row r="25" spans="1:15" x14ac:dyDescent="0.25">
      <c r="B25" s="343"/>
      <c r="C25" s="343"/>
      <c r="D25" s="343"/>
      <c r="E25" s="341" t="s">
        <v>118</v>
      </c>
      <c r="F25" s="343"/>
      <c r="G25" s="343"/>
      <c r="H25" s="343"/>
      <c r="I25" s="343"/>
      <c r="J25" s="343"/>
      <c r="K25" s="343"/>
      <c r="L25" s="343"/>
      <c r="M25" s="343"/>
      <c r="N25" s="343"/>
      <c r="O25" s="343"/>
    </row>
    <row r="26" spans="1:15" x14ac:dyDescent="0.25"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</row>
    <row r="27" spans="1:15" x14ac:dyDescent="0.25"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</row>
    <row r="28" spans="1:15" x14ac:dyDescent="0.25">
      <c r="B28" s="343"/>
    </row>
    <row r="29" spans="1:15" x14ac:dyDescent="0.25">
      <c r="B29" s="343"/>
    </row>
    <row r="30" spans="1:15" x14ac:dyDescent="0.25">
      <c r="B30" s="343"/>
    </row>
    <row r="31" spans="1:15" x14ac:dyDescent="0.25">
      <c r="B31" s="343"/>
    </row>
    <row r="32" spans="1:15" x14ac:dyDescent="0.25">
      <c r="B32" s="343"/>
    </row>
    <row r="33" spans="2:2" x14ac:dyDescent="0.25">
      <c r="B33" s="343"/>
    </row>
    <row r="34" spans="2:2" x14ac:dyDescent="0.25">
      <c r="B34" s="343"/>
    </row>
    <row r="35" spans="2:2" x14ac:dyDescent="0.25">
      <c r="B35" s="343"/>
    </row>
    <row r="36" spans="2:2" x14ac:dyDescent="0.25">
      <c r="B36" s="34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Channel Reps</vt:lpstr>
      <vt:lpstr>Reflex Revenue Opportunity</vt:lpstr>
      <vt:lpstr>Reflex VSA TAM</vt:lpstr>
      <vt:lpstr>Base WW Servers &amp; Penetration</vt:lpstr>
      <vt:lpstr>P&amp;L Summary base case EXT</vt:lpstr>
      <vt:lpstr>Cash Burn</vt:lpstr>
      <vt:lpstr>'P&amp;L Summary base case EXT'!Print_Area</vt:lpstr>
    </vt:vector>
  </TitlesOfParts>
  <Company>Reflex Security,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Dept</dc:creator>
  <cp:lastModifiedBy>Pete</cp:lastModifiedBy>
  <cp:lastPrinted>2010-10-13T12:27:49Z</cp:lastPrinted>
  <dcterms:created xsi:type="dcterms:W3CDTF">2008-02-17T16:41:23Z</dcterms:created>
  <dcterms:modified xsi:type="dcterms:W3CDTF">2010-11-04T19:54:56Z</dcterms:modified>
</cp:coreProperties>
</file>