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RFS01\RedirectedFolders\mr\Desktop\"/>
    </mc:Choice>
  </mc:AlternateContent>
  <bookViews>
    <workbookView xWindow="0" yWindow="0" windowWidth="20490" windowHeight="7755" tabRatio="500"/>
  </bookViews>
  <sheets>
    <sheet name="Sheet1" sheetId="1" r:id="rId1"/>
  </sheets>
  <calcPr calcId="152511"/>
</workbook>
</file>

<file path=xl/calcChain.xml><?xml version="1.0" encoding="utf-8"?>
<calcChain xmlns="http://schemas.openxmlformats.org/spreadsheetml/2006/main">
  <c r="K41" i="1" l="1"/>
  <c r="K29" i="1"/>
  <c r="L22" i="1" l="1"/>
  <c r="P22" i="1" s="1"/>
  <c r="K43" i="1" l="1"/>
  <c r="L43" i="1" s="1"/>
  <c r="K8" i="1"/>
  <c r="L8" i="1" s="1"/>
  <c r="P8" i="1" s="1"/>
  <c r="L23" i="1"/>
  <c r="P23" i="1" s="1"/>
  <c r="U158" i="1" l="1"/>
  <c r="U184" i="1"/>
  <c r="U183" i="1"/>
  <c r="U180" i="1"/>
  <c r="U181" i="1"/>
  <c r="U145" i="1"/>
  <c r="U186" i="1"/>
  <c r="U182" i="1"/>
  <c r="U119" i="1"/>
  <c r="U187" i="1"/>
  <c r="U188"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91" i="1"/>
  <c r="W192" i="1"/>
  <c r="W193" i="1"/>
  <c r="W194" i="1"/>
  <c r="W195" i="1"/>
  <c r="W196" i="1"/>
  <c r="W197" i="1"/>
  <c r="W198" i="1"/>
  <c r="W199" i="1"/>
  <c r="W200" i="1"/>
  <c r="W201" i="1"/>
  <c r="S203" i="1"/>
  <c r="U114" i="1"/>
  <c r="U87" i="1"/>
  <c r="U151" i="1"/>
  <c r="U174" i="1"/>
  <c r="U167" i="1"/>
  <c r="U148" i="1"/>
  <c r="U125" i="1"/>
  <c r="U118" i="1"/>
  <c r="U113" i="1"/>
  <c r="U106" i="1"/>
  <c r="U96" i="1"/>
  <c r="U103" i="1"/>
  <c r="U95" i="1"/>
  <c r="U90" i="1"/>
  <c r="U109" i="1"/>
  <c r="U100" i="1"/>
  <c r="U126" i="1"/>
  <c r="U117" i="1"/>
  <c r="U116" i="1"/>
  <c r="U105" i="1"/>
  <c r="U172" i="1"/>
  <c r="U153" i="1"/>
  <c r="U150" i="1"/>
  <c r="U152" i="1"/>
  <c r="U133" i="1"/>
  <c r="U91" i="1"/>
  <c r="U81" i="1"/>
  <c r="U74" i="1"/>
  <c r="U149" i="1"/>
  <c r="U179" i="1"/>
  <c r="U178" i="1"/>
  <c r="U177" i="1"/>
  <c r="U176" i="1"/>
  <c r="U175" i="1"/>
  <c r="U173" i="1"/>
  <c r="U185" i="1"/>
  <c r="U171" i="1"/>
  <c r="U170" i="1"/>
  <c r="U169" i="1"/>
  <c r="U168" i="1"/>
  <c r="U166" i="1"/>
  <c r="U165" i="1"/>
  <c r="U164" i="1"/>
  <c r="U163" i="1"/>
  <c r="U162" i="1"/>
  <c r="U161" i="1"/>
  <c r="U160" i="1"/>
  <c r="U159" i="1"/>
  <c r="U157" i="1"/>
  <c r="U156" i="1"/>
  <c r="U155" i="1"/>
  <c r="U154" i="1"/>
  <c r="U147" i="1"/>
  <c r="U146" i="1"/>
  <c r="U144" i="1"/>
  <c r="U143" i="1"/>
  <c r="U142" i="1"/>
  <c r="U141" i="1"/>
  <c r="U140" i="1"/>
  <c r="U139" i="1"/>
  <c r="U138" i="1"/>
  <c r="U137" i="1"/>
  <c r="U136" i="1"/>
  <c r="U135" i="1"/>
  <c r="U134" i="1"/>
  <c r="U132" i="1"/>
  <c r="U131" i="1"/>
  <c r="U130" i="1"/>
  <c r="U129" i="1"/>
  <c r="U128" i="1"/>
  <c r="U127" i="1"/>
  <c r="U124" i="1"/>
  <c r="U123" i="1"/>
  <c r="U122" i="1"/>
  <c r="U121" i="1"/>
  <c r="U120" i="1"/>
  <c r="U115" i="1"/>
  <c r="U112" i="1"/>
  <c r="U111" i="1"/>
  <c r="U110" i="1"/>
  <c r="U108" i="1"/>
  <c r="U107" i="1"/>
  <c r="U104" i="1"/>
  <c r="U102" i="1"/>
  <c r="U101" i="1"/>
  <c r="U99" i="1"/>
  <c r="U98" i="1"/>
  <c r="U97" i="1"/>
  <c r="U94" i="1"/>
  <c r="U93" i="1"/>
  <c r="U92" i="1"/>
  <c r="U89" i="1"/>
  <c r="U88" i="1"/>
  <c r="U86" i="1"/>
  <c r="U85" i="1"/>
  <c r="U84" i="1"/>
  <c r="U83" i="1"/>
  <c r="U82" i="1"/>
  <c r="U80" i="1"/>
  <c r="U79" i="1"/>
  <c r="U78" i="1"/>
  <c r="U77" i="1"/>
  <c r="U76" i="1"/>
  <c r="U75" i="1"/>
  <c r="K135" i="1"/>
  <c r="K6" i="1"/>
  <c r="L6" i="1" s="1"/>
  <c r="K74" i="1"/>
  <c r="L74" i="1" s="1"/>
  <c r="Q74" i="1" s="1"/>
  <c r="K75" i="1"/>
  <c r="L75" i="1" s="1"/>
  <c r="Q75" i="1" s="1"/>
  <c r="K76" i="1"/>
  <c r="L76" i="1" s="1"/>
  <c r="Q76" i="1" s="1"/>
  <c r="K77" i="1"/>
  <c r="L77" i="1" s="1"/>
  <c r="Q77" i="1" s="1"/>
  <c r="K78" i="1"/>
  <c r="L78" i="1" s="1"/>
  <c r="Q78" i="1" s="1"/>
  <c r="K79" i="1"/>
  <c r="L79" i="1" s="1"/>
  <c r="Q79" i="1" s="1"/>
  <c r="K80" i="1"/>
  <c r="L80" i="1" s="1"/>
  <c r="Q80" i="1" s="1"/>
  <c r="K81" i="1"/>
  <c r="L81" i="1" s="1"/>
  <c r="Q81" i="1" s="1"/>
  <c r="K82" i="1"/>
  <c r="L82" i="1" s="1"/>
  <c r="Q82" i="1" s="1"/>
  <c r="K83" i="1"/>
  <c r="L83" i="1" s="1"/>
  <c r="Q83" i="1" s="1"/>
  <c r="K84" i="1"/>
  <c r="L84" i="1" s="1"/>
  <c r="Q84" i="1" s="1"/>
  <c r="K85" i="1"/>
  <c r="L85" i="1" s="1"/>
  <c r="Q85" i="1" s="1"/>
  <c r="K86" i="1"/>
  <c r="L86" i="1" s="1"/>
  <c r="Q86" i="1" s="1"/>
  <c r="K87" i="1"/>
  <c r="L87" i="1" s="1"/>
  <c r="Q87" i="1" s="1"/>
  <c r="K88" i="1"/>
  <c r="L88" i="1" s="1"/>
  <c r="Q88" i="1" s="1"/>
  <c r="K89" i="1"/>
  <c r="L89" i="1" s="1"/>
  <c r="Q89" i="1" s="1"/>
  <c r="K90" i="1"/>
  <c r="L90" i="1" s="1"/>
  <c r="Q90" i="1" s="1"/>
  <c r="K91" i="1"/>
  <c r="L91" i="1" s="1"/>
  <c r="Q91" i="1" s="1"/>
  <c r="K92" i="1"/>
  <c r="L92" i="1" s="1"/>
  <c r="Q92" i="1" s="1"/>
  <c r="K93" i="1"/>
  <c r="L93" i="1" s="1"/>
  <c r="Q93" i="1" s="1"/>
  <c r="K94" i="1"/>
  <c r="L94" i="1" s="1"/>
  <c r="Q94" i="1" s="1"/>
  <c r="K95" i="1"/>
  <c r="L95" i="1" s="1"/>
  <c r="Q95" i="1" s="1"/>
  <c r="K96" i="1"/>
  <c r="L96" i="1" s="1"/>
  <c r="Q96" i="1" s="1"/>
  <c r="K97" i="1"/>
  <c r="L97" i="1" s="1"/>
  <c r="Q97" i="1" s="1"/>
  <c r="K98" i="1"/>
  <c r="L98" i="1" s="1"/>
  <c r="Q98" i="1" s="1"/>
  <c r="K99" i="1"/>
  <c r="L99" i="1" s="1"/>
  <c r="Q99" i="1" s="1"/>
  <c r="K100" i="1"/>
  <c r="L100" i="1" s="1"/>
  <c r="Q100" i="1" s="1"/>
  <c r="K101" i="1"/>
  <c r="L101" i="1" s="1"/>
  <c r="Q101" i="1" s="1"/>
  <c r="K102" i="1"/>
  <c r="L102" i="1" s="1"/>
  <c r="Q102" i="1" s="1"/>
  <c r="K103" i="1"/>
  <c r="L103" i="1" s="1"/>
  <c r="Q103" i="1" s="1"/>
  <c r="K104" i="1"/>
  <c r="L104" i="1" s="1"/>
  <c r="Q104" i="1" s="1"/>
  <c r="K105" i="1"/>
  <c r="L105" i="1" s="1"/>
  <c r="Q105" i="1" s="1"/>
  <c r="K106" i="1"/>
  <c r="L106" i="1" s="1"/>
  <c r="Q106" i="1" s="1"/>
  <c r="K107" i="1"/>
  <c r="L107" i="1" s="1"/>
  <c r="Q107" i="1" s="1"/>
  <c r="K108" i="1"/>
  <c r="L108" i="1" s="1"/>
  <c r="Q108" i="1" s="1"/>
  <c r="K109" i="1"/>
  <c r="L109" i="1" s="1"/>
  <c r="Q109" i="1" s="1"/>
  <c r="K110" i="1"/>
  <c r="L110" i="1" s="1"/>
  <c r="Q110" i="1" s="1"/>
  <c r="K111" i="1"/>
  <c r="L111" i="1" s="1"/>
  <c r="Q111" i="1" s="1"/>
  <c r="K112" i="1"/>
  <c r="L112" i="1" s="1"/>
  <c r="Q112" i="1" s="1"/>
  <c r="K113" i="1"/>
  <c r="L113" i="1" s="1"/>
  <c r="Q113" i="1" s="1"/>
  <c r="K114" i="1"/>
  <c r="L114" i="1" s="1"/>
  <c r="Q114" i="1" s="1"/>
  <c r="K115" i="1"/>
  <c r="L115" i="1" s="1"/>
  <c r="Q115" i="1" s="1"/>
  <c r="K116" i="1"/>
  <c r="L116" i="1" s="1"/>
  <c r="Q116" i="1" s="1"/>
  <c r="K117" i="1"/>
  <c r="L117" i="1" s="1"/>
  <c r="Q117" i="1" s="1"/>
  <c r="K118" i="1"/>
  <c r="L118" i="1" s="1"/>
  <c r="Q118" i="1" s="1"/>
  <c r="K119" i="1"/>
  <c r="Q119" i="1"/>
  <c r="K120" i="1"/>
  <c r="L120" i="1" s="1"/>
  <c r="Q120" i="1" s="1"/>
  <c r="K121" i="1"/>
  <c r="L121" i="1" s="1"/>
  <c r="Q121" i="1" s="1"/>
  <c r="K122" i="1"/>
  <c r="L122" i="1" s="1"/>
  <c r="Q122" i="1" s="1"/>
  <c r="K123" i="1"/>
  <c r="L123" i="1" s="1"/>
  <c r="Q123" i="1" s="1"/>
  <c r="K124" i="1"/>
  <c r="L124" i="1" s="1"/>
  <c r="Q124" i="1" s="1"/>
  <c r="K125" i="1"/>
  <c r="L125" i="1" s="1"/>
  <c r="Q125" i="1" s="1"/>
  <c r="K126" i="1"/>
  <c r="L126" i="1" s="1"/>
  <c r="Q126" i="1" s="1"/>
  <c r="K127" i="1"/>
  <c r="L127" i="1" s="1"/>
  <c r="Q127" i="1" s="1"/>
  <c r="K128" i="1"/>
  <c r="L128" i="1" s="1"/>
  <c r="Q128" i="1" s="1"/>
  <c r="K129" i="1"/>
  <c r="L129" i="1" s="1"/>
  <c r="Q129" i="1" s="1"/>
  <c r="K130" i="1"/>
  <c r="L130" i="1" s="1"/>
  <c r="Q130" i="1" s="1"/>
  <c r="K131" i="1"/>
  <c r="L131" i="1" s="1"/>
  <c r="Q131" i="1" s="1"/>
  <c r="K132" i="1"/>
  <c r="L132" i="1" s="1"/>
  <c r="Q132" i="1" s="1"/>
  <c r="K133" i="1"/>
  <c r="L133" i="1" s="1"/>
  <c r="Q133" i="1" s="1"/>
  <c r="K134" i="1"/>
  <c r="L134" i="1" s="1"/>
  <c r="Q134" i="1" s="1"/>
  <c r="K136" i="1"/>
  <c r="L136" i="1" s="1"/>
  <c r="Q136" i="1" s="1"/>
  <c r="K137" i="1"/>
  <c r="L137" i="1" s="1"/>
  <c r="Q137" i="1" s="1"/>
  <c r="K138" i="1"/>
  <c r="L138" i="1" s="1"/>
  <c r="Q138" i="1" s="1"/>
  <c r="K139" i="1"/>
  <c r="L139" i="1" s="1"/>
  <c r="Q139" i="1" s="1"/>
  <c r="K140" i="1"/>
  <c r="L140" i="1" s="1"/>
  <c r="Q140" i="1" s="1"/>
  <c r="K141" i="1"/>
  <c r="L141" i="1" s="1"/>
  <c r="Q141" i="1" s="1"/>
  <c r="K142" i="1"/>
  <c r="L142" i="1" s="1"/>
  <c r="Q142" i="1" s="1"/>
  <c r="K143" i="1"/>
  <c r="L143" i="1" s="1"/>
  <c r="Q143" i="1" s="1"/>
  <c r="K144" i="1"/>
  <c r="L144" i="1" s="1"/>
  <c r="Q144" i="1" s="1"/>
  <c r="K145" i="1"/>
  <c r="L145" i="1" s="1"/>
  <c r="Q145" i="1" s="1"/>
  <c r="K146" i="1"/>
  <c r="L146" i="1" s="1"/>
  <c r="Q146" i="1" s="1"/>
  <c r="K147" i="1"/>
  <c r="L147" i="1" s="1"/>
  <c r="Q147" i="1" s="1"/>
  <c r="K148" i="1"/>
  <c r="L148" i="1" s="1"/>
  <c r="Q148" i="1" s="1"/>
  <c r="K149" i="1"/>
  <c r="L149" i="1" s="1"/>
  <c r="Q149" i="1" s="1"/>
  <c r="K150" i="1"/>
  <c r="L150" i="1" s="1"/>
  <c r="Q150" i="1" s="1"/>
  <c r="K151" i="1"/>
  <c r="L151" i="1" s="1"/>
  <c r="Q151" i="1" s="1"/>
  <c r="K152" i="1"/>
  <c r="L152" i="1" s="1"/>
  <c r="Q152" i="1" s="1"/>
  <c r="K153" i="1"/>
  <c r="L153" i="1" s="1"/>
  <c r="Q153" i="1" s="1"/>
  <c r="K154" i="1"/>
  <c r="L154" i="1" s="1"/>
  <c r="Q154" i="1" s="1"/>
  <c r="K155" i="1"/>
  <c r="L155" i="1" s="1"/>
  <c r="Q155" i="1" s="1"/>
  <c r="K156" i="1"/>
  <c r="L156" i="1" s="1"/>
  <c r="Q156" i="1" s="1"/>
  <c r="K157" i="1"/>
  <c r="L157" i="1" s="1"/>
  <c r="Q157" i="1" s="1"/>
  <c r="K158" i="1"/>
  <c r="L158" i="1" s="1"/>
  <c r="Q158" i="1" s="1"/>
  <c r="K159" i="1"/>
  <c r="L159" i="1" s="1"/>
  <c r="Q159" i="1" s="1"/>
  <c r="K160" i="1"/>
  <c r="L160" i="1" s="1"/>
  <c r="Q160" i="1" s="1"/>
  <c r="K161" i="1"/>
  <c r="L161" i="1" s="1"/>
  <c r="Q161" i="1" s="1"/>
  <c r="K162" i="1"/>
  <c r="L162" i="1" s="1"/>
  <c r="Q162" i="1" s="1"/>
  <c r="K163" i="1"/>
  <c r="L163" i="1" s="1"/>
  <c r="Q163" i="1" s="1"/>
  <c r="K164" i="1"/>
  <c r="L164" i="1" s="1"/>
  <c r="Q164" i="1" s="1"/>
  <c r="K165" i="1"/>
  <c r="L165" i="1" s="1"/>
  <c r="Q165" i="1" s="1"/>
  <c r="K166" i="1"/>
  <c r="L166" i="1" s="1"/>
  <c r="Q166" i="1" s="1"/>
  <c r="K167" i="1"/>
  <c r="L167" i="1" s="1"/>
  <c r="Q167" i="1" s="1"/>
  <c r="K168" i="1"/>
  <c r="L168" i="1" s="1"/>
  <c r="Q168" i="1" s="1"/>
  <c r="K169" i="1"/>
  <c r="L169" i="1" s="1"/>
  <c r="Q169" i="1" s="1"/>
  <c r="K170" i="1"/>
  <c r="L170" i="1" s="1"/>
  <c r="Q170" i="1" s="1"/>
  <c r="K171" i="1"/>
  <c r="L171" i="1" s="1"/>
  <c r="Q171" i="1" s="1"/>
  <c r="K172" i="1"/>
  <c r="L172" i="1" s="1"/>
  <c r="Q172" i="1" s="1"/>
  <c r="K173" i="1"/>
  <c r="L173" i="1" s="1"/>
  <c r="Q173" i="1" s="1"/>
  <c r="K174" i="1"/>
  <c r="L174" i="1" s="1"/>
  <c r="Q174" i="1" s="1"/>
  <c r="K175" i="1"/>
  <c r="L175" i="1" s="1"/>
  <c r="Q175" i="1" s="1"/>
  <c r="K176" i="1"/>
  <c r="L176" i="1" s="1"/>
  <c r="Q176" i="1" s="1"/>
  <c r="K177" i="1"/>
  <c r="L177" i="1" s="1"/>
  <c r="Q177" i="1" s="1"/>
  <c r="K178" i="1"/>
  <c r="L178" i="1" s="1"/>
  <c r="Q178" i="1" s="1"/>
  <c r="K179" i="1"/>
  <c r="L179" i="1" s="1"/>
  <c r="Q179" i="1" s="1"/>
  <c r="K180" i="1"/>
  <c r="L180" i="1" s="1"/>
  <c r="Q180" i="1" s="1"/>
  <c r="K181" i="1"/>
  <c r="L181" i="1" s="1"/>
  <c r="Q181" i="1" s="1"/>
  <c r="K182" i="1"/>
  <c r="L182" i="1" s="1"/>
  <c r="Q182" i="1" s="1"/>
  <c r="K183" i="1"/>
  <c r="L183" i="1" s="1"/>
  <c r="Q183" i="1" s="1"/>
  <c r="K184" i="1"/>
  <c r="L184" i="1" s="1"/>
  <c r="Q184" i="1" s="1"/>
  <c r="K185" i="1"/>
  <c r="L185" i="1" s="1"/>
  <c r="Q185" i="1" s="1"/>
  <c r="K186" i="1"/>
  <c r="L186" i="1" s="1"/>
  <c r="Q186" i="1" s="1"/>
  <c r="K187" i="1"/>
  <c r="L187" i="1" s="1"/>
  <c r="Q187" i="1" s="1"/>
  <c r="K188" i="1"/>
  <c r="L188" i="1" s="1"/>
  <c r="Q188" i="1" s="1"/>
  <c r="L189" i="1"/>
  <c r="Q189" i="1" s="1"/>
  <c r="K190" i="1"/>
  <c r="L190" i="1" s="1"/>
  <c r="Q190" i="1" s="1"/>
  <c r="K191" i="1"/>
  <c r="L191" i="1" s="1"/>
  <c r="Q191" i="1" s="1"/>
  <c r="K192" i="1"/>
  <c r="L192" i="1" s="1"/>
  <c r="Q192" i="1" s="1"/>
  <c r="K193" i="1"/>
  <c r="L193" i="1" s="1"/>
  <c r="Q193" i="1" s="1"/>
  <c r="K194" i="1"/>
  <c r="L194" i="1" s="1"/>
  <c r="Q194" i="1" s="1"/>
  <c r="K195" i="1"/>
  <c r="L195" i="1" s="1"/>
  <c r="Q195" i="1" s="1"/>
  <c r="K196" i="1"/>
  <c r="L196" i="1" s="1"/>
  <c r="Q196" i="1" s="1"/>
  <c r="K197" i="1"/>
  <c r="L197" i="1" s="1"/>
  <c r="Q197" i="1" s="1"/>
  <c r="K198" i="1"/>
  <c r="L198" i="1" s="1"/>
  <c r="Q198" i="1" s="1"/>
  <c r="K199" i="1"/>
  <c r="L199" i="1" s="1"/>
  <c r="Q199" i="1" s="1"/>
  <c r="K200" i="1"/>
  <c r="L200" i="1" s="1"/>
  <c r="Q200" i="1" s="1"/>
  <c r="K201" i="1"/>
  <c r="L201" i="1" s="1"/>
  <c r="Q201" i="1" s="1"/>
  <c r="K69" i="1"/>
  <c r="K70" i="1"/>
  <c r="K71" i="1"/>
  <c r="K72" i="1"/>
  <c r="T203" i="1"/>
  <c r="J203" i="1"/>
  <c r="I203" i="1"/>
  <c r="H203" i="1"/>
  <c r="G203" i="1"/>
  <c r="D203" i="1"/>
  <c r="W203" i="1" l="1"/>
  <c r="U203" i="1"/>
  <c r="Q6" i="1"/>
  <c r="P6" i="1"/>
  <c r="K203" i="1"/>
  <c r="V203" i="1"/>
  <c r="Q203" i="1"/>
  <c r="L203" i="1" l="1"/>
  <c r="P203" i="1"/>
</calcChain>
</file>

<file path=xl/sharedStrings.xml><?xml version="1.0" encoding="utf-8"?>
<sst xmlns="http://schemas.openxmlformats.org/spreadsheetml/2006/main" count="1156" uniqueCount="315">
  <si>
    <t>ARMSTRONG</t>
  </si>
  <si>
    <t>mortgage</t>
  </si>
  <si>
    <t>penalties</t>
  </si>
  <si>
    <t>unsecured loan</t>
  </si>
  <si>
    <t>costs of sale at 3%</t>
  </si>
  <si>
    <t>CGT</t>
  </si>
  <si>
    <t>net equity</t>
  </si>
  <si>
    <t>H</t>
  </si>
  <si>
    <t>W</t>
  </si>
  <si>
    <t>153 Rochfords</t>
  </si>
  <si>
    <t>1 Bunsty Court</t>
  </si>
  <si>
    <t>1 Burnet</t>
  </si>
  <si>
    <t>101 Myrtle Bank</t>
  </si>
  <si>
    <t>11 Bransgill Court</t>
  </si>
  <si>
    <t>13 Conway Crescent</t>
  </si>
  <si>
    <t>13 Esk Way</t>
  </si>
  <si>
    <t>13 Trueman Place</t>
  </si>
  <si>
    <t>14 Goring</t>
  </si>
  <si>
    <t>14 Kinloch Place</t>
  </si>
  <si>
    <t>14 Lamberts Croft</t>
  </si>
  <si>
    <t>14 The Limes</t>
  </si>
  <si>
    <t>15 Bettina Grove</t>
  </si>
  <si>
    <t>15 Brent</t>
  </si>
  <si>
    <t>15 Crane Way</t>
  </si>
  <si>
    <t>15 Dulverton Drive</t>
  </si>
  <si>
    <t>15 Ramsgill Court</t>
  </si>
  <si>
    <t>15 Trueman Place</t>
  </si>
  <si>
    <t>16 Buckingham Gate</t>
  </si>
  <si>
    <t>161 Broadlands</t>
  </si>
  <si>
    <t>17 Holmwood</t>
  </si>
  <si>
    <t>17 Monro Avenue</t>
  </si>
  <si>
    <t>17 Rowle Close</t>
  </si>
  <si>
    <t>17 Stamford Avenue</t>
  </si>
  <si>
    <t>18 Cleveland</t>
  </si>
  <si>
    <t>18 Jennings</t>
  </si>
  <si>
    <t>185 Granby Court</t>
  </si>
  <si>
    <t>19 Cawarden</t>
  </si>
  <si>
    <t>2 Lanner Walk</t>
  </si>
  <si>
    <t>2 Stantonbury Close</t>
  </si>
  <si>
    <t>20 Trubys Garden</t>
  </si>
  <si>
    <t>21 Buckby</t>
  </si>
  <si>
    <t>21 Edensor Terrace</t>
  </si>
  <si>
    <t>21 Henley Close</t>
  </si>
  <si>
    <t>22 Berwick Drive</t>
  </si>
  <si>
    <t>22 Wiltshire House</t>
  </si>
  <si>
    <t>23 Arrow Place</t>
  </si>
  <si>
    <t>23 Melton</t>
  </si>
  <si>
    <t>23 Ramsgill Court</t>
  </si>
  <si>
    <t>230 Farthing Grove</t>
  </si>
  <si>
    <t>239 Brocksford Street</t>
  </si>
  <si>
    <t>24 Enfield Close</t>
  </si>
  <si>
    <t>24 Lafranc Gardens</t>
  </si>
  <si>
    <t>24a Lafranc</t>
  </si>
  <si>
    <t>28 Gibbwin</t>
  </si>
  <si>
    <t>28 Sheelin Grove</t>
  </si>
  <si>
    <t>28 Wallingford</t>
  </si>
  <si>
    <t>29 Derwent Drive</t>
  </si>
  <si>
    <t>3 Bridge Way</t>
  </si>
  <si>
    <t>3 Forthill Place</t>
  </si>
  <si>
    <t>3 Norbrek</t>
  </si>
  <si>
    <t>30 Buckingham Gate</t>
  </si>
  <si>
    <t>30 Crosslands</t>
  </si>
  <si>
    <t>31 Hodge Lea Lane</t>
  </si>
  <si>
    <t>31 Aldermead</t>
  </si>
  <si>
    <t>33 Simnel</t>
  </si>
  <si>
    <t>34 Farmborough</t>
  </si>
  <si>
    <t>35 Leven Close</t>
  </si>
  <si>
    <t>37 Trubys Garden</t>
  </si>
  <si>
    <t>38 Moorfoot</t>
  </si>
  <si>
    <t>4 Medale Road</t>
  </si>
  <si>
    <t>4 Townlands Crescent</t>
  </si>
  <si>
    <t>42 Crosslands</t>
  </si>
  <si>
    <t>42 Peel Road</t>
  </si>
  <si>
    <t>43 Reeves Croft</t>
  </si>
  <si>
    <t>476 Whaddon Way</t>
  </si>
  <si>
    <t>49 Middlesex Drive</t>
  </si>
  <si>
    <t>5 Martin Close</t>
  </si>
  <si>
    <t>5 Melick Road</t>
  </si>
  <si>
    <t>5 Regent Street</t>
  </si>
  <si>
    <t>50 Avon Grove</t>
  </si>
  <si>
    <t>50 Tadmarton</t>
  </si>
  <si>
    <t>50 Troutbeck</t>
  </si>
  <si>
    <t>Forest Field</t>
  </si>
  <si>
    <t>51A Appleyard Place</t>
  </si>
  <si>
    <t>51B Appleyard Place</t>
  </si>
  <si>
    <t>51 Bradwell Road</t>
  </si>
  <si>
    <t>51C Appleyard Place</t>
  </si>
  <si>
    <t>53 Beadlemead</t>
  </si>
  <si>
    <t>54 Rosedale Road</t>
  </si>
  <si>
    <t>57A Barton Avenue</t>
  </si>
  <si>
    <t>58 Farmborough</t>
  </si>
  <si>
    <t>58 Pigott Drive</t>
  </si>
  <si>
    <t>6 Enterprise Lane</t>
  </si>
  <si>
    <t>6 Sussex Road</t>
  </si>
  <si>
    <t>62 Strangford Drive</t>
  </si>
  <si>
    <t>64 Caernarvon Crescent</t>
  </si>
  <si>
    <t>65 Sheelin Grove</t>
  </si>
  <si>
    <t>65 Waterside</t>
  </si>
  <si>
    <t>66 Arncliffe Drive</t>
  </si>
  <si>
    <t>66 Tiffany Close</t>
  </si>
  <si>
    <t>69 Tanfield Lane</t>
  </si>
  <si>
    <t>7 Martin Close</t>
  </si>
  <si>
    <t>74 Redbridge</t>
  </si>
  <si>
    <t>78 Crosslands</t>
  </si>
  <si>
    <t>79 Translands Brigg</t>
  </si>
  <si>
    <t>8 Marshworth</t>
  </si>
  <si>
    <t>8 Summergill Court</t>
  </si>
  <si>
    <t>80a Mullen Avenue</t>
  </si>
  <si>
    <t>82 Sheelin Grove</t>
  </si>
  <si>
    <t>87 Clements Drive</t>
  </si>
  <si>
    <t>89 Beadlemead</t>
  </si>
  <si>
    <t>9 Kenchester</t>
  </si>
  <si>
    <t>The Red House Cottage</t>
  </si>
  <si>
    <t>39 Crispin Road</t>
  </si>
  <si>
    <t>12 Jennings</t>
  </si>
  <si>
    <t>103a Bradwell Road</t>
  </si>
  <si>
    <t>58 White Alder</t>
  </si>
  <si>
    <t>60 White Alder</t>
  </si>
  <si>
    <t>4 Golden Drive</t>
  </si>
  <si>
    <t>29 Gibbwin</t>
  </si>
  <si>
    <t>19 Temple</t>
  </si>
  <si>
    <t>49 High Street</t>
  </si>
  <si>
    <t>10 Cawarden</t>
  </si>
  <si>
    <t>TOTALS</t>
  </si>
  <si>
    <t>Property Schedule</t>
  </si>
  <si>
    <t>current value</t>
  </si>
  <si>
    <t>development value</t>
  </si>
  <si>
    <t>cost of purchase</t>
  </si>
  <si>
    <t>nature of interest</t>
  </si>
  <si>
    <t>other secured loan</t>
  </si>
  <si>
    <t>Carisbrook</t>
  </si>
  <si>
    <t>24 Stone Hill</t>
  </si>
  <si>
    <t>mortgage cost</t>
  </si>
  <si>
    <t>Income</t>
  </si>
  <si>
    <t>development cost</t>
  </si>
  <si>
    <t>fixed associated costs</t>
  </si>
  <si>
    <t>lender (mortgage/secured)</t>
  </si>
  <si>
    <t>lender (unsecured)</t>
  </si>
  <si>
    <t>address</t>
  </si>
  <si>
    <t>parties' interest (%)</t>
  </si>
  <si>
    <t>gross rent</t>
  </si>
  <si>
    <t>GA Home</t>
  </si>
  <si>
    <t>Investment</t>
  </si>
  <si>
    <t>Conversion</t>
  </si>
  <si>
    <t>38 Scaterill</t>
  </si>
  <si>
    <t>1 Inverness Close</t>
  </si>
  <si>
    <t>25 Norbrek</t>
  </si>
  <si>
    <t>Dr Stanislaw  Switala</t>
  </si>
  <si>
    <t>Graham Durbin</t>
  </si>
  <si>
    <t xml:space="preserve">Fazular Jaufeeraly </t>
  </si>
  <si>
    <t>Lorna Reynolds</t>
  </si>
  <si>
    <t>Seema Puri</t>
  </si>
  <si>
    <t>Steven Edwards, Fazlur Jaufeerally, Peter Sinkinson, Astro Consulting</t>
  </si>
  <si>
    <t>Miriyam Munyegera</t>
  </si>
  <si>
    <t>David Pearce</t>
  </si>
  <si>
    <t>Joan Cavendish</t>
  </si>
  <si>
    <t>Stephen Edwards</t>
  </si>
  <si>
    <t>Edward Clyne</t>
  </si>
  <si>
    <t>Anni Nakumura and Marios Stratis</t>
  </si>
  <si>
    <t>MTG EXPRESS</t>
  </si>
  <si>
    <t>BIRMINGHAM MID</t>
  </si>
  <si>
    <t>PLATFORM</t>
  </si>
  <si>
    <t>COVENTRY</t>
  </si>
  <si>
    <t>TMW</t>
  </si>
  <si>
    <t>CLOSE MTG 1</t>
  </si>
  <si>
    <t>ROOFTOP</t>
  </si>
  <si>
    <t>NO MORTGAGE</t>
  </si>
  <si>
    <t>BANK OF IRELAND</t>
  </si>
  <si>
    <t>NatWest</t>
  </si>
  <si>
    <t>Leeds BS</t>
  </si>
  <si>
    <t>PRIVATE</t>
  </si>
  <si>
    <t>Donald and Norma Armstrong</t>
  </si>
  <si>
    <t>195 Beadlemead</t>
  </si>
  <si>
    <t>ROSINCA</t>
  </si>
  <si>
    <t>`</t>
  </si>
  <si>
    <t>SOLD</t>
  </si>
  <si>
    <t>KENSINGTON</t>
  </si>
  <si>
    <t>Melanie Bennis</t>
  </si>
  <si>
    <t>Currently in process of being remortgaged</t>
  </si>
  <si>
    <t>BEING SOLD</t>
  </si>
  <si>
    <t>Sold - Completion Statement/Distribution of net sales proceeds required</t>
  </si>
  <si>
    <t xml:space="preserve">Remortgaged recently - New redemption statement required - no change in mortgage amount </t>
  </si>
  <si>
    <t>Edward Clynesn and Sonia Clynes</t>
  </si>
  <si>
    <t xml:space="preserve">Chlana Investments Ltd  and Dr Stanislaw Switala </t>
  </si>
  <si>
    <t xml:space="preserve">153a Rochfords </t>
  </si>
  <si>
    <t xml:space="preserve">14 Stowe Court </t>
  </si>
  <si>
    <t>GLENMARK TRADING</t>
  </si>
  <si>
    <t xml:space="preserve">72 Brown Edge Road </t>
  </si>
  <si>
    <t>Brown Edge Adjacent Land</t>
  </si>
  <si>
    <t>GLENMAC LTD</t>
  </si>
  <si>
    <t>16 Exchange St</t>
  </si>
  <si>
    <t>29 Park St</t>
  </si>
  <si>
    <t>7 New Rd Twyford</t>
  </si>
  <si>
    <t xml:space="preserve">26 Wargrave Rd </t>
  </si>
  <si>
    <t>127 Review Road  x 6 units</t>
  </si>
  <si>
    <t>GLENMOR LTD</t>
  </si>
  <si>
    <t>19 Brentwick Gardens</t>
  </si>
  <si>
    <t>Redhills Project</t>
  </si>
  <si>
    <t xml:space="preserve">Midland Hotel </t>
  </si>
  <si>
    <t>SUTHERLAND INVESTMENT PROPERTIES LTD</t>
  </si>
  <si>
    <t xml:space="preserve">Milward Road </t>
  </si>
  <si>
    <t xml:space="preserve">143 Millward Road </t>
  </si>
  <si>
    <t>16 &amp; 16a Fartthing Grove</t>
  </si>
  <si>
    <t>Chatsworth Hotel Development</t>
  </si>
  <si>
    <t>Maycliffe Hotel Development (part owned with Richard Greenland)</t>
  </si>
  <si>
    <t>FLEET MORTGAGES</t>
  </si>
  <si>
    <t>ONE SAVINGS BANK</t>
  </si>
  <si>
    <t>100 Mithras Gardens</t>
  </si>
  <si>
    <t>35 Horners Croft</t>
  </si>
  <si>
    <t>63 Duncombe Street</t>
  </si>
  <si>
    <t>30 Caledonian Road</t>
  </si>
  <si>
    <t>150 Sutherland Grove</t>
  </si>
  <si>
    <t>TBC</t>
  </si>
  <si>
    <t>Deborah Dixon - £144,000</t>
  </si>
  <si>
    <t>additional comments</t>
  </si>
  <si>
    <t>Kerry Ann Tomlinson, Alan Kipping</t>
  </si>
  <si>
    <t>Stephen Gebbie, Rod Sheriff</t>
  </si>
  <si>
    <t>Maria Tarabasa</t>
  </si>
  <si>
    <t>One Savings Bank</t>
  </si>
  <si>
    <t>Fiona Gardner King</t>
  </si>
  <si>
    <t>MHS finance Limited</t>
  </si>
  <si>
    <t>Lloyds Bank</t>
  </si>
  <si>
    <t>3483.33 (bills/outgoings for property)</t>
  </si>
  <si>
    <t>Mik Patel - £250,000 (development costs)</t>
  </si>
  <si>
    <t xml:space="preserve">Vector Capital Limited (mortgage), Juan Nogales </t>
  </si>
  <si>
    <t>Together Finance (mortgage); Sehjpal Singh - £150,000; Fiona King - £100,000; Mark Norman - £220,000 (£315,700 including interest as at 16 July 2018)</t>
  </si>
  <si>
    <t>Bank of Scotland Plc</t>
  </si>
  <si>
    <t>Shawbrook Bank Limited (mortgage); Elizabeth Benjamin; Creative Lettings (UK) Limited</t>
  </si>
  <si>
    <t>Land on Princes Road NK92742 (part owned with Anthony Jacobs)</t>
  </si>
  <si>
    <t xml:space="preserve">Together Commercial Finance Limited; Neviswey Investments Limited; Finacre property Investments Limited </t>
  </si>
  <si>
    <t>Hampshire Trust Bank Plc (mortgage)</t>
  </si>
  <si>
    <t>Vector Capital Limited (mortgage) - £307,000; Juan Nogales - £145,600</t>
  </si>
  <si>
    <t xml:space="preserve">Restrictions on the property in the names of Ryan Armstrong and Reece Armstrong. The mortgage has been repaid in full for this property. </t>
  </si>
  <si>
    <t>Clydesdale Bank (Mortgage); Kevin Edward Clyne and Sonya Clyne; Erdene Ltd - £50,000 (+ interest of £11,000 at 2% a month); Alan Kipping - £100,000 (note interest not calculated due to being unclear when funds were loaned)</t>
  </si>
  <si>
    <t xml:space="preserve">Vikas Ghai - £80,000; David Bogan - £30,000. Interest not included in total liabilities figure. </t>
  </si>
  <si>
    <t>Lorna Reynolds - £52,000 (+ interest of £28,080 at 1.2%); John Smart - £150,000; Fiona King - £135,000 (note interest note included for John Smart or Fiona King due to being unclear when funds were originally loaned)</t>
  </si>
  <si>
    <t>option to purchase - GA personal name</t>
  </si>
  <si>
    <t xml:space="preserve">option to purchase - GA personal name </t>
  </si>
  <si>
    <t>note that anticipated rent on 16 Farthing Grove is £800 pcm (not currently tenanted), £550 currently being received for rent on 16a Farthing Grove; Respondent's letting agency receives 10% of gross rent as managing agents</t>
  </si>
  <si>
    <t>The company holds an option to purchase this property within a rear garden development. It is anticipated that planning permission will be submitted in relation to the plot for the development shortly. At present, the company has not exercised the option to purchase the plot and therefore the applicant has no interest in this property.</t>
  </si>
  <si>
    <t>The Applicant has a shareholding in this company. The company has an option to purchase this property</t>
  </si>
  <si>
    <t>further investment of £100,000 required to complete the property</t>
  </si>
  <si>
    <t>The Applicant has an option to purchase this property until 31 July 2020 for the sum required to redeem the mortgage on the property plus £12,000. The Applicant has not exercised or assigned this option and therefore has no interest in the property at this time.</t>
  </si>
  <si>
    <t>The Applicant has an option to purchase this property  for the sum required to redeem the first charge on the property with Preferred Mortgaegs Limited dated 20 September 2017 at the date of completion. The Applicant has not exercised or assigned this option and therefore has no interest in the property at this time.</t>
  </si>
  <si>
    <t>unknown</t>
  </si>
  <si>
    <t>Applicant has a 40% shareholding in the company which owns this property</t>
  </si>
  <si>
    <t>Applicant has a 40% shareholding in the company which owns this property - all information included as per 72 Brown Edge Road set out above</t>
  </si>
  <si>
    <t>the applicant has a 50% shareholding in the company that owns this property</t>
  </si>
  <si>
    <t>The Applicant has an option to purchase this property until 31 December 2030 for the sum required to redeem the first charge with mortgage express dated 21 November 2005 and the second charge with GE Money Home and Finance Limited dated 3 October 2006 at the date of completion. The Applicant has not exercised or assigned this option and therefore has no interest in the property at this time. Creative/Flynn Lettings Limited manages this property and receives 10% of the rental income per month in the sum of £25.70 by way of management agent's fees. The Respondent owns the company that manages this property (Creative/Flynn Lettings), and which receives 10% of the gross rent received from the property per month - £85 (from the gross rent of £850)</t>
  </si>
  <si>
    <t>The Applicant has an option to purchase this property. The Applicant has not exercised or assigned this option and therefore has no interest in the property at this time. The Respondent owns the company that manages this property (Creative/Flynn Lettings), and which receives 10% of the gross rent received from the property per month - £25.70 (from the gross rent of £257).</t>
  </si>
  <si>
    <t>Property had potential for planning, however the planning permission  and appeal was refused. There is potential to carry out the planning in three stages, however currently there are no funds. Kevin Edward Clynes and Sonia Clynes loan of £100,000 and Mark Norman's loan of £30,000 has been repaid already. The Applicant has not had any involvement in this project for almost two years and further information has been requested from the other shareholders in the project but has not been supplied to the Applicant's solicitors.</t>
  </si>
  <si>
    <t xml:space="preserve">Flight brothers - £30,000 (+ interest of £3,960 at 1.2% a month); Karen Simmonds - £30,000 (+ interest of 1,125 at 1.25% a month); Julian Collins - £100,000 (+ interest of £10,800 at 1.2% a month); Roland Alexander - £37,290 (+ interest of £9,397.08 at 1.2%); Tony Waters - £30,000; Dave Bogan - £20,000; Dominique Simond - £29,000 - note - interest calculation on loans @ 1.25% pcm not calculated for Tony Waters, Dave Bogan and Dominique Simond due to timing of original loan being unclear. </t>
  </si>
  <si>
    <t xml:space="preserve">Kit Shah - £100,000 (+ interest of £22,800 at 1.2% a month ); Mark Armstrong - £80,000 (+ interest of £17,700 at 1.25% a month), Caroline Maneta -  £70,000 (note - interest calculation on loan not included due to  due to timing of original loan being unclear, however interest likely to be due). </t>
  </si>
  <si>
    <t>This option has not yet been exercised and therefore the Applicant has no interest in the property.</t>
  </si>
  <si>
    <t>G&amp;A PROPERTY TRADING LIMITED</t>
  </si>
  <si>
    <t>The respondent is the sole shareholder in this company that owns this property</t>
  </si>
  <si>
    <t>N/A</t>
  </si>
  <si>
    <t>The Applicant understands that the Respondent has bought out the mortgage for this property and this is intended to be transferred into the name of the parties' son.</t>
  </si>
  <si>
    <t>The Applicant holds 95% of the shares in the company that owns this property</t>
  </si>
  <si>
    <t>Mik Patel contributed the 25% deposit towards the purchase of this property (£144375) and this will need to be repaid to him on sale as well as the other liabilities set out herein. The Applicant and Mik Patel have agreed that any profit or loss after repayment of the liabilities associated with the development will be shared equally between the two of them.</t>
  </si>
  <si>
    <t>Together finance - £515,000</t>
  </si>
  <si>
    <t>Terranova Property Investment Limited - mezzanine loan and second charge - £370,000</t>
  </si>
  <si>
    <t>The Applicant owns 1/3 of the shares in the company that owns this property. The Applicant was removed as a director of this company by the existing shareholders and the applicant has no involvement with this company.</t>
  </si>
  <si>
    <t>RedHills Development Partners Limited</t>
  </si>
  <si>
    <t>GLENN SPV2 Limited</t>
  </si>
  <si>
    <t>GLENN SPV1 Limited</t>
  </si>
  <si>
    <t>the Applicant has a shareholding in the company with an option to purchase a plot at Redhills Road.</t>
  </si>
  <si>
    <t>The deposit for the purchase of £150,000 was sent one day late and the option could not be exercised. The funds raised by the Applicant towards the deposit have to be repaid even though the purchase fell through and there is no means of completing the purchase.</t>
  </si>
  <si>
    <t>GlennRich LTD (now East Anglia Aparthotels)</t>
  </si>
  <si>
    <t>The Applicant owns 50% of the shares in East Anglia Aparthotels which owns the property.</t>
  </si>
  <si>
    <t>Predrag Barlov</t>
  </si>
  <si>
    <t>600 (received by Markella Mikkelsen and used to discharge company debt)</t>
  </si>
  <si>
    <t xml:space="preserve">Additional fees of £1,140 (legal Fees), £800 (valuation fees) and £495 (admin costs). Richard Wombwell did not charge anyone VAT in the original redevelopment (which is not yet completed) and this is being sought by HMRC. The amount of unpaid VAT is not known but this will need to be deducted from the net equity figure. It is understood that Richard Wombwell is currently attempting to sell the property. The Applicant does not have any involvement in this property or the company that owns it and the Applicant and his solicitors have requested updating information from Richard Wombwell (the other director in this company), but this has not been supplied. </t>
  </si>
  <si>
    <t xml:space="preserve">liabilities include interest at a rate of 1.2% per month for Juan Nogales. Richard Wombwell has planning permission to convert the hotel into 23 studios. The costs of each  studio are expected to be £20,000 and Richard Wombwell hopes that when complete the hotel (after 2 years trading) will be worth £1.4m.  The Applicant does not have any involvement in this property and the company that owns it beyond personally guaranteeing the loan to Juan Nogales secured against this property and for which the Applicant is solely responsible. The Applicant and his solicitors have requested updating information from Richard Wombwell (the other director in this company), concerning this property but this has not been supplied. </t>
  </si>
  <si>
    <t>Kayode Olaoyeof</t>
  </si>
  <si>
    <t>Rod Sheriff, Reece Roberts, Chris Irving, Robin Whitehead, Deborah Genet</t>
  </si>
  <si>
    <t>part of midland hotel development/car park - information included above</t>
  </si>
  <si>
    <t>The parties are equal shareholders in the company that owns this property</t>
  </si>
  <si>
    <t>see above</t>
  </si>
  <si>
    <t>141 Newcastle Avenue, Worksop</t>
  </si>
  <si>
    <t>1302 Lincoln Road</t>
  </si>
  <si>
    <t>12 Cross Bank</t>
  </si>
  <si>
    <t>16 Stowe Court</t>
  </si>
  <si>
    <t>Hilliard</t>
  </si>
  <si>
    <t>Ewtor</t>
  </si>
  <si>
    <t>23 Fairclough</t>
  </si>
  <si>
    <t>12 Oakwell Avenue</t>
  </si>
  <si>
    <t>Kings Chase</t>
  </si>
  <si>
    <t>Station Road</t>
  </si>
  <si>
    <t>Rochfords</t>
  </si>
  <si>
    <t>Scattergill</t>
  </si>
  <si>
    <t>The parties are equal shareholders in the company that owned all of these properties, although the Applicant has personally guaranteed all of these debts and will be solely responsible for meeting these liabilities</t>
  </si>
  <si>
    <t>Noel C Reilly - original loan of £80,000</t>
  </si>
  <si>
    <t>Dominique Symond - original loan of £40,000</t>
  </si>
  <si>
    <t>Anni Nakamura - £50,000 of £80,000 loan owed.</t>
  </si>
  <si>
    <t>Fiona King - original loan of £40,000</t>
  </si>
  <si>
    <t>John Smart - original loan of £20,000</t>
  </si>
  <si>
    <t>Seema Puri - £112975; Andrew Hartley - £90,000 (2 x loans, one of £40,000, one of £50,000); Deborah Dixon - £6,000 owed by way of interest</t>
  </si>
  <si>
    <t>Current value of property is the funds received when it was sold on 11 April 2018. A historic loan of £285,000 has been repaid. A further loan is outstanding to Peter Sinkinson of £210,000</t>
  </si>
  <si>
    <t>Peter Sinkinson - £210,000</t>
  </si>
  <si>
    <t>Mark Norman - original loan of £30,000</t>
  </si>
  <si>
    <t>Josephine French - original loan of£50,000</t>
  </si>
  <si>
    <t>Juan Nogales - original loan of £90,000</t>
  </si>
  <si>
    <t>Martin Derby original loan of £100,000; Maria Tarabasa - original loan of £35,000</t>
  </si>
  <si>
    <t>Lorna Reynolds - original loan of £100,000; Elizabeth - original loan of £50,000; Shawbrook - £82,000; Lorna Reynolds - £25,000</t>
  </si>
  <si>
    <t>Lorna Reynolds - £20,000</t>
  </si>
  <si>
    <t>Yewtree Farm Development</t>
  </si>
  <si>
    <t>The Applicant was formerly a director and shareholder, but has not had any involvement in the business at all since March 2018.</t>
  </si>
  <si>
    <r>
      <rPr>
        <b/>
        <sz val="12"/>
        <color rgb="FF000000"/>
        <rFont val="Calibri"/>
        <family val="2"/>
        <scheme val="minor"/>
      </rPr>
      <t xml:space="preserve">Sutherland </t>
    </r>
    <r>
      <rPr>
        <b/>
        <i/>
        <sz val="12"/>
        <color rgb="FF000000"/>
        <rFont val="Calibri"/>
        <family val="2"/>
        <scheme val="minor"/>
      </rPr>
      <t xml:space="preserve">shortfall </t>
    </r>
    <r>
      <rPr>
        <b/>
        <sz val="12"/>
        <color rgb="FF000000"/>
        <rFont val="Calibri"/>
        <family val="2"/>
        <scheme val="minor"/>
      </rPr>
      <t>properties</t>
    </r>
    <r>
      <rPr>
        <sz val="12"/>
        <color rgb="FF000000"/>
        <rFont val="Calibri"/>
        <family val="2"/>
        <scheme val="minor"/>
      </rPr>
      <t xml:space="preserve"> - these are properties that have been sold with the net equity from sale unable to pay the monies that have been borrowed against them</t>
    </r>
  </si>
  <si>
    <t>Current value is based on sales to date and future predicted sales. The liabilities include £1,700,000 of bridging fees and interest on loans at 1.25% a month. The Applicant has confirmed that all profits made from Yewtree Farm to which the Applicant may be entitled should be set off against the Applicant's debts to Edward and Sony Clynes (the Applicant's personal guarantee to Sutherland debts). Edward Clynes has confirmed that the Applicant owes him and Sonya Clynes £700,000 in relation to Yew Tree Farm. Further information has been requested from Edward Clynes but has not been provided.</t>
  </si>
  <si>
    <t>Sutherland formerly had an option to purchase the property. There is currently a profit sharing agreement between the Applicant, the owners of the property and Mik Patel.</t>
  </si>
  <si>
    <t>unknown - £1.1m expected</t>
  </si>
  <si>
    <t xml:space="preserve">Liabilities includes Vendor costs of £600,000 on completion and development costs of £250,000 owed to Mik Patel. Mik Patel and the Applicant will each retain 50% of profits if the property sells for over £1,050,000 (after repaying £600,000 to the owners and repayment of all liabilities on the property, amounting to £280,000. The Applicant has personally guaranteed a loan in the sum of £250,000 to finance the project. The Applicant has borrowed £150,000 from Fiona King (referred to elsewhere), that is secured against the Applicant's profit from this project. </t>
  </si>
  <si>
    <t>Polmena Bungalowand adjoining land, Lostwithiel, Cornwall PL22 0LB</t>
  </si>
  <si>
    <t>Delores - £63750 inclusive of interest at 1.25% calculated from November 2016 on £50,000 loan (interest £13750)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</si>
</sst>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Red]\(#,##0\)"/>
  </numFmts>
  <fonts count="1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2"/>
      <color rgb="FF000000"/>
      <name val="Calibri"/>
      <family val="2"/>
      <scheme val="minor"/>
    </font>
    <font>
      <b/>
      <u/>
      <sz val="12"/>
      <color rgb="FF000000"/>
      <name val="Calibri"/>
      <scheme val="minor"/>
    </font>
    <font>
      <sz val="12"/>
      <color rgb="FF000000"/>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name val="Calibri"/>
      <family val="2"/>
      <scheme val="minor"/>
    </font>
    <font>
      <sz val="10"/>
      <name val="Arial"/>
      <family val="2"/>
    </font>
    <font>
      <b/>
      <i/>
      <sz val="12"/>
      <color rgb="FF000000"/>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00B0F0"/>
        <bgColor indexed="64"/>
      </patternFill>
    </fill>
  </fills>
  <borders count="4">
    <border>
      <left/>
      <right/>
      <top/>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s>
  <cellStyleXfs count="30">
    <xf numFmtId="0" fontId="0" fillId="0" borderId="0"/>
    <xf numFmtId="9" fontId="5"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4" fillId="0" borderId="0"/>
    <xf numFmtId="44" fontId="4" fillId="0" borderId="0" applyFont="0" applyFill="0" applyBorder="0" applyAlignment="0" applyProtection="0"/>
    <xf numFmtId="0" fontId="14" fillId="0" borderId="0"/>
    <xf numFmtId="44" fontId="14" fillId="0" borderId="0" applyFont="0" applyFill="0" applyBorder="0" applyAlignment="0" applyProtection="0"/>
  </cellStyleXfs>
  <cellXfs count="111">
    <xf numFmtId="0" fontId="0" fillId="0" borderId="0" xfId="0"/>
    <xf numFmtId="164" fontId="7" fillId="0" borderId="0" xfId="0" applyNumberFormat="1" applyFont="1" applyAlignment="1">
      <alignment horizontal="center"/>
    </xf>
    <xf numFmtId="164" fontId="9" fillId="0" borderId="0" xfId="0" applyNumberFormat="1" applyFont="1"/>
    <xf numFmtId="9" fontId="7" fillId="0" borderId="0" xfId="0" applyNumberFormat="1" applyFont="1" applyAlignment="1">
      <alignment horizontal="center"/>
    </xf>
    <xf numFmtId="164" fontId="9" fillId="0" borderId="1" xfId="0" applyNumberFormat="1" applyFont="1" applyBorder="1"/>
    <xf numFmtId="164" fontId="9" fillId="0" borderId="2" xfId="0" applyNumberFormat="1" applyFont="1" applyBorder="1"/>
    <xf numFmtId="164" fontId="7" fillId="0" borderId="0" xfId="0" applyNumberFormat="1" applyFont="1"/>
    <xf numFmtId="164" fontId="7" fillId="0" borderId="3" xfId="0" applyNumberFormat="1" applyFont="1" applyBorder="1"/>
    <xf numFmtId="0" fontId="0" fillId="0" borderId="0" xfId="0" applyAlignment="1">
      <alignment horizontal="center"/>
    </xf>
    <xf numFmtId="0" fontId="6" fillId="0" borderId="0" xfId="0" applyFont="1" applyAlignment="1">
      <alignment horizontal="center"/>
    </xf>
    <xf numFmtId="164" fontId="9" fillId="0" borderId="0" xfId="0" applyNumberFormat="1" applyFont="1" applyFill="1"/>
    <xf numFmtId="164" fontId="7" fillId="0" borderId="0" xfId="0" applyNumberFormat="1" applyFont="1" applyAlignment="1">
      <alignment horizontal="center" vertical="center" wrapText="1"/>
    </xf>
    <xf numFmtId="164" fontId="7" fillId="2" borderId="0" xfId="0" applyNumberFormat="1" applyFont="1" applyFill="1" applyAlignment="1">
      <alignment horizontal="center" vertical="center" wrapText="1"/>
    </xf>
    <xf numFmtId="164" fontId="7" fillId="3" borderId="0" xfId="0" applyNumberFormat="1" applyFont="1" applyFill="1" applyAlignment="1">
      <alignment horizontal="center" vertical="center" wrapText="1"/>
    </xf>
    <xf numFmtId="0" fontId="0" fillId="0" borderId="0" xfId="0" applyAlignment="1">
      <alignment horizontal="center" vertical="center"/>
    </xf>
    <xf numFmtId="9" fontId="9" fillId="0" borderId="0" xfId="0" applyNumberFormat="1" applyFont="1" applyAlignment="1">
      <alignment horizontal="center"/>
    </xf>
    <xf numFmtId="164" fontId="7" fillId="0" borderId="0" xfId="0" applyNumberFormat="1" applyFont="1" applyBorder="1"/>
    <xf numFmtId="164" fontId="7" fillId="0" borderId="0" xfId="0" applyNumberFormat="1" applyFont="1" applyBorder="1" applyAlignment="1">
      <alignment horizontal="center"/>
    </xf>
    <xf numFmtId="9" fontId="9" fillId="0" borderId="0" xfId="1" applyFont="1" applyAlignment="1">
      <alignment horizontal="center"/>
    </xf>
    <xf numFmtId="9" fontId="7" fillId="0" borderId="0" xfId="1" applyFont="1" applyAlignment="1">
      <alignment horizontal="center"/>
    </xf>
    <xf numFmtId="9" fontId="0" fillId="0" borderId="0" xfId="1" applyFont="1" applyAlignment="1">
      <alignment horizontal="center"/>
    </xf>
    <xf numFmtId="164" fontId="9" fillId="0" borderId="0" xfId="0" applyNumberFormat="1" applyFont="1" applyBorder="1"/>
    <xf numFmtId="164" fontId="7" fillId="0" borderId="0" xfId="0" applyNumberFormat="1" applyFont="1" applyFill="1" applyAlignment="1">
      <alignment horizontal="center" vertical="center" wrapText="1"/>
    </xf>
    <xf numFmtId="164" fontId="9" fillId="0" borderId="0" xfId="0" applyNumberFormat="1" applyFont="1" applyFill="1" applyBorder="1"/>
    <xf numFmtId="164" fontId="7" fillId="0" borderId="0" xfId="0" applyNumberFormat="1" applyFont="1" applyFill="1" applyBorder="1"/>
    <xf numFmtId="0" fontId="0" fillId="0" borderId="0" xfId="0" applyFill="1"/>
    <xf numFmtId="164" fontId="7" fillId="4" borderId="0" xfId="0" applyNumberFormat="1" applyFont="1" applyFill="1" applyAlignment="1">
      <alignment horizontal="center" vertical="center" wrapText="1"/>
    </xf>
    <xf numFmtId="164" fontId="7" fillId="4" borderId="3" xfId="0" applyNumberFormat="1" applyFont="1" applyFill="1" applyBorder="1"/>
    <xf numFmtId="164" fontId="7" fillId="2" borderId="3" xfId="0" applyNumberFormat="1" applyFont="1" applyFill="1" applyBorder="1"/>
    <xf numFmtId="164" fontId="7" fillId="3" borderId="3" xfId="0" applyNumberFormat="1" applyFont="1" applyFill="1" applyBorder="1"/>
    <xf numFmtId="0" fontId="0" fillId="5" borderId="0" xfId="0" applyFill="1"/>
    <xf numFmtId="0" fontId="13" fillId="5" borderId="0" xfId="26" applyFont="1" applyFill="1" applyBorder="1"/>
    <xf numFmtId="164" fontId="9" fillId="5" borderId="0" xfId="0" applyNumberFormat="1" applyFont="1" applyFill="1" applyBorder="1"/>
    <xf numFmtId="164" fontId="9" fillId="4" borderId="0" xfId="0" applyNumberFormat="1" applyFont="1" applyFill="1"/>
    <xf numFmtId="0" fontId="2" fillId="5" borderId="0" xfId="26" applyFont="1" applyFill="1" applyBorder="1"/>
    <xf numFmtId="164" fontId="7" fillId="0" borderId="0" xfId="0" applyNumberFormat="1" applyFont="1" applyAlignment="1">
      <alignment horizontal="center"/>
    </xf>
    <xf numFmtId="164" fontId="9" fillId="0" borderId="1" xfId="0" applyNumberFormat="1" applyFont="1" applyBorder="1" applyAlignment="1"/>
    <xf numFmtId="164" fontId="7" fillId="4" borderId="0" xfId="0" applyNumberFormat="1" applyFont="1" applyFill="1" applyAlignment="1">
      <alignment horizontal="center"/>
    </xf>
    <xf numFmtId="9" fontId="9" fillId="4" borderId="0" xfId="1" applyFont="1" applyFill="1" applyAlignment="1">
      <alignment horizontal="center"/>
    </xf>
    <xf numFmtId="9" fontId="9" fillId="4" borderId="0" xfId="0" applyNumberFormat="1" applyFont="1" applyFill="1" applyAlignment="1">
      <alignment horizontal="center"/>
    </xf>
    <xf numFmtId="164" fontId="9" fillId="4" borderId="1" xfId="0" applyNumberFormat="1" applyFont="1" applyFill="1" applyBorder="1"/>
    <xf numFmtId="164" fontId="9" fillId="4" borderId="2" xfId="0" applyNumberFormat="1" applyFont="1" applyFill="1" applyBorder="1"/>
    <xf numFmtId="164" fontId="9" fillId="4" borderId="0" xfId="0" applyNumberFormat="1" applyFont="1" applyFill="1" applyBorder="1"/>
    <xf numFmtId="0" fontId="0" fillId="4" borderId="0" xfId="0" applyFill="1"/>
    <xf numFmtId="0" fontId="13" fillId="4" borderId="0" xfId="26" applyFont="1" applyFill="1" applyBorder="1"/>
    <xf numFmtId="9" fontId="9" fillId="0" borderId="0" xfId="1" applyFont="1" applyFill="1" applyAlignment="1">
      <alignment horizontal="center"/>
    </xf>
    <xf numFmtId="9" fontId="9" fillId="0" borderId="0" xfId="0" applyNumberFormat="1" applyFont="1" applyFill="1" applyAlignment="1">
      <alignment horizontal="center"/>
    </xf>
    <xf numFmtId="164" fontId="9" fillId="0" borderId="1" xfId="0" applyNumberFormat="1" applyFont="1" applyFill="1" applyBorder="1"/>
    <xf numFmtId="164" fontId="9" fillId="0" borderId="2" xfId="0" applyNumberFormat="1" applyFont="1" applyFill="1" applyBorder="1"/>
    <xf numFmtId="164" fontId="13" fillId="0" borderId="0" xfId="0" applyNumberFormat="1" applyFont="1" applyFill="1"/>
    <xf numFmtId="164" fontId="9" fillId="6" borderId="0" xfId="0" applyNumberFormat="1" applyFont="1" applyFill="1"/>
    <xf numFmtId="9" fontId="9" fillId="6" borderId="0" xfId="1" applyFont="1" applyFill="1" applyAlignment="1">
      <alignment horizontal="center"/>
    </xf>
    <xf numFmtId="9" fontId="9" fillId="6" borderId="0" xfId="0" applyNumberFormat="1" applyFont="1" applyFill="1" applyAlignment="1">
      <alignment horizontal="center"/>
    </xf>
    <xf numFmtId="164" fontId="9" fillId="6" borderId="1" xfId="0" applyNumberFormat="1" applyFont="1" applyFill="1" applyBorder="1"/>
    <xf numFmtId="164" fontId="9" fillId="6" borderId="2" xfId="0" applyNumberFormat="1" applyFont="1" applyFill="1" applyBorder="1"/>
    <xf numFmtId="164" fontId="9" fillId="6" borderId="0" xfId="0" applyNumberFormat="1" applyFont="1" applyFill="1" applyBorder="1"/>
    <xf numFmtId="0" fontId="0" fillId="6" borderId="0" xfId="0" applyFill="1"/>
    <xf numFmtId="0" fontId="13" fillId="6" borderId="0" xfId="26" applyFont="1" applyFill="1" applyBorder="1"/>
    <xf numFmtId="164" fontId="13" fillId="6" borderId="0" xfId="0" applyNumberFormat="1" applyFont="1" applyFill="1"/>
    <xf numFmtId="0" fontId="3" fillId="0" borderId="0" xfId="26" applyFont="1" applyFill="1" applyBorder="1" applyAlignment="1">
      <alignment horizontal="left"/>
    </xf>
    <xf numFmtId="164" fontId="7" fillId="4" borderId="0" xfId="0" applyNumberFormat="1" applyFont="1" applyFill="1"/>
    <xf numFmtId="164" fontId="7" fillId="0" borderId="0" xfId="0" applyNumberFormat="1" applyFont="1" applyFill="1" applyAlignment="1">
      <alignment horizontal="center"/>
    </xf>
    <xf numFmtId="0" fontId="13" fillId="0" borderId="0" xfId="26" applyFont="1" applyFill="1" applyBorder="1"/>
    <xf numFmtId="164" fontId="7" fillId="0" borderId="0" xfId="0" applyNumberFormat="1" applyFont="1" applyAlignment="1">
      <alignment horizontal="center"/>
    </xf>
    <xf numFmtId="164" fontId="9" fillId="0" borderId="0" xfId="0" applyNumberFormat="1" applyFont="1" applyAlignment="1">
      <alignment wrapText="1"/>
    </xf>
    <xf numFmtId="164" fontId="7" fillId="0" borderId="0" xfId="0" applyNumberFormat="1" applyFont="1" applyAlignment="1">
      <alignment wrapText="1"/>
    </xf>
    <xf numFmtId="164" fontId="7" fillId="0" borderId="0" xfId="0" applyNumberFormat="1" applyFont="1" applyAlignment="1">
      <alignment horizontal="center"/>
    </xf>
    <xf numFmtId="164" fontId="6" fillId="6" borderId="0" xfId="0" applyNumberFormat="1" applyFont="1" applyFill="1" applyAlignment="1">
      <alignment horizontal="center"/>
    </xf>
    <xf numFmtId="164" fontId="0" fillId="6" borderId="0" xfId="0" applyNumberFormat="1" applyFont="1" applyFill="1"/>
    <xf numFmtId="9" fontId="0" fillId="6" borderId="0" xfId="1" applyFont="1" applyFill="1" applyAlignment="1">
      <alignment horizontal="center"/>
    </xf>
    <xf numFmtId="9" fontId="0" fillId="6" borderId="0" xfId="0" applyNumberFormat="1" applyFont="1" applyFill="1" applyAlignment="1">
      <alignment horizontal="center"/>
    </xf>
    <xf numFmtId="164" fontId="0" fillId="6" borderId="1" xfId="0" applyNumberFormat="1" applyFont="1" applyFill="1" applyBorder="1"/>
    <xf numFmtId="164" fontId="0" fillId="6" borderId="2" xfId="0" applyNumberFormat="1" applyFont="1" applyFill="1" applyBorder="1"/>
    <xf numFmtId="164" fontId="0" fillId="6" borderId="0" xfId="0" applyNumberFormat="1" applyFont="1" applyFill="1" applyBorder="1"/>
    <xf numFmtId="0" fontId="0" fillId="6" borderId="0" xfId="0" applyFont="1" applyFill="1"/>
    <xf numFmtId="0" fontId="0" fillId="6" borderId="0" xfId="26" applyFont="1" applyFill="1" applyBorder="1"/>
    <xf numFmtId="164" fontId="7" fillId="7" borderId="0" xfId="0" applyNumberFormat="1" applyFont="1" applyFill="1" applyAlignment="1">
      <alignment horizontal="center"/>
    </xf>
    <xf numFmtId="164" fontId="9" fillId="7" borderId="0" xfId="0" applyNumberFormat="1" applyFont="1" applyFill="1"/>
    <xf numFmtId="9" fontId="9" fillId="7" borderId="0" xfId="1" applyFont="1" applyFill="1" applyAlignment="1">
      <alignment horizontal="center"/>
    </xf>
    <xf numFmtId="9" fontId="9" fillId="7" borderId="0" xfId="0" applyNumberFormat="1" applyFont="1" applyFill="1" applyAlignment="1">
      <alignment horizontal="center"/>
    </xf>
    <xf numFmtId="164" fontId="9" fillId="7" borderId="1" xfId="0" applyNumberFormat="1" applyFont="1" applyFill="1" applyBorder="1"/>
    <xf numFmtId="164" fontId="9" fillId="7" borderId="2" xfId="0" applyNumberFormat="1" applyFont="1" applyFill="1" applyBorder="1"/>
    <xf numFmtId="164" fontId="9" fillId="7" borderId="0" xfId="0" applyNumberFormat="1" applyFont="1" applyFill="1" applyBorder="1"/>
    <xf numFmtId="0" fontId="0" fillId="7" borderId="0" xfId="0" applyFill="1"/>
    <xf numFmtId="0" fontId="13" fillId="7" borderId="0" xfId="26" applyFont="1" applyFill="1" applyBorder="1"/>
    <xf numFmtId="164" fontId="7" fillId="0" borderId="0" xfId="0" applyNumberFormat="1" applyFont="1" applyAlignment="1">
      <alignment horizontal="center"/>
    </xf>
    <xf numFmtId="164" fontId="7" fillId="0" borderId="0" xfId="0" applyNumberFormat="1" applyFont="1" applyAlignment="1">
      <alignment horizontal="center"/>
    </xf>
    <xf numFmtId="0" fontId="6" fillId="0" borderId="0" xfId="0" applyFont="1" applyAlignment="1">
      <alignment horizontal="center" vertical="center"/>
    </xf>
    <xf numFmtId="164" fontId="9" fillId="0" borderId="0" xfId="0" applyNumberFormat="1" applyFont="1" applyAlignment="1">
      <alignment vertical="top" wrapText="1"/>
    </xf>
    <xf numFmtId="164" fontId="9" fillId="0" borderId="0" xfId="0" applyNumberFormat="1" applyFont="1" applyAlignment="1">
      <alignment vertical="top"/>
    </xf>
    <xf numFmtId="9" fontId="9" fillId="0" borderId="0" xfId="1" applyFont="1" applyAlignment="1">
      <alignment horizontal="center" vertical="top"/>
    </xf>
    <xf numFmtId="9" fontId="9" fillId="0" borderId="0" xfId="0" applyNumberFormat="1" applyFont="1" applyAlignment="1">
      <alignment horizontal="center" vertical="top"/>
    </xf>
    <xf numFmtId="164" fontId="9" fillId="0" borderId="1" xfId="0" applyNumberFormat="1" applyFont="1" applyBorder="1" applyAlignment="1">
      <alignment vertical="top"/>
    </xf>
    <xf numFmtId="164" fontId="7" fillId="0" borderId="0" xfId="0" applyNumberFormat="1" applyFont="1" applyAlignment="1">
      <alignment horizontal="center" vertical="top"/>
    </xf>
    <xf numFmtId="164" fontId="9" fillId="0" borderId="2" xfId="0" applyNumberFormat="1" applyFont="1" applyBorder="1" applyAlignment="1">
      <alignment vertical="top"/>
    </xf>
    <xf numFmtId="164" fontId="9" fillId="0" borderId="0" xfId="0" applyNumberFormat="1" applyFont="1" applyFill="1" applyBorder="1" applyAlignment="1">
      <alignment vertical="top"/>
    </xf>
    <xf numFmtId="164" fontId="9" fillId="0" borderId="0" xfId="0" applyNumberFormat="1" applyFont="1" applyBorder="1" applyAlignment="1">
      <alignment vertical="top"/>
    </xf>
    <xf numFmtId="3" fontId="0" fillId="0" borderId="0" xfId="0" applyNumberFormat="1" applyAlignment="1">
      <alignment vertical="top"/>
    </xf>
    <xf numFmtId="164" fontId="9" fillId="0" borderId="0" xfId="0" applyNumberFormat="1" applyFont="1" applyBorder="1" applyAlignment="1">
      <alignment vertical="top" wrapText="1"/>
    </xf>
    <xf numFmtId="0" fontId="0" fillId="0" borderId="0" xfId="0" applyAlignment="1">
      <alignment vertical="top"/>
    </xf>
    <xf numFmtId="0" fontId="0" fillId="0" borderId="0" xfId="0" applyAlignment="1">
      <alignment vertical="top" wrapText="1"/>
    </xf>
    <xf numFmtId="0" fontId="0" fillId="0" borderId="0" xfId="0" applyFill="1" applyAlignment="1">
      <alignment vertical="top" wrapText="1"/>
    </xf>
    <xf numFmtId="164" fontId="9" fillId="0" borderId="0" xfId="0" applyNumberFormat="1" applyFont="1" applyFill="1" applyAlignment="1">
      <alignment vertical="top"/>
    </xf>
    <xf numFmtId="9" fontId="9" fillId="0" borderId="0" xfId="1" applyFont="1" applyFill="1" applyAlignment="1">
      <alignment horizontal="center" vertical="top"/>
    </xf>
    <xf numFmtId="164" fontId="9" fillId="0" borderId="1" xfId="0" applyNumberFormat="1" applyFont="1" applyFill="1" applyBorder="1" applyAlignment="1">
      <alignment vertical="top"/>
    </xf>
    <xf numFmtId="0" fontId="1" fillId="0" borderId="0" xfId="0" applyFont="1" applyAlignment="1">
      <alignment vertical="center"/>
    </xf>
    <xf numFmtId="0" fontId="0" fillId="0" borderId="0" xfId="0" applyFill="1" applyAlignment="1">
      <alignment vertical="top"/>
    </xf>
    <xf numFmtId="9" fontId="7" fillId="0" borderId="0" xfId="1" applyFont="1" applyAlignment="1">
      <alignment horizontal="center" vertical="center" wrapText="1"/>
    </xf>
    <xf numFmtId="164" fontId="7" fillId="0" borderId="0" xfId="0" applyNumberFormat="1" applyFont="1" applyFill="1" applyAlignment="1">
      <alignment horizontal="center" vertical="center" wrapText="1"/>
    </xf>
    <xf numFmtId="164" fontId="7" fillId="0" borderId="0" xfId="0" applyNumberFormat="1" applyFont="1" applyAlignment="1">
      <alignment horizontal="center"/>
    </xf>
    <xf numFmtId="164" fontId="8" fillId="0" borderId="0" xfId="0" applyNumberFormat="1" applyFont="1" applyAlignment="1">
      <alignment horizontal="center"/>
    </xf>
  </cellXfs>
  <cellStyles count="30">
    <cellStyle name="Currency 2" xfId="29"/>
    <cellStyle name="Currency 3" xfId="2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Normal" xfId="0" builtinId="0"/>
    <cellStyle name="Normal 2" xfId="28"/>
    <cellStyle name="Normal 3" xfId="26"/>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04"/>
  <sheetViews>
    <sheetView tabSelected="1" view="pageBreakPreview" topLeftCell="AQ176" zoomScaleNormal="60" zoomScaleSheetLayoutView="100" workbookViewId="0">
      <pane xSplit="1755" topLeftCell="C1" activePane="topRight"/>
      <selection activeCell="AQ17" sqref="AQ17"/>
      <selection pane="topRight" activeCell="D190" sqref="D190"/>
    </sheetView>
  </sheetViews>
  <sheetFormatPr defaultColWidth="11" defaultRowHeight="15.75" x14ac:dyDescent="0.25"/>
  <cols>
    <col min="1" max="1" width="3" style="9" bestFit="1" customWidth="1"/>
    <col min="2" max="2" width="32.75" customWidth="1"/>
    <col min="3" max="3" width="69.75" customWidth="1"/>
    <col min="4" max="4" width="13.75" customWidth="1"/>
    <col min="5" max="5" width="12.375" customWidth="1"/>
    <col min="6" max="6" width="20.125" customWidth="1"/>
    <col min="7" max="7" width="14.5" customWidth="1"/>
    <col min="8" max="8" width="12.25" customWidth="1"/>
    <col min="9" max="9" width="16.75" customWidth="1"/>
    <col min="10" max="10" width="19.5" customWidth="1"/>
    <col min="11" max="11" width="18.75" customWidth="1"/>
    <col min="12" max="12" width="18.25" customWidth="1"/>
    <col min="13" max="13" width="2.875" customWidth="1"/>
    <col min="14" max="14" width="6.875" style="20" customWidth="1"/>
    <col min="15" max="15" width="6.875" style="8" customWidth="1"/>
    <col min="16" max="16" width="11" customWidth="1"/>
    <col min="17" max="17" width="22.5" customWidth="1"/>
    <col min="18" max="18" width="2.875" style="25" customWidth="1"/>
    <col min="19" max="19" width="11" customWidth="1"/>
    <col min="20" max="20" width="17" customWidth="1"/>
    <col min="21" max="21" width="24.125" customWidth="1"/>
    <col min="22" max="22" width="6.875" customWidth="1"/>
    <col min="23" max="23" width="10.25" customWidth="1"/>
    <col min="24" max="24" width="2.875" customWidth="1"/>
    <col min="25" max="25" width="17.625" customWidth="1"/>
    <col min="26" max="26" width="22" customWidth="1"/>
    <col min="27" max="27" width="2.875" customWidth="1"/>
    <col min="28" max="28" width="59.375" customWidth="1"/>
    <col min="29" max="29" width="62.625" customWidth="1"/>
    <col min="30" max="30" width="53.125" customWidth="1"/>
  </cols>
  <sheetData>
    <row r="1" spans="1:30" x14ac:dyDescent="0.25">
      <c r="A1" s="109" t="s">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row>
    <row r="2" spans="1:30" x14ac:dyDescent="0.25">
      <c r="A2" s="110" t="s">
        <v>124</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row>
    <row r="3" spans="1:30" x14ac:dyDescent="0.25">
      <c r="A3" s="1"/>
      <c r="B3" s="2"/>
      <c r="C3" s="2"/>
      <c r="D3" s="2"/>
      <c r="E3" s="2"/>
      <c r="F3" s="2"/>
      <c r="G3" s="2"/>
      <c r="H3" s="2"/>
      <c r="I3" s="2"/>
      <c r="J3" s="2"/>
      <c r="K3" s="2"/>
      <c r="L3" s="2"/>
      <c r="M3" s="2"/>
      <c r="N3" s="18"/>
      <c r="O3" s="15"/>
      <c r="P3" s="2"/>
      <c r="Q3" s="2"/>
      <c r="R3" s="10"/>
      <c r="S3" s="2"/>
      <c r="T3" s="2"/>
      <c r="U3" s="2"/>
      <c r="V3" s="2"/>
      <c r="W3" s="2"/>
      <c r="X3" s="2"/>
      <c r="Y3" s="2"/>
      <c r="Z3" s="2"/>
    </row>
    <row r="4" spans="1:30" s="14" customFormat="1" ht="46.5" customHeight="1" x14ac:dyDescent="0.25">
      <c r="A4" s="11"/>
      <c r="B4" s="11" t="s">
        <v>138</v>
      </c>
      <c r="C4" s="11" t="s">
        <v>128</v>
      </c>
      <c r="D4" s="11" t="s">
        <v>125</v>
      </c>
      <c r="E4" s="11" t="s">
        <v>127</v>
      </c>
      <c r="F4" s="11" t="s">
        <v>5</v>
      </c>
      <c r="G4" s="11" t="s">
        <v>1</v>
      </c>
      <c r="H4" s="11" t="s">
        <v>2</v>
      </c>
      <c r="I4" s="11" t="s">
        <v>129</v>
      </c>
      <c r="J4" s="11" t="s">
        <v>3</v>
      </c>
      <c r="K4" s="11" t="s">
        <v>4</v>
      </c>
      <c r="L4" s="26" t="s">
        <v>6</v>
      </c>
      <c r="M4" s="11"/>
      <c r="N4" s="107" t="s">
        <v>139</v>
      </c>
      <c r="O4" s="107"/>
      <c r="P4" s="12" t="s">
        <v>7</v>
      </c>
      <c r="Q4" s="13" t="s">
        <v>8</v>
      </c>
      <c r="R4" s="22"/>
      <c r="S4" s="22" t="s">
        <v>140</v>
      </c>
      <c r="T4" s="22" t="s">
        <v>132</v>
      </c>
      <c r="U4" s="22" t="s">
        <v>135</v>
      </c>
      <c r="V4" s="108" t="s">
        <v>133</v>
      </c>
      <c r="W4" s="108"/>
      <c r="X4" s="22"/>
      <c r="Y4" s="11" t="s">
        <v>126</v>
      </c>
      <c r="Z4" s="11" t="s">
        <v>134</v>
      </c>
      <c r="AA4" s="11"/>
      <c r="AB4" s="11" t="s">
        <v>136</v>
      </c>
      <c r="AC4" s="11" t="s">
        <v>137</v>
      </c>
      <c r="AD4" s="87" t="s">
        <v>214</v>
      </c>
    </row>
    <row r="5" spans="1:30" x14ac:dyDescent="0.25">
      <c r="A5" s="1"/>
      <c r="B5" s="2"/>
      <c r="C5" s="2"/>
      <c r="D5" s="2"/>
      <c r="E5" s="2"/>
      <c r="F5" s="2"/>
      <c r="G5" s="2"/>
      <c r="H5" s="2"/>
      <c r="I5" s="2"/>
      <c r="J5" s="2"/>
      <c r="K5" s="2"/>
      <c r="L5" s="2"/>
      <c r="M5" s="2"/>
      <c r="N5" s="19" t="s">
        <v>7</v>
      </c>
      <c r="O5" s="3" t="s">
        <v>8</v>
      </c>
      <c r="P5" s="4"/>
      <c r="Q5" s="5"/>
      <c r="R5" s="23"/>
      <c r="S5" s="21"/>
      <c r="U5" s="21"/>
      <c r="V5" s="17" t="s">
        <v>7</v>
      </c>
      <c r="W5" s="17" t="s">
        <v>8</v>
      </c>
      <c r="X5" s="17"/>
      <c r="Y5" s="2"/>
      <c r="Z5" s="2"/>
    </row>
    <row r="6" spans="1:30" s="43" customFormat="1" x14ac:dyDescent="0.25">
      <c r="A6" s="37" t="s">
        <v>8</v>
      </c>
      <c r="B6" s="33" t="s">
        <v>131</v>
      </c>
      <c r="C6" s="60" t="s">
        <v>179</v>
      </c>
      <c r="D6" s="33">
        <v>600000</v>
      </c>
      <c r="E6" s="33"/>
      <c r="F6" s="33"/>
      <c r="G6" s="33">
        <v>-361819</v>
      </c>
      <c r="H6" s="33">
        <v>-250</v>
      </c>
      <c r="I6" s="33">
        <v>-200000</v>
      </c>
      <c r="J6" s="33"/>
      <c r="K6" s="33">
        <f>D6*-3%</f>
        <v>-18000</v>
      </c>
      <c r="L6" s="33">
        <f>D6+F6+G6+H6+I6+J6+K6</f>
        <v>19931</v>
      </c>
      <c r="M6" s="33"/>
      <c r="N6" s="38">
        <v>0.5</v>
      </c>
      <c r="O6" s="39">
        <v>0.5</v>
      </c>
      <c r="P6" s="40">
        <f>L6*N6</f>
        <v>9965.5</v>
      </c>
      <c r="Q6" s="41">
        <f>L6*O6</f>
        <v>9965.5</v>
      </c>
      <c r="R6" s="42"/>
      <c r="S6" s="42"/>
      <c r="T6" s="43">
        <v>828.52</v>
      </c>
      <c r="U6" s="42"/>
      <c r="V6" s="42"/>
      <c r="W6" s="42"/>
      <c r="X6" s="42"/>
      <c r="Y6" s="33"/>
      <c r="Z6" s="33"/>
      <c r="AC6" s="43" t="s">
        <v>183</v>
      </c>
    </row>
    <row r="7" spans="1:30" x14ac:dyDescent="0.25">
      <c r="A7" s="1"/>
      <c r="B7" s="2"/>
      <c r="C7" s="2"/>
      <c r="D7" s="2"/>
      <c r="E7" s="2"/>
      <c r="F7" s="2"/>
      <c r="G7" s="2"/>
      <c r="H7" s="2"/>
      <c r="I7" s="2"/>
      <c r="J7" s="2"/>
      <c r="K7" s="2"/>
      <c r="L7" s="2"/>
      <c r="M7" s="2"/>
      <c r="N7" s="18"/>
      <c r="O7" s="15"/>
      <c r="P7" s="4"/>
      <c r="Q7" s="5"/>
      <c r="R7" s="23"/>
      <c r="S7" s="21"/>
      <c r="U7" s="21"/>
      <c r="V7" s="21"/>
      <c r="W7" s="21"/>
      <c r="X7" s="21"/>
      <c r="Y7" s="2"/>
      <c r="Z7" s="2"/>
    </row>
    <row r="8" spans="1:30" ht="47.25" x14ac:dyDescent="0.25">
      <c r="A8" s="93" t="s">
        <v>7</v>
      </c>
      <c r="B8" s="89" t="s">
        <v>130</v>
      </c>
      <c r="C8" s="89" t="s">
        <v>141</v>
      </c>
      <c r="D8" s="89" t="s">
        <v>212</v>
      </c>
      <c r="E8" s="89">
        <v>1800000</v>
      </c>
      <c r="F8" s="88" t="s">
        <v>212</v>
      </c>
      <c r="G8" s="89">
        <v>-1846375</v>
      </c>
      <c r="H8" s="89">
        <v>-295</v>
      </c>
      <c r="I8" s="89">
        <v>-470000</v>
      </c>
      <c r="J8" s="89">
        <v>-114000</v>
      </c>
      <c r="K8" s="89">
        <f>-E8*3%</f>
        <v>-54000</v>
      </c>
      <c r="L8" s="89">
        <f>E8+G8+H8+I8+J8+K8</f>
        <v>-684670</v>
      </c>
      <c r="M8" s="89"/>
      <c r="N8" s="90">
        <v>1</v>
      </c>
      <c r="O8" s="91"/>
      <c r="P8" s="92">
        <f>L8</f>
        <v>-684670</v>
      </c>
      <c r="Q8" s="94"/>
      <c r="R8" s="95"/>
      <c r="S8" s="95">
        <v>0</v>
      </c>
      <c r="T8" s="97">
        <v>10000</v>
      </c>
      <c r="U8" s="98" t="s">
        <v>222</v>
      </c>
      <c r="V8" s="96">
        <v>0</v>
      </c>
      <c r="W8" s="96"/>
      <c r="X8" s="96"/>
      <c r="Y8" s="89" t="s">
        <v>212</v>
      </c>
      <c r="Z8" s="89">
        <v>350000</v>
      </c>
      <c r="AA8" s="99"/>
      <c r="AB8" s="100" t="s">
        <v>225</v>
      </c>
      <c r="AC8" s="99" t="s">
        <v>213</v>
      </c>
      <c r="AD8" s="99"/>
    </row>
    <row r="9" spans="1:30" x14ac:dyDescent="0.25">
      <c r="A9" s="1" t="s">
        <v>7</v>
      </c>
      <c r="B9" s="2" t="s">
        <v>202</v>
      </c>
      <c r="C9" s="2" t="s">
        <v>142</v>
      </c>
      <c r="D9" s="2">
        <v>200000</v>
      </c>
      <c r="E9" s="2">
        <v>125000</v>
      </c>
      <c r="F9" s="2" t="s">
        <v>212</v>
      </c>
      <c r="G9" s="2" t="s">
        <v>212</v>
      </c>
      <c r="H9" s="2"/>
      <c r="I9" s="2">
        <v>-205340</v>
      </c>
      <c r="J9" s="2">
        <v>-160000</v>
      </c>
      <c r="K9" s="2">
        <v>-6000</v>
      </c>
      <c r="L9" s="2">
        <v>-171340</v>
      </c>
      <c r="M9" s="2"/>
      <c r="N9" s="18">
        <v>1</v>
      </c>
      <c r="O9" s="15"/>
      <c r="P9" s="4">
        <v>-171340</v>
      </c>
      <c r="Q9" s="5"/>
      <c r="R9" s="23"/>
      <c r="S9" s="23">
        <v>178.59</v>
      </c>
      <c r="T9" t="s">
        <v>212</v>
      </c>
      <c r="U9" s="21" t="s">
        <v>212</v>
      </c>
      <c r="V9" s="21">
        <v>160.72999999999999</v>
      </c>
      <c r="W9" s="21">
        <v>17.86</v>
      </c>
      <c r="X9" s="21"/>
      <c r="Y9" s="2" t="s">
        <v>212</v>
      </c>
      <c r="Z9" s="2" t="s">
        <v>212</v>
      </c>
      <c r="AB9" t="s">
        <v>215</v>
      </c>
      <c r="AC9" t="s">
        <v>216</v>
      </c>
      <c r="AD9" t="s">
        <v>238</v>
      </c>
    </row>
    <row r="10" spans="1:30" x14ac:dyDescent="0.25">
      <c r="A10" s="1" t="s">
        <v>7</v>
      </c>
      <c r="B10" s="2" t="s">
        <v>9</v>
      </c>
      <c r="C10" s="2" t="s">
        <v>142</v>
      </c>
      <c r="D10" s="2">
        <v>139000</v>
      </c>
      <c r="E10" s="2">
        <v>125000</v>
      </c>
      <c r="F10" s="2" t="s">
        <v>212</v>
      </c>
      <c r="G10" s="2">
        <v>-113750</v>
      </c>
      <c r="H10" s="2"/>
      <c r="I10" s="2"/>
      <c r="J10" s="2">
        <v>-20000</v>
      </c>
      <c r="K10" s="2">
        <v>-4170</v>
      </c>
      <c r="L10" s="2">
        <v>1080</v>
      </c>
      <c r="M10" s="2"/>
      <c r="N10" s="18">
        <v>1</v>
      </c>
      <c r="O10" s="15"/>
      <c r="P10" s="4">
        <v>1080</v>
      </c>
      <c r="Q10" s="5"/>
      <c r="R10" s="23"/>
      <c r="S10" s="23">
        <v>695</v>
      </c>
      <c r="T10" t="s">
        <v>212</v>
      </c>
      <c r="U10" s="21" t="s">
        <v>212</v>
      </c>
      <c r="V10" s="21">
        <v>625.5</v>
      </c>
      <c r="W10" s="21">
        <v>69.5</v>
      </c>
      <c r="X10" s="21"/>
      <c r="Y10" s="2" t="s">
        <v>212</v>
      </c>
      <c r="Z10" s="2" t="s">
        <v>212</v>
      </c>
      <c r="AB10" t="s">
        <v>226</v>
      </c>
      <c r="AC10" t="s">
        <v>217</v>
      </c>
    </row>
    <row r="11" spans="1:30" x14ac:dyDescent="0.25">
      <c r="A11" s="63" t="s">
        <v>7</v>
      </c>
      <c r="B11" s="2" t="s">
        <v>185</v>
      </c>
      <c r="C11" s="2" t="s">
        <v>142</v>
      </c>
      <c r="D11" s="10">
        <v>110000</v>
      </c>
      <c r="E11" s="2">
        <v>85000</v>
      </c>
      <c r="F11" s="2" t="s">
        <v>212</v>
      </c>
      <c r="G11" s="2" t="s">
        <v>212</v>
      </c>
      <c r="H11" s="2"/>
      <c r="I11" s="2" t="s">
        <v>212</v>
      </c>
      <c r="J11" s="2">
        <v>-40000</v>
      </c>
      <c r="K11" s="2">
        <v>-3300</v>
      </c>
      <c r="L11" s="2"/>
      <c r="M11" s="2"/>
      <c r="N11" s="18">
        <v>1</v>
      </c>
      <c r="O11" s="15"/>
      <c r="P11" s="4"/>
      <c r="Q11" s="5"/>
      <c r="R11" s="23"/>
      <c r="S11" s="23">
        <v>550</v>
      </c>
      <c r="T11" t="s">
        <v>212</v>
      </c>
      <c r="U11" s="21" t="s">
        <v>212</v>
      </c>
      <c r="V11" s="21">
        <v>495</v>
      </c>
      <c r="W11" s="21">
        <v>55</v>
      </c>
      <c r="X11" s="21"/>
      <c r="Y11" s="2" t="s">
        <v>212</v>
      </c>
      <c r="Z11" s="2" t="s">
        <v>212</v>
      </c>
      <c r="AB11" t="s">
        <v>218</v>
      </c>
      <c r="AC11" t="s">
        <v>219</v>
      </c>
    </row>
    <row r="12" spans="1:30" x14ac:dyDescent="0.25">
      <c r="A12" s="85" t="s">
        <v>7</v>
      </c>
      <c r="B12" s="2" t="s">
        <v>207</v>
      </c>
      <c r="C12" s="2" t="s">
        <v>236</v>
      </c>
      <c r="D12" s="2" t="s">
        <v>256</v>
      </c>
      <c r="E12" s="2" t="s">
        <v>256</v>
      </c>
      <c r="F12" s="2" t="s">
        <v>256</v>
      </c>
      <c r="G12" s="2" t="s">
        <v>256</v>
      </c>
      <c r="H12" s="2" t="s">
        <v>256</v>
      </c>
      <c r="I12" s="2" t="s">
        <v>256</v>
      </c>
      <c r="J12" s="2" t="s">
        <v>256</v>
      </c>
      <c r="K12" s="2" t="s">
        <v>256</v>
      </c>
      <c r="L12" s="2" t="s">
        <v>256</v>
      </c>
      <c r="M12" s="2"/>
      <c r="N12" s="18">
        <v>0</v>
      </c>
      <c r="O12" s="15">
        <v>0</v>
      </c>
      <c r="P12" s="4"/>
      <c r="Q12" s="5"/>
      <c r="R12" s="23"/>
      <c r="S12" s="21">
        <v>0</v>
      </c>
      <c r="T12" t="s">
        <v>256</v>
      </c>
      <c r="U12" s="21" t="s">
        <v>256</v>
      </c>
      <c r="V12" s="21">
        <v>0</v>
      </c>
      <c r="W12" s="21">
        <v>0</v>
      </c>
      <c r="X12" s="21"/>
      <c r="Y12" s="2" t="s">
        <v>244</v>
      </c>
      <c r="Z12" s="2" t="s">
        <v>244</v>
      </c>
      <c r="AD12" t="s">
        <v>242</v>
      </c>
    </row>
    <row r="13" spans="1:30" x14ac:dyDescent="0.25">
      <c r="A13" s="85" t="s">
        <v>7</v>
      </c>
      <c r="B13" s="2" t="s">
        <v>208</v>
      </c>
      <c r="C13" s="2" t="s">
        <v>237</v>
      </c>
      <c r="D13" s="2" t="s">
        <v>256</v>
      </c>
      <c r="E13" s="2" t="s">
        <v>256</v>
      </c>
      <c r="F13" s="2" t="s">
        <v>256</v>
      </c>
      <c r="G13" s="2" t="s">
        <v>256</v>
      </c>
      <c r="H13" s="2" t="s">
        <v>256</v>
      </c>
      <c r="I13" s="2" t="s">
        <v>256</v>
      </c>
      <c r="J13" s="2" t="s">
        <v>256</v>
      </c>
      <c r="K13" s="2" t="s">
        <v>256</v>
      </c>
      <c r="L13" s="2" t="s">
        <v>256</v>
      </c>
      <c r="M13" s="2"/>
      <c r="N13" s="18">
        <v>0</v>
      </c>
      <c r="O13" s="15">
        <v>0</v>
      </c>
      <c r="P13" s="4"/>
      <c r="Q13" s="5"/>
      <c r="R13" s="23"/>
      <c r="S13" s="21">
        <v>0</v>
      </c>
      <c r="T13" t="s">
        <v>256</v>
      </c>
      <c r="U13" s="21" t="s">
        <v>256</v>
      </c>
      <c r="V13" s="21">
        <v>0</v>
      </c>
      <c r="W13" s="21">
        <v>0</v>
      </c>
      <c r="X13" s="21"/>
      <c r="Y13" s="2" t="s">
        <v>244</v>
      </c>
      <c r="Z13" s="2" t="s">
        <v>244</v>
      </c>
      <c r="AD13" t="s">
        <v>243</v>
      </c>
    </row>
    <row r="14" spans="1:30" x14ac:dyDescent="0.25">
      <c r="A14" s="85" t="s">
        <v>7</v>
      </c>
      <c r="B14" s="2" t="s">
        <v>209</v>
      </c>
      <c r="C14" s="2" t="s">
        <v>237</v>
      </c>
      <c r="D14" s="2" t="s">
        <v>256</v>
      </c>
      <c r="E14" s="2" t="s">
        <v>256</v>
      </c>
      <c r="F14" s="2" t="s">
        <v>256</v>
      </c>
      <c r="G14" s="2" t="s">
        <v>256</v>
      </c>
      <c r="H14" s="2" t="s">
        <v>256</v>
      </c>
      <c r="I14" s="2" t="s">
        <v>256</v>
      </c>
      <c r="J14" s="2" t="s">
        <v>256</v>
      </c>
      <c r="K14" s="2" t="s">
        <v>256</v>
      </c>
      <c r="L14" s="2" t="s">
        <v>256</v>
      </c>
      <c r="M14" s="2"/>
      <c r="N14" s="18">
        <v>0</v>
      </c>
      <c r="O14" s="15">
        <v>0</v>
      </c>
      <c r="P14" s="4"/>
      <c r="Q14" s="5"/>
      <c r="R14" s="23"/>
      <c r="S14" s="21">
        <v>0</v>
      </c>
      <c r="T14" t="s">
        <v>256</v>
      </c>
      <c r="U14" s="21" t="s">
        <v>256</v>
      </c>
      <c r="V14" s="21">
        <v>0</v>
      </c>
      <c r="W14" s="21">
        <v>85.7</v>
      </c>
      <c r="X14" s="21"/>
      <c r="Y14" s="2" t="s">
        <v>244</v>
      </c>
      <c r="Z14" s="2" t="s">
        <v>244</v>
      </c>
      <c r="AD14" t="s">
        <v>248</v>
      </c>
    </row>
    <row r="15" spans="1:30" x14ac:dyDescent="0.25">
      <c r="A15" s="85" t="s">
        <v>7</v>
      </c>
      <c r="B15" s="2" t="s">
        <v>210</v>
      </c>
      <c r="C15" s="2" t="s">
        <v>237</v>
      </c>
      <c r="D15" s="2" t="s">
        <v>256</v>
      </c>
      <c r="E15" s="2" t="s">
        <v>256</v>
      </c>
      <c r="F15" s="2" t="s">
        <v>256</v>
      </c>
      <c r="G15" s="2" t="s">
        <v>256</v>
      </c>
      <c r="H15" s="2" t="s">
        <v>256</v>
      </c>
      <c r="I15" s="2" t="s">
        <v>256</v>
      </c>
      <c r="J15" s="2" t="s">
        <v>256</v>
      </c>
      <c r="K15" s="2" t="s">
        <v>256</v>
      </c>
      <c r="L15" s="2" t="s">
        <v>256</v>
      </c>
      <c r="M15" s="2"/>
      <c r="N15" s="18">
        <v>0</v>
      </c>
      <c r="O15" s="15">
        <v>0</v>
      </c>
      <c r="P15" s="4"/>
      <c r="Q15" s="5"/>
      <c r="R15" s="23"/>
      <c r="S15" s="21">
        <v>0</v>
      </c>
      <c r="T15" t="s">
        <v>256</v>
      </c>
      <c r="U15" s="21" t="s">
        <v>256</v>
      </c>
      <c r="V15" s="21">
        <v>0</v>
      </c>
      <c r="W15" s="21">
        <v>25.7</v>
      </c>
      <c r="X15" s="21"/>
      <c r="Y15" s="2" t="s">
        <v>244</v>
      </c>
      <c r="Z15" s="2" t="s">
        <v>244</v>
      </c>
      <c r="AD15" t="s">
        <v>249</v>
      </c>
    </row>
    <row r="16" spans="1:30" x14ac:dyDescent="0.25">
      <c r="A16" s="85"/>
      <c r="B16" s="2"/>
      <c r="C16" s="2"/>
      <c r="D16" s="2"/>
      <c r="E16" s="2"/>
      <c r="F16" s="2"/>
      <c r="G16" s="2"/>
      <c r="H16" s="2"/>
      <c r="I16" s="2"/>
      <c r="J16" s="2"/>
      <c r="K16" s="2"/>
      <c r="L16" s="2"/>
      <c r="M16" s="2"/>
      <c r="N16" s="18"/>
      <c r="O16" s="15"/>
      <c r="P16" s="4"/>
      <c r="Q16" s="5"/>
      <c r="R16" s="23"/>
      <c r="S16" s="21"/>
      <c r="U16" s="21"/>
      <c r="V16" s="21"/>
      <c r="W16" s="21"/>
      <c r="X16" s="21"/>
      <c r="Y16" s="2"/>
      <c r="Z16" s="2"/>
    </row>
    <row r="17" spans="1:30" x14ac:dyDescent="0.25">
      <c r="A17" s="63" t="s">
        <v>7</v>
      </c>
      <c r="B17" s="65" t="s">
        <v>186</v>
      </c>
      <c r="C17" s="2"/>
      <c r="D17" s="2"/>
      <c r="E17" s="2"/>
      <c r="F17" s="2"/>
      <c r="G17" s="2"/>
      <c r="H17" s="2"/>
      <c r="I17" s="2"/>
      <c r="J17" s="2"/>
      <c r="K17" s="2"/>
      <c r="L17" s="2"/>
      <c r="M17" s="2"/>
      <c r="N17" s="18"/>
      <c r="O17" s="15"/>
      <c r="P17" s="4"/>
      <c r="Q17" s="5"/>
      <c r="R17" s="23"/>
      <c r="S17" s="21"/>
      <c r="U17" s="21"/>
      <c r="V17" s="21"/>
      <c r="W17" s="21"/>
      <c r="X17" s="21"/>
      <c r="Y17" s="2"/>
      <c r="Z17" s="2"/>
    </row>
    <row r="18" spans="1:30" ht="111.75" customHeight="1" x14ac:dyDescent="0.25">
      <c r="A18" s="93" t="s">
        <v>7</v>
      </c>
      <c r="B18" s="88" t="s">
        <v>187</v>
      </c>
      <c r="C18" s="89" t="s">
        <v>245</v>
      </c>
      <c r="D18" s="102" t="s">
        <v>244</v>
      </c>
      <c r="E18" s="89">
        <v>250000</v>
      </c>
      <c r="F18" s="89" t="s">
        <v>244</v>
      </c>
      <c r="G18" s="102" t="s">
        <v>244</v>
      </c>
      <c r="H18" s="89" t="s">
        <v>244</v>
      </c>
      <c r="I18" s="102" t="s">
        <v>244</v>
      </c>
      <c r="J18" s="89">
        <v>-211000</v>
      </c>
      <c r="K18" s="89" t="s">
        <v>244</v>
      </c>
      <c r="L18" s="89" t="s">
        <v>244</v>
      </c>
      <c r="M18" s="89"/>
      <c r="N18" s="103">
        <v>0.4</v>
      </c>
      <c r="O18" s="91">
        <v>0</v>
      </c>
      <c r="P18" s="92"/>
      <c r="Q18" s="94"/>
      <c r="R18" s="95"/>
      <c r="S18" s="95" t="s">
        <v>271</v>
      </c>
      <c r="T18" s="99" t="s">
        <v>244</v>
      </c>
      <c r="U18" s="96" t="s">
        <v>244</v>
      </c>
      <c r="V18" s="96">
        <v>0</v>
      </c>
      <c r="W18" s="96">
        <v>0</v>
      </c>
      <c r="X18" s="96"/>
      <c r="Y18" s="89" t="s">
        <v>244</v>
      </c>
      <c r="Z18" s="89" t="s">
        <v>244</v>
      </c>
      <c r="AA18" s="99"/>
      <c r="AB18" s="100" t="s">
        <v>233</v>
      </c>
      <c r="AC18" s="101" t="s">
        <v>314</v>
      </c>
      <c r="AD18" s="100" t="s">
        <v>250</v>
      </c>
    </row>
    <row r="19" spans="1:30" x14ac:dyDescent="0.25">
      <c r="A19" s="63" t="s">
        <v>7</v>
      </c>
      <c r="B19" s="64" t="s">
        <v>188</v>
      </c>
      <c r="C19" s="2" t="s">
        <v>246</v>
      </c>
      <c r="D19" s="2"/>
      <c r="E19" s="2"/>
      <c r="F19" s="2"/>
      <c r="G19" s="2"/>
      <c r="H19" s="2"/>
      <c r="I19" s="2"/>
      <c r="J19" s="2"/>
      <c r="K19" s="2"/>
      <c r="L19" s="2"/>
      <c r="M19" s="2"/>
      <c r="N19" s="18"/>
      <c r="O19" s="15"/>
      <c r="P19" s="4"/>
      <c r="Q19" s="5"/>
      <c r="R19" s="23"/>
      <c r="S19" s="23"/>
      <c r="U19" s="21"/>
      <c r="V19" s="21"/>
      <c r="W19" s="21"/>
      <c r="X19" s="21"/>
      <c r="Y19" s="2"/>
      <c r="Z19" s="2"/>
    </row>
    <row r="20" spans="1:30" x14ac:dyDescent="0.25">
      <c r="A20" s="63"/>
      <c r="B20" s="2"/>
      <c r="C20" s="2"/>
      <c r="D20" s="2"/>
      <c r="E20" s="2"/>
      <c r="F20" s="2"/>
      <c r="G20" s="2"/>
      <c r="H20" s="2"/>
      <c r="I20" s="2"/>
      <c r="J20" s="2"/>
      <c r="K20" s="2"/>
      <c r="L20" s="2"/>
      <c r="M20" s="2"/>
      <c r="N20" s="18"/>
      <c r="O20" s="15"/>
      <c r="P20" s="4"/>
      <c r="Q20" s="5"/>
      <c r="R20" s="23"/>
      <c r="S20" s="21"/>
      <c r="U20" s="21"/>
      <c r="V20" s="21"/>
      <c r="W20" s="21"/>
      <c r="X20" s="21"/>
      <c r="Y20" s="2"/>
      <c r="Z20" s="2"/>
    </row>
    <row r="21" spans="1:30" x14ac:dyDescent="0.25">
      <c r="A21" s="63" t="s">
        <v>7</v>
      </c>
      <c r="B21" s="6" t="s">
        <v>189</v>
      </c>
      <c r="C21" s="2"/>
      <c r="D21" s="2"/>
      <c r="E21" s="2"/>
      <c r="F21" s="2"/>
      <c r="G21" s="2"/>
      <c r="H21" s="2"/>
      <c r="I21" s="2"/>
      <c r="J21" s="2"/>
      <c r="K21" s="2"/>
      <c r="L21" s="2"/>
      <c r="M21" s="2"/>
      <c r="N21" s="18"/>
      <c r="O21" s="15"/>
      <c r="P21" s="4"/>
      <c r="Q21" s="5"/>
      <c r="R21" s="23"/>
      <c r="S21" s="21"/>
      <c r="U21" s="21"/>
      <c r="V21" s="21"/>
      <c r="W21" s="21"/>
      <c r="X21" s="21"/>
      <c r="Y21" s="2"/>
      <c r="Z21" s="2"/>
    </row>
    <row r="22" spans="1:30" s="99" customFormat="1" ht="90.75" customHeight="1" x14ac:dyDescent="0.25">
      <c r="A22" s="93" t="s">
        <v>7</v>
      </c>
      <c r="B22" s="89" t="s">
        <v>190</v>
      </c>
      <c r="C22" s="89" t="s">
        <v>247</v>
      </c>
      <c r="D22" s="89">
        <v>170000</v>
      </c>
      <c r="E22" s="89">
        <v>136000</v>
      </c>
      <c r="F22" s="89" t="s">
        <v>212</v>
      </c>
      <c r="G22" s="102" t="s">
        <v>212</v>
      </c>
      <c r="H22" s="89" t="s">
        <v>212</v>
      </c>
      <c r="I22" s="102" t="s">
        <v>212</v>
      </c>
      <c r="J22" s="89">
        <v>-290500</v>
      </c>
      <c r="K22" s="89">
        <v>-5100</v>
      </c>
      <c r="L22" s="89">
        <f>D22+J22+K22</f>
        <v>-125600</v>
      </c>
      <c r="M22" s="89"/>
      <c r="N22" s="90">
        <v>0.5</v>
      </c>
      <c r="O22" s="91">
        <v>0</v>
      </c>
      <c r="P22" s="92">
        <f>L22*50%</f>
        <v>-62800</v>
      </c>
      <c r="Q22" s="94"/>
      <c r="R22" s="95"/>
      <c r="S22" s="96">
        <v>45500</v>
      </c>
      <c r="T22" s="99" t="s">
        <v>212</v>
      </c>
      <c r="U22" s="96" t="s">
        <v>212</v>
      </c>
      <c r="V22" s="96" t="s">
        <v>212</v>
      </c>
      <c r="W22" s="96">
        <v>0</v>
      </c>
      <c r="X22" s="96"/>
      <c r="Y22" s="89">
        <v>350000</v>
      </c>
      <c r="Z22" s="89" t="s">
        <v>212</v>
      </c>
      <c r="AB22" s="99" t="s">
        <v>220</v>
      </c>
      <c r="AC22" s="100" t="s">
        <v>252</v>
      </c>
      <c r="AD22" s="99" t="s">
        <v>241</v>
      </c>
    </row>
    <row r="23" spans="1:30" ht="147" customHeight="1" x14ac:dyDescent="0.25">
      <c r="A23" s="93" t="s">
        <v>7</v>
      </c>
      <c r="B23" s="89" t="s">
        <v>191</v>
      </c>
      <c r="C23" s="89" t="s">
        <v>247</v>
      </c>
      <c r="D23" s="89">
        <v>450000</v>
      </c>
      <c r="E23" s="89">
        <v>249950</v>
      </c>
      <c r="F23" s="89" t="s">
        <v>212</v>
      </c>
      <c r="G23" s="102" t="s">
        <v>212</v>
      </c>
      <c r="H23" s="89" t="s">
        <v>212</v>
      </c>
      <c r="I23" s="102" t="s">
        <v>212</v>
      </c>
      <c r="J23" s="89">
        <v>-301572.08</v>
      </c>
      <c r="K23" s="89">
        <v>-13500</v>
      </c>
      <c r="L23" s="89">
        <f>E23+J23+K23</f>
        <v>-65122.080000000016</v>
      </c>
      <c r="M23" s="89"/>
      <c r="N23" s="90">
        <v>0.5</v>
      </c>
      <c r="O23" s="91">
        <v>0</v>
      </c>
      <c r="P23" s="92">
        <f>L23*50%</f>
        <v>-32561.040000000008</v>
      </c>
      <c r="Q23" s="94"/>
      <c r="R23" s="95"/>
      <c r="S23" s="96">
        <v>53560</v>
      </c>
      <c r="T23" s="99" t="s">
        <v>212</v>
      </c>
      <c r="U23" s="96" t="s">
        <v>212</v>
      </c>
      <c r="V23" s="96" t="s">
        <v>212</v>
      </c>
      <c r="W23" s="96">
        <v>0</v>
      </c>
      <c r="X23" s="96"/>
      <c r="Y23" s="89">
        <v>450000</v>
      </c>
      <c r="Z23" s="89" t="s">
        <v>212</v>
      </c>
      <c r="AA23" s="99"/>
      <c r="AB23" s="99" t="s">
        <v>221</v>
      </c>
      <c r="AC23" s="100" t="s">
        <v>251</v>
      </c>
    </row>
    <row r="24" spans="1:30" x14ac:dyDescent="0.25">
      <c r="A24" s="63" t="s">
        <v>7</v>
      </c>
      <c r="B24" s="6" t="s">
        <v>195</v>
      </c>
      <c r="C24" s="2"/>
      <c r="D24" s="2"/>
      <c r="E24" s="2"/>
      <c r="F24" s="2"/>
      <c r="G24" s="2"/>
      <c r="H24" s="2"/>
      <c r="I24" s="2"/>
      <c r="J24" s="2"/>
      <c r="K24" s="2"/>
      <c r="L24" s="2"/>
      <c r="M24" s="2"/>
      <c r="N24" s="18"/>
      <c r="O24" s="15"/>
      <c r="P24" s="4"/>
      <c r="Q24" s="5"/>
      <c r="R24" s="23"/>
      <c r="S24" s="21"/>
      <c r="U24" s="21"/>
      <c r="V24" s="21"/>
      <c r="W24" s="21"/>
      <c r="X24" s="21"/>
      <c r="Y24" s="2"/>
      <c r="Z24" s="2"/>
    </row>
    <row r="25" spans="1:30" x14ac:dyDescent="0.25">
      <c r="A25" s="63" t="s">
        <v>7</v>
      </c>
      <c r="B25" s="2" t="s">
        <v>192</v>
      </c>
      <c r="C25" s="2" t="s">
        <v>240</v>
      </c>
      <c r="D25" s="2" t="s">
        <v>256</v>
      </c>
      <c r="E25" s="2" t="s">
        <v>256</v>
      </c>
      <c r="F25" s="2" t="s">
        <v>256</v>
      </c>
      <c r="G25" s="2" t="s">
        <v>256</v>
      </c>
      <c r="H25" s="2" t="s">
        <v>256</v>
      </c>
      <c r="I25" s="2" t="s">
        <v>256</v>
      </c>
      <c r="J25" s="2" t="s">
        <v>256</v>
      </c>
      <c r="K25" s="2" t="s">
        <v>256</v>
      </c>
      <c r="L25" s="2" t="s">
        <v>256</v>
      </c>
      <c r="M25" s="2"/>
      <c r="N25" s="18">
        <v>0</v>
      </c>
      <c r="O25" s="15">
        <v>0</v>
      </c>
      <c r="P25" s="4" t="s">
        <v>212</v>
      </c>
      <c r="Q25" s="5"/>
      <c r="R25" s="23"/>
      <c r="S25" s="21" t="s">
        <v>256</v>
      </c>
      <c r="T25" t="s">
        <v>256</v>
      </c>
      <c r="U25" s="21" t="s">
        <v>256</v>
      </c>
      <c r="V25" s="21">
        <v>0</v>
      </c>
      <c r="W25" s="21">
        <v>0</v>
      </c>
      <c r="X25" s="21"/>
      <c r="Y25" s="2" t="s">
        <v>244</v>
      </c>
      <c r="Z25" s="2" t="s">
        <v>244</v>
      </c>
      <c r="AB25" t="s">
        <v>256</v>
      </c>
      <c r="AC25" s="2" t="s">
        <v>256</v>
      </c>
      <c r="AD25" s="105" t="s">
        <v>239</v>
      </c>
    </row>
    <row r="26" spans="1:30" x14ac:dyDescent="0.25">
      <c r="A26" s="63" t="s">
        <v>7</v>
      </c>
      <c r="B26" s="2" t="s">
        <v>193</v>
      </c>
      <c r="C26" s="2" t="s">
        <v>240</v>
      </c>
      <c r="D26" s="2" t="s">
        <v>256</v>
      </c>
      <c r="E26" s="2" t="s">
        <v>256</v>
      </c>
      <c r="F26" s="2" t="s">
        <v>256</v>
      </c>
      <c r="G26" s="2" t="s">
        <v>256</v>
      </c>
      <c r="H26" s="2" t="s">
        <v>256</v>
      </c>
      <c r="I26" s="2" t="s">
        <v>256</v>
      </c>
      <c r="J26" s="2" t="s">
        <v>256</v>
      </c>
      <c r="K26" s="2" t="s">
        <v>256</v>
      </c>
      <c r="L26" s="2" t="s">
        <v>256</v>
      </c>
      <c r="M26" s="2"/>
      <c r="N26" s="18">
        <v>0</v>
      </c>
      <c r="O26" s="15">
        <v>0</v>
      </c>
      <c r="P26" s="4" t="s">
        <v>212</v>
      </c>
      <c r="Q26" s="5"/>
      <c r="R26" s="23"/>
      <c r="S26" s="21" t="s">
        <v>256</v>
      </c>
      <c r="T26" t="s">
        <v>256</v>
      </c>
      <c r="U26" s="21" t="s">
        <v>256</v>
      </c>
      <c r="V26" s="21">
        <v>0</v>
      </c>
      <c r="W26" s="21">
        <v>0</v>
      </c>
      <c r="X26" s="21"/>
      <c r="Y26" s="2" t="s">
        <v>244</v>
      </c>
      <c r="Z26" s="2" t="s">
        <v>244</v>
      </c>
      <c r="AB26" t="s">
        <v>256</v>
      </c>
      <c r="AC26" s="2" t="s">
        <v>256</v>
      </c>
      <c r="AD26" t="s">
        <v>253</v>
      </c>
    </row>
    <row r="27" spans="1:30" x14ac:dyDescent="0.25">
      <c r="A27" s="63"/>
      <c r="B27" s="2"/>
      <c r="C27" s="2"/>
      <c r="D27" s="2"/>
      <c r="E27" s="2"/>
      <c r="F27" s="2"/>
      <c r="G27" s="2"/>
      <c r="H27" s="2"/>
      <c r="I27" s="2"/>
      <c r="J27" s="2"/>
      <c r="K27" s="2"/>
      <c r="L27" s="2"/>
      <c r="M27" s="2"/>
      <c r="N27" s="18"/>
      <c r="O27" s="15"/>
      <c r="P27" s="4"/>
      <c r="Q27" s="5"/>
      <c r="R27" s="23"/>
      <c r="S27" s="21"/>
      <c r="U27" s="21"/>
      <c r="V27" s="21"/>
      <c r="W27" s="21"/>
      <c r="X27" s="21"/>
      <c r="Y27" s="2"/>
      <c r="Z27" s="2"/>
    </row>
    <row r="28" spans="1:30" x14ac:dyDescent="0.25">
      <c r="A28" s="63" t="s">
        <v>8</v>
      </c>
      <c r="B28" s="6" t="s">
        <v>254</v>
      </c>
      <c r="C28" s="2"/>
      <c r="D28" s="2"/>
      <c r="E28" s="2"/>
      <c r="F28" s="2"/>
      <c r="G28" s="2"/>
      <c r="H28" s="2"/>
      <c r="I28" s="2"/>
      <c r="J28" s="2"/>
      <c r="K28" s="2"/>
      <c r="L28" s="2"/>
      <c r="M28" s="2"/>
      <c r="N28" s="18"/>
      <c r="O28" s="15"/>
      <c r="P28" s="4"/>
      <c r="Q28" s="5"/>
      <c r="R28" s="23"/>
      <c r="S28" s="21"/>
      <c r="U28" s="21"/>
      <c r="V28" s="21"/>
      <c r="W28" s="21"/>
      <c r="X28" s="21"/>
      <c r="Y28" s="2"/>
      <c r="Z28" s="2"/>
    </row>
    <row r="29" spans="1:30" x14ac:dyDescent="0.25">
      <c r="A29" s="63" t="s">
        <v>8</v>
      </c>
      <c r="B29" s="2" t="s">
        <v>184</v>
      </c>
      <c r="C29" s="2" t="s">
        <v>255</v>
      </c>
      <c r="D29" s="2">
        <v>200000</v>
      </c>
      <c r="E29" s="10" t="s">
        <v>212</v>
      </c>
      <c r="F29" s="2" t="s">
        <v>212</v>
      </c>
      <c r="G29" s="10" t="s">
        <v>212</v>
      </c>
      <c r="H29" s="2" t="s">
        <v>212</v>
      </c>
      <c r="I29" s="10">
        <v>0</v>
      </c>
      <c r="J29" s="10">
        <v>0</v>
      </c>
      <c r="K29" s="2">
        <f>-D29*3%</f>
        <v>-6000</v>
      </c>
      <c r="L29" s="2">
        <v>194000</v>
      </c>
      <c r="M29" s="2"/>
      <c r="N29" s="18"/>
      <c r="O29" s="15">
        <v>1</v>
      </c>
      <c r="P29" s="4">
        <v>0</v>
      </c>
      <c r="Q29" s="5">
        <v>194000</v>
      </c>
      <c r="R29" s="23"/>
      <c r="S29" s="23" t="s">
        <v>244</v>
      </c>
      <c r="T29" t="s">
        <v>244</v>
      </c>
      <c r="U29" s="21" t="s">
        <v>244</v>
      </c>
      <c r="V29" s="21"/>
      <c r="W29" s="21"/>
      <c r="X29" s="21"/>
      <c r="Y29" s="2" t="s">
        <v>244</v>
      </c>
      <c r="Z29" s="2" t="s">
        <v>244</v>
      </c>
      <c r="AB29" t="s">
        <v>227</v>
      </c>
      <c r="AD29" t="s">
        <v>257</v>
      </c>
    </row>
    <row r="30" spans="1:30" x14ac:dyDescent="0.25">
      <c r="A30" s="63"/>
      <c r="B30" s="2"/>
      <c r="C30" s="2"/>
      <c r="D30" s="2"/>
      <c r="E30" s="2"/>
      <c r="F30" s="2"/>
      <c r="G30" s="2"/>
      <c r="H30" s="2"/>
      <c r="I30" s="2"/>
      <c r="J30" s="2"/>
      <c r="K30" s="2"/>
      <c r="L30" s="2"/>
      <c r="M30" s="2"/>
      <c r="N30" s="18"/>
      <c r="O30" s="15"/>
      <c r="P30" s="4"/>
      <c r="Q30" s="5"/>
      <c r="R30" s="23"/>
      <c r="S30" s="21"/>
      <c r="U30" s="21"/>
      <c r="V30" s="21"/>
      <c r="W30" s="21"/>
      <c r="X30" s="21"/>
      <c r="Y30" s="2"/>
      <c r="Z30" s="2"/>
    </row>
    <row r="31" spans="1:30" x14ac:dyDescent="0.25">
      <c r="A31" s="63" t="s">
        <v>7</v>
      </c>
      <c r="B31" s="6" t="s">
        <v>265</v>
      </c>
      <c r="C31" s="2"/>
      <c r="D31" s="2"/>
      <c r="E31" s="2"/>
      <c r="F31" s="2"/>
      <c r="G31" s="2"/>
      <c r="H31" s="2"/>
      <c r="I31" s="2"/>
      <c r="J31" s="2"/>
      <c r="K31" s="2"/>
      <c r="L31" s="2"/>
      <c r="M31" s="2"/>
      <c r="N31" s="18"/>
      <c r="O31" s="15"/>
      <c r="P31" s="4"/>
      <c r="Q31" s="5"/>
      <c r="R31" s="23"/>
      <c r="S31" s="21"/>
      <c r="U31" s="21"/>
      <c r="V31" s="21"/>
      <c r="W31" s="21"/>
      <c r="X31" s="21"/>
      <c r="Y31" s="2"/>
      <c r="Z31" s="2"/>
    </row>
    <row r="32" spans="1:30" ht="51.75" customHeight="1" x14ac:dyDescent="0.25">
      <c r="A32" s="93" t="s">
        <v>7</v>
      </c>
      <c r="B32" s="88" t="s">
        <v>194</v>
      </c>
      <c r="C32" s="89" t="s">
        <v>258</v>
      </c>
      <c r="D32" s="89">
        <v>750000</v>
      </c>
      <c r="E32" s="89">
        <v>577000</v>
      </c>
      <c r="F32" s="89" t="s">
        <v>244</v>
      </c>
      <c r="G32" s="89">
        <v>9508</v>
      </c>
      <c r="H32" s="89" t="s">
        <v>244</v>
      </c>
      <c r="I32" s="89">
        <v>515000</v>
      </c>
      <c r="J32" s="88">
        <v>358073</v>
      </c>
      <c r="K32" s="89">
        <v>-22500</v>
      </c>
      <c r="L32" s="89">
        <v>-145573</v>
      </c>
      <c r="M32" s="89"/>
      <c r="N32" s="90">
        <v>0.5</v>
      </c>
      <c r="O32" s="91"/>
      <c r="P32" s="92">
        <v>-72786.5</v>
      </c>
      <c r="Q32" s="5"/>
      <c r="R32" s="95"/>
      <c r="S32" s="95" t="s">
        <v>244</v>
      </c>
      <c r="T32" s="99">
        <v>9508</v>
      </c>
      <c r="U32" s="96">
        <v>6500.01</v>
      </c>
      <c r="V32" s="96">
        <v>0</v>
      </c>
      <c r="W32" s="96">
        <v>0</v>
      </c>
      <c r="X32" s="96"/>
      <c r="Y32" s="89">
        <v>750000</v>
      </c>
      <c r="Z32" s="89">
        <v>370000</v>
      </c>
      <c r="AA32" s="99"/>
      <c r="AB32" s="99" t="s">
        <v>260</v>
      </c>
      <c r="AC32" s="106" t="s">
        <v>261</v>
      </c>
      <c r="AD32" s="99" t="s">
        <v>259</v>
      </c>
    </row>
    <row r="33" spans="1:37" x14ac:dyDescent="0.25">
      <c r="A33" s="63"/>
      <c r="B33" s="2"/>
      <c r="C33" s="2"/>
      <c r="D33" s="2"/>
      <c r="E33" s="2"/>
      <c r="F33" s="2"/>
      <c r="G33" s="2"/>
      <c r="H33" s="2"/>
      <c r="I33" s="2"/>
      <c r="J33" s="2"/>
      <c r="K33" s="2"/>
      <c r="L33" s="2"/>
      <c r="M33" s="2"/>
      <c r="N33" s="18"/>
      <c r="O33" s="15"/>
      <c r="P33" s="4"/>
      <c r="Q33" s="5"/>
      <c r="R33" s="23"/>
      <c r="S33" s="21"/>
      <c r="U33" s="21"/>
      <c r="V33" s="21"/>
      <c r="W33" s="21"/>
      <c r="X33" s="21"/>
      <c r="Y33" s="2"/>
      <c r="Z33" s="2"/>
    </row>
    <row r="34" spans="1:37" x14ac:dyDescent="0.25">
      <c r="A34" s="63" t="s">
        <v>7</v>
      </c>
      <c r="B34" s="6" t="s">
        <v>264</v>
      </c>
      <c r="C34" s="2"/>
      <c r="D34" s="2"/>
      <c r="E34" s="2"/>
      <c r="F34" s="2"/>
      <c r="G34" s="2"/>
      <c r="H34" s="2"/>
      <c r="I34" s="2"/>
      <c r="J34" s="2"/>
      <c r="K34" s="2"/>
      <c r="L34" s="2"/>
      <c r="M34" s="2"/>
      <c r="N34" s="18"/>
      <c r="O34" s="15"/>
      <c r="P34" s="4"/>
      <c r="Q34" s="5"/>
      <c r="R34" s="23"/>
      <c r="S34" s="21"/>
      <c r="U34" s="21"/>
      <c r="V34" s="21"/>
      <c r="W34" s="21"/>
      <c r="X34" s="21"/>
      <c r="Y34" s="2"/>
      <c r="Z34" s="2"/>
    </row>
    <row r="35" spans="1:37" ht="41.25" customHeight="1" x14ac:dyDescent="0.25">
      <c r="A35" s="93" t="s">
        <v>7</v>
      </c>
      <c r="B35" s="89" t="s">
        <v>196</v>
      </c>
      <c r="C35" s="89" t="s">
        <v>262</v>
      </c>
      <c r="D35" s="89">
        <v>530000</v>
      </c>
      <c r="E35" s="89">
        <v>510000</v>
      </c>
      <c r="F35" s="89" t="s">
        <v>244</v>
      </c>
      <c r="G35" s="102" t="s">
        <v>244</v>
      </c>
      <c r="H35" s="89" t="s">
        <v>244</v>
      </c>
      <c r="I35" s="102" t="s">
        <v>244</v>
      </c>
      <c r="J35" s="89" t="s">
        <v>244</v>
      </c>
      <c r="K35" s="89">
        <v>-15900</v>
      </c>
      <c r="L35" s="89" t="s">
        <v>244</v>
      </c>
      <c r="M35" s="89"/>
      <c r="N35" s="90">
        <v>0.5</v>
      </c>
      <c r="O35" s="91"/>
      <c r="P35" s="92" t="s">
        <v>212</v>
      </c>
      <c r="Q35" s="94"/>
      <c r="R35" s="95"/>
      <c r="S35" s="96">
        <v>0</v>
      </c>
      <c r="T35" s="99" t="s">
        <v>244</v>
      </c>
      <c r="U35" s="96" t="s">
        <v>244</v>
      </c>
      <c r="V35" s="96">
        <v>0</v>
      </c>
      <c r="W35" s="96">
        <v>0</v>
      </c>
      <c r="X35" s="96"/>
      <c r="Y35" s="89" t="s">
        <v>244</v>
      </c>
      <c r="Z35" s="89" t="s">
        <v>244</v>
      </c>
      <c r="AA35" s="99"/>
      <c r="AB35" s="100" t="s">
        <v>229</v>
      </c>
      <c r="AC35" s="99"/>
      <c r="AD35" s="99"/>
    </row>
    <row r="36" spans="1:37" x14ac:dyDescent="0.25">
      <c r="A36" s="63"/>
      <c r="B36" s="2"/>
      <c r="C36" s="2"/>
      <c r="D36" s="2"/>
      <c r="E36" s="2"/>
      <c r="F36" s="2"/>
      <c r="G36" s="2"/>
      <c r="H36" s="2"/>
      <c r="I36" s="2"/>
      <c r="J36" s="2"/>
      <c r="K36" s="2"/>
      <c r="L36" s="2"/>
      <c r="M36" s="2"/>
      <c r="N36" s="18"/>
      <c r="O36" s="15"/>
      <c r="P36" s="4"/>
      <c r="Q36" s="5"/>
      <c r="R36" s="23"/>
      <c r="S36" s="21"/>
      <c r="U36" s="21"/>
      <c r="V36" s="21"/>
      <c r="W36" s="21"/>
      <c r="X36" s="21"/>
      <c r="Y36" s="2"/>
      <c r="Z36" s="2"/>
    </row>
    <row r="37" spans="1:37" x14ac:dyDescent="0.25">
      <c r="A37" s="63" t="s">
        <v>7</v>
      </c>
      <c r="B37" s="6" t="s">
        <v>263</v>
      </c>
      <c r="C37" s="2"/>
      <c r="D37" s="2"/>
      <c r="E37" s="2"/>
      <c r="F37" s="2"/>
      <c r="G37" s="2"/>
      <c r="H37" s="2"/>
      <c r="I37" s="2"/>
      <c r="J37" s="2"/>
      <c r="K37" s="2"/>
      <c r="L37" s="2"/>
      <c r="M37" s="2"/>
      <c r="N37" s="18"/>
      <c r="O37" s="15"/>
      <c r="P37" s="4"/>
      <c r="Q37" s="5"/>
      <c r="R37" s="23"/>
      <c r="S37" s="21"/>
      <c r="U37" s="21"/>
      <c r="V37" s="21"/>
      <c r="W37" s="21"/>
      <c r="X37" s="21"/>
      <c r="Y37" s="2"/>
      <c r="Z37" s="2"/>
    </row>
    <row r="38" spans="1:37" ht="56.25" customHeight="1" x14ac:dyDescent="0.25">
      <c r="A38" s="93"/>
      <c r="B38" s="89" t="s">
        <v>197</v>
      </c>
      <c r="C38" s="89" t="s">
        <v>266</v>
      </c>
      <c r="D38" s="89"/>
      <c r="E38" s="89">
        <v>1500000</v>
      </c>
      <c r="F38" s="89" t="s">
        <v>244</v>
      </c>
      <c r="G38" s="89" t="s">
        <v>256</v>
      </c>
      <c r="H38" s="89" t="s">
        <v>256</v>
      </c>
      <c r="I38" s="89" t="s">
        <v>256</v>
      </c>
      <c r="J38" s="89">
        <v>-110000</v>
      </c>
      <c r="K38" s="89" t="s">
        <v>256</v>
      </c>
      <c r="L38" s="89">
        <v>0</v>
      </c>
      <c r="M38" s="89"/>
      <c r="N38" s="90">
        <v>0.5</v>
      </c>
      <c r="O38" s="91"/>
      <c r="P38" s="92">
        <v>-55000</v>
      </c>
      <c r="Q38" s="94"/>
      <c r="R38" s="95"/>
      <c r="S38" s="96" t="s">
        <v>256</v>
      </c>
      <c r="T38" s="99" t="s">
        <v>256</v>
      </c>
      <c r="U38" s="96" t="s">
        <v>256</v>
      </c>
      <c r="V38" s="96">
        <v>0</v>
      </c>
      <c r="W38" s="96"/>
      <c r="X38" s="96"/>
      <c r="Y38" s="89">
        <v>1500000</v>
      </c>
      <c r="Z38" s="89" t="s">
        <v>256</v>
      </c>
      <c r="AA38" s="99"/>
      <c r="AB38" s="99" t="s">
        <v>244</v>
      </c>
      <c r="AC38" s="100" t="s">
        <v>234</v>
      </c>
      <c r="AD38" s="100" t="s">
        <v>267</v>
      </c>
    </row>
    <row r="39" spans="1:37" x14ac:dyDescent="0.25">
      <c r="A39" s="63"/>
      <c r="B39" s="2"/>
      <c r="C39" s="2"/>
      <c r="D39" s="2"/>
      <c r="E39" s="2"/>
      <c r="F39" s="2"/>
      <c r="G39" s="2"/>
      <c r="H39" s="2"/>
      <c r="I39" s="2"/>
      <c r="J39" s="2"/>
      <c r="K39" s="2"/>
      <c r="L39" s="2"/>
      <c r="M39" s="2"/>
      <c r="N39" s="18"/>
      <c r="O39" s="15"/>
      <c r="P39" s="4"/>
      <c r="Q39" s="5"/>
      <c r="R39" s="23"/>
      <c r="S39" s="21"/>
      <c r="U39" s="21"/>
      <c r="V39" s="21"/>
      <c r="W39" s="21"/>
      <c r="X39" s="21"/>
      <c r="Y39" s="2"/>
      <c r="Z39" s="2"/>
    </row>
    <row r="40" spans="1:37" x14ac:dyDescent="0.25">
      <c r="A40" s="63"/>
      <c r="B40" s="6" t="s">
        <v>268</v>
      </c>
      <c r="C40" s="2"/>
      <c r="D40" s="2"/>
      <c r="E40" s="2"/>
      <c r="F40" s="2"/>
      <c r="G40" s="2"/>
      <c r="H40" s="2"/>
      <c r="I40" s="2"/>
      <c r="J40" s="2"/>
      <c r="K40" s="2"/>
      <c r="L40" s="2"/>
      <c r="M40" s="2"/>
      <c r="N40" s="18"/>
      <c r="O40" s="15"/>
      <c r="P40" s="4"/>
      <c r="Q40" s="5"/>
      <c r="R40" s="23"/>
      <c r="S40" s="21"/>
      <c r="U40" s="21"/>
      <c r="V40" s="21"/>
      <c r="W40" s="21"/>
      <c r="X40" s="21"/>
      <c r="Y40" s="2"/>
      <c r="Z40" s="2"/>
    </row>
    <row r="41" spans="1:37" ht="189" x14ac:dyDescent="0.25">
      <c r="A41" s="63"/>
      <c r="B41" s="89" t="s">
        <v>198</v>
      </c>
      <c r="C41" s="89" t="s">
        <v>269</v>
      </c>
      <c r="D41" s="88">
        <v>360000</v>
      </c>
      <c r="E41" s="89" t="s">
        <v>244</v>
      </c>
      <c r="F41" s="89" t="s">
        <v>244</v>
      </c>
      <c r="G41" s="89">
        <v>-239495</v>
      </c>
      <c r="H41" s="89" t="s">
        <v>244</v>
      </c>
      <c r="I41" s="89" t="s">
        <v>244</v>
      </c>
      <c r="J41" s="89">
        <v>-100000</v>
      </c>
      <c r="K41" s="89">
        <f>G41*3%</f>
        <v>-7184.8499999999995</v>
      </c>
      <c r="L41" s="89">
        <v>12870</v>
      </c>
      <c r="M41" s="89"/>
      <c r="N41" s="90">
        <v>0.5</v>
      </c>
      <c r="O41" s="91"/>
      <c r="P41" s="92">
        <v>-43340</v>
      </c>
      <c r="Q41" s="94"/>
      <c r="R41" s="95"/>
      <c r="S41" s="96">
        <v>0</v>
      </c>
      <c r="T41" s="99">
        <v>3485</v>
      </c>
      <c r="U41" s="96" t="s">
        <v>244</v>
      </c>
      <c r="V41" s="96">
        <v>0</v>
      </c>
      <c r="W41" s="96"/>
      <c r="X41" s="96"/>
      <c r="Y41" s="89" t="s">
        <v>244</v>
      </c>
      <c r="Z41" s="89" t="s">
        <v>244</v>
      </c>
      <c r="AA41" s="99"/>
      <c r="AB41" s="99" t="s">
        <v>270</v>
      </c>
      <c r="AC41" s="99"/>
      <c r="AD41" s="100" t="s">
        <v>272</v>
      </c>
      <c r="AE41" s="99"/>
      <c r="AF41" s="99"/>
      <c r="AG41" s="99"/>
      <c r="AH41" s="99"/>
      <c r="AI41" s="99"/>
      <c r="AJ41" s="99"/>
      <c r="AK41" s="99"/>
    </row>
    <row r="42" spans="1:37" ht="50.25" customHeight="1" x14ac:dyDescent="0.25">
      <c r="A42" s="63"/>
      <c r="B42" s="64" t="s">
        <v>228</v>
      </c>
      <c r="C42" s="89" t="s">
        <v>276</v>
      </c>
      <c r="D42" s="89"/>
      <c r="E42" s="89"/>
      <c r="F42" s="89"/>
      <c r="G42" s="89"/>
      <c r="H42" s="89"/>
      <c r="I42" s="89"/>
      <c r="J42" s="89"/>
      <c r="K42" s="89"/>
      <c r="L42" s="89"/>
      <c r="M42" s="89"/>
      <c r="N42" s="90"/>
      <c r="O42" s="91"/>
      <c r="P42" s="92"/>
      <c r="Q42" s="94"/>
      <c r="R42" s="95"/>
      <c r="S42" s="96"/>
      <c r="T42" s="99"/>
      <c r="U42" s="96"/>
      <c r="V42" s="96"/>
      <c r="W42" s="96"/>
      <c r="X42" s="96"/>
      <c r="Y42" s="89"/>
      <c r="Z42" s="89"/>
      <c r="AA42" s="99"/>
      <c r="AB42" s="99"/>
      <c r="AC42" s="99"/>
      <c r="AD42" s="99"/>
    </row>
    <row r="43" spans="1:37" ht="204.75" x14ac:dyDescent="0.25">
      <c r="A43" s="93"/>
      <c r="B43" s="89" t="s">
        <v>203</v>
      </c>
      <c r="C43" s="89" t="s">
        <v>269</v>
      </c>
      <c r="D43" s="89">
        <v>410000</v>
      </c>
      <c r="E43" s="89">
        <v>225000</v>
      </c>
      <c r="F43" s="89" t="s">
        <v>244</v>
      </c>
      <c r="G43" s="89">
        <v>-307000</v>
      </c>
      <c r="H43" s="89" t="s">
        <v>244</v>
      </c>
      <c r="I43" s="89">
        <v>-150400</v>
      </c>
      <c r="J43" s="89"/>
      <c r="K43" s="89">
        <f>-D43*3%</f>
        <v>-12300</v>
      </c>
      <c r="L43" s="89">
        <f>D43+G43+I43+K43</f>
        <v>-59700</v>
      </c>
      <c r="M43" s="89"/>
      <c r="N43" s="103"/>
      <c r="O43" s="91"/>
      <c r="P43" s="104">
        <v>-29850</v>
      </c>
      <c r="Q43" s="94"/>
      <c r="R43" s="95"/>
      <c r="S43" s="96">
        <v>0</v>
      </c>
      <c r="T43" s="99" t="s">
        <v>244</v>
      </c>
      <c r="U43" s="96" t="s">
        <v>244</v>
      </c>
      <c r="V43" s="96">
        <v>0</v>
      </c>
      <c r="W43" s="96"/>
      <c r="X43" s="96"/>
      <c r="Y43" s="89">
        <v>1200000</v>
      </c>
      <c r="Z43" s="89">
        <v>660000</v>
      </c>
      <c r="AA43" s="99"/>
      <c r="AB43" s="100" t="s">
        <v>231</v>
      </c>
      <c r="AC43" s="101"/>
      <c r="AD43" s="100" t="s">
        <v>273</v>
      </c>
    </row>
    <row r="44" spans="1:37" x14ac:dyDescent="0.25">
      <c r="A44" s="86"/>
      <c r="B44" s="2"/>
      <c r="C44" s="2"/>
      <c r="D44" s="2"/>
      <c r="E44" s="2"/>
      <c r="F44" s="2"/>
      <c r="G44" s="2"/>
      <c r="H44" s="2"/>
      <c r="I44" s="2"/>
      <c r="J44" s="2"/>
      <c r="K44" s="2"/>
      <c r="L44" s="2"/>
      <c r="M44" s="2"/>
      <c r="N44" s="18"/>
      <c r="O44" s="15"/>
      <c r="P44" s="4"/>
      <c r="Q44" s="5"/>
      <c r="R44" s="23"/>
      <c r="S44" s="21"/>
      <c r="U44" s="21"/>
      <c r="V44" s="21"/>
      <c r="W44" s="21"/>
      <c r="X44" s="21"/>
      <c r="Y44" s="2"/>
      <c r="Z44" s="2"/>
    </row>
    <row r="45" spans="1:37" ht="31.5" x14ac:dyDescent="0.25">
      <c r="A45" s="63"/>
      <c r="B45" s="65" t="s">
        <v>199</v>
      </c>
      <c r="C45" s="2"/>
      <c r="D45" s="2"/>
      <c r="E45" s="2"/>
      <c r="F45" s="2"/>
      <c r="G45" s="2"/>
      <c r="H45" s="2"/>
      <c r="I45" s="2"/>
      <c r="J45" s="2"/>
      <c r="K45" s="2"/>
      <c r="L45" s="2"/>
      <c r="M45" s="2"/>
      <c r="N45" s="18"/>
      <c r="O45" s="15"/>
      <c r="P45" s="4"/>
      <c r="Q45" s="5"/>
      <c r="R45" s="23"/>
      <c r="S45" s="21"/>
      <c r="U45" s="21"/>
      <c r="V45" s="21"/>
      <c r="W45" s="21"/>
      <c r="X45" s="21"/>
      <c r="Y45" s="2"/>
      <c r="Z45" s="2"/>
    </row>
    <row r="46" spans="1:37" x14ac:dyDescent="0.25">
      <c r="A46" s="63"/>
      <c r="B46" s="2" t="s">
        <v>200</v>
      </c>
      <c r="C46" s="2" t="s">
        <v>277</v>
      </c>
      <c r="D46" s="2" t="s">
        <v>212</v>
      </c>
      <c r="E46" s="10">
        <v>201000</v>
      </c>
      <c r="F46" s="2" t="s">
        <v>244</v>
      </c>
      <c r="G46" s="2" t="s">
        <v>212</v>
      </c>
      <c r="H46" s="2" t="s">
        <v>212</v>
      </c>
      <c r="I46" s="2">
        <v>50000</v>
      </c>
      <c r="J46" s="2">
        <v>225000</v>
      </c>
      <c r="K46" s="2" t="s">
        <v>212</v>
      </c>
      <c r="L46" s="2" t="s">
        <v>212</v>
      </c>
      <c r="M46" s="2"/>
      <c r="N46" s="18">
        <v>0.5</v>
      </c>
      <c r="O46" s="15">
        <v>0.5</v>
      </c>
      <c r="P46" s="4"/>
      <c r="Q46" s="5"/>
      <c r="R46" s="23"/>
      <c r="S46" s="23" t="s">
        <v>212</v>
      </c>
      <c r="T46" t="s">
        <v>244</v>
      </c>
      <c r="U46" s="21" t="s">
        <v>212</v>
      </c>
      <c r="V46" s="21" t="s">
        <v>212</v>
      </c>
      <c r="W46" s="21" t="s">
        <v>212</v>
      </c>
      <c r="X46" s="21"/>
      <c r="Y46" s="2" t="s">
        <v>212</v>
      </c>
      <c r="Z46" s="2" t="s">
        <v>212</v>
      </c>
      <c r="AB46" s="2" t="s">
        <v>274</v>
      </c>
      <c r="AC46" s="2" t="s">
        <v>275</v>
      </c>
    </row>
    <row r="47" spans="1:37" ht="47.25" x14ac:dyDescent="0.25">
      <c r="A47" s="93"/>
      <c r="B47" s="89" t="s">
        <v>211</v>
      </c>
      <c r="C47" s="89" t="s">
        <v>277</v>
      </c>
      <c r="D47" s="89">
        <v>250000</v>
      </c>
      <c r="E47" s="102" t="s">
        <v>212</v>
      </c>
      <c r="F47" s="89" t="s">
        <v>212</v>
      </c>
      <c r="G47" s="89">
        <v>0</v>
      </c>
      <c r="H47" s="89">
        <v>0</v>
      </c>
      <c r="I47" s="89">
        <v>0</v>
      </c>
      <c r="J47" s="89">
        <v>0</v>
      </c>
      <c r="K47" s="89">
        <v>-7500</v>
      </c>
      <c r="L47" s="89">
        <v>242500</v>
      </c>
      <c r="M47" s="89"/>
      <c r="N47" s="90">
        <v>0.5</v>
      </c>
      <c r="O47" s="91">
        <v>0.5</v>
      </c>
      <c r="P47" s="92">
        <v>121250</v>
      </c>
      <c r="Q47" s="94">
        <v>121250</v>
      </c>
      <c r="R47" s="95"/>
      <c r="S47" s="95">
        <v>0</v>
      </c>
      <c r="T47" s="99">
        <v>0</v>
      </c>
      <c r="U47" s="96">
        <v>0</v>
      </c>
      <c r="V47" s="96" t="s">
        <v>212</v>
      </c>
      <c r="W47" s="96" t="s">
        <v>212</v>
      </c>
      <c r="X47" s="96"/>
      <c r="Y47" s="89" t="s">
        <v>212</v>
      </c>
      <c r="Z47" s="89" t="s">
        <v>212</v>
      </c>
      <c r="AA47" s="99"/>
      <c r="AB47" s="99" t="s">
        <v>256</v>
      </c>
      <c r="AC47" s="99" t="s">
        <v>256</v>
      </c>
      <c r="AD47" s="100" t="s">
        <v>232</v>
      </c>
    </row>
    <row r="48" spans="1:37" ht="68.25" customHeight="1" x14ac:dyDescent="0.25">
      <c r="A48" s="93"/>
      <c r="B48" s="88" t="s">
        <v>204</v>
      </c>
      <c r="C48" s="89" t="s">
        <v>277</v>
      </c>
      <c r="D48" s="102" t="s">
        <v>212</v>
      </c>
      <c r="E48" s="89">
        <v>301110</v>
      </c>
      <c r="F48" s="89" t="s">
        <v>256</v>
      </c>
      <c r="G48" s="89" t="s">
        <v>212</v>
      </c>
      <c r="H48" s="89" t="s">
        <v>212</v>
      </c>
      <c r="I48" s="89" t="s">
        <v>212</v>
      </c>
      <c r="J48" s="89">
        <v>-365080</v>
      </c>
      <c r="K48" s="89" t="s">
        <v>212</v>
      </c>
      <c r="L48" s="89" t="s">
        <v>212</v>
      </c>
      <c r="M48" s="89"/>
      <c r="N48" s="90">
        <v>0.5</v>
      </c>
      <c r="O48" s="91">
        <v>0.5</v>
      </c>
      <c r="P48" s="92" t="s">
        <v>244</v>
      </c>
      <c r="Q48" s="94" t="s">
        <v>244</v>
      </c>
      <c r="R48" s="95"/>
      <c r="S48" s="95" t="s">
        <v>212</v>
      </c>
      <c r="T48" s="99" t="s">
        <v>212</v>
      </c>
      <c r="U48" s="96" t="s">
        <v>212</v>
      </c>
      <c r="V48" s="96" t="s">
        <v>212</v>
      </c>
      <c r="W48" s="96" t="s">
        <v>212</v>
      </c>
      <c r="X48" s="96"/>
      <c r="Y48" s="89" t="s">
        <v>212</v>
      </c>
      <c r="Z48" s="89" t="s">
        <v>212</v>
      </c>
      <c r="AA48" s="99"/>
      <c r="AB48" s="99" t="s">
        <v>230</v>
      </c>
      <c r="AC48" s="100" t="s">
        <v>235</v>
      </c>
      <c r="AD48" s="99"/>
    </row>
    <row r="49" spans="1:30" ht="68.25" customHeight="1" x14ac:dyDescent="0.25">
      <c r="A49" s="93"/>
      <c r="B49" s="88"/>
      <c r="C49" s="89"/>
      <c r="D49" s="102"/>
      <c r="E49" s="89"/>
      <c r="F49" s="89"/>
      <c r="G49" s="89"/>
      <c r="H49" s="89"/>
      <c r="I49" s="89"/>
      <c r="J49" s="89"/>
      <c r="K49" s="89"/>
      <c r="L49" s="89"/>
      <c r="M49" s="89"/>
      <c r="N49" s="90"/>
      <c r="O49" s="91"/>
      <c r="P49" s="92"/>
      <c r="Q49" s="94"/>
      <c r="R49" s="95"/>
      <c r="S49" s="95"/>
      <c r="T49" s="99"/>
      <c r="U49" s="96"/>
      <c r="V49" s="96"/>
      <c r="W49" s="96"/>
      <c r="X49" s="96"/>
      <c r="Y49" s="89"/>
      <c r="Z49" s="89"/>
      <c r="AA49" s="99"/>
      <c r="AB49" s="99"/>
      <c r="AC49" s="100"/>
      <c r="AD49" s="99"/>
    </row>
    <row r="50" spans="1:30" ht="68.25" customHeight="1" x14ac:dyDescent="0.25">
      <c r="A50" s="93"/>
      <c r="B50" s="88" t="s">
        <v>308</v>
      </c>
      <c r="C50" s="89" t="s">
        <v>291</v>
      </c>
      <c r="D50" s="102"/>
      <c r="E50" s="89"/>
      <c r="F50" s="89"/>
      <c r="G50" s="89"/>
      <c r="H50" s="89"/>
      <c r="I50" s="89"/>
      <c r="J50" s="89"/>
      <c r="K50" s="89"/>
      <c r="L50" s="89"/>
      <c r="M50" s="89"/>
      <c r="N50" s="90"/>
      <c r="O50" s="91"/>
      <c r="P50" s="92"/>
      <c r="Q50" s="94"/>
      <c r="R50" s="95"/>
      <c r="S50" s="95"/>
      <c r="T50" s="99"/>
      <c r="U50" s="96"/>
      <c r="V50" s="96"/>
      <c r="W50" s="96"/>
      <c r="X50" s="96"/>
      <c r="Y50" s="89"/>
      <c r="Z50" s="89"/>
      <c r="AA50" s="99"/>
      <c r="AB50" s="99"/>
      <c r="AC50" s="100"/>
      <c r="AD50" s="99"/>
    </row>
    <row r="51" spans="1:30" ht="68.25" customHeight="1" x14ac:dyDescent="0.25">
      <c r="A51" s="93"/>
      <c r="B51" s="88" t="s">
        <v>279</v>
      </c>
      <c r="C51" s="89" t="s">
        <v>278</v>
      </c>
      <c r="D51" s="102" t="s">
        <v>256</v>
      </c>
      <c r="E51" s="102" t="s">
        <v>256</v>
      </c>
      <c r="F51" s="89" t="s">
        <v>256</v>
      </c>
      <c r="G51" s="89" t="s">
        <v>256</v>
      </c>
      <c r="H51" s="89" t="s">
        <v>256</v>
      </c>
      <c r="I51" s="89" t="s">
        <v>256</v>
      </c>
      <c r="J51" s="89" t="s">
        <v>256</v>
      </c>
      <c r="K51" s="89" t="s">
        <v>256</v>
      </c>
      <c r="L51" s="89" t="s">
        <v>256</v>
      </c>
      <c r="M51" s="89"/>
      <c r="N51" s="90">
        <v>1</v>
      </c>
      <c r="O51" s="91"/>
      <c r="P51" s="92">
        <v>-80000</v>
      </c>
      <c r="Q51" s="94"/>
      <c r="R51" s="95"/>
      <c r="S51" s="95" t="s">
        <v>256</v>
      </c>
      <c r="T51" s="99" t="s">
        <v>256</v>
      </c>
      <c r="U51" s="96" t="s">
        <v>256</v>
      </c>
      <c r="V51" s="96" t="s">
        <v>256</v>
      </c>
      <c r="W51" s="96" t="s">
        <v>256</v>
      </c>
      <c r="X51" s="96"/>
      <c r="Y51" s="89" t="s">
        <v>256</v>
      </c>
      <c r="Z51" s="89" t="s">
        <v>256</v>
      </c>
      <c r="AA51" s="99"/>
      <c r="AB51" s="99" t="s">
        <v>256</v>
      </c>
      <c r="AC51" s="100" t="s">
        <v>292</v>
      </c>
      <c r="AD51" s="99"/>
    </row>
    <row r="52" spans="1:30" ht="68.25" customHeight="1" x14ac:dyDescent="0.25">
      <c r="A52" s="93"/>
      <c r="B52" s="88" t="s">
        <v>280</v>
      </c>
      <c r="C52" s="89" t="s">
        <v>278</v>
      </c>
      <c r="D52" s="102" t="s">
        <v>256</v>
      </c>
      <c r="E52" s="102" t="s">
        <v>256</v>
      </c>
      <c r="F52" s="89" t="s">
        <v>256</v>
      </c>
      <c r="G52" s="89" t="s">
        <v>256</v>
      </c>
      <c r="H52" s="89" t="s">
        <v>256</v>
      </c>
      <c r="I52" s="89" t="s">
        <v>256</v>
      </c>
      <c r="J52" s="89" t="s">
        <v>256</v>
      </c>
      <c r="K52" s="89" t="s">
        <v>256</v>
      </c>
      <c r="L52" s="89" t="s">
        <v>256</v>
      </c>
      <c r="M52" s="89"/>
      <c r="N52" s="90">
        <v>1</v>
      </c>
      <c r="O52" s="91"/>
      <c r="P52" s="92">
        <v>-40000</v>
      </c>
      <c r="Q52" s="94"/>
      <c r="R52" s="95"/>
      <c r="S52" s="95" t="s">
        <v>256</v>
      </c>
      <c r="T52" s="99" t="s">
        <v>256</v>
      </c>
      <c r="U52" s="96" t="s">
        <v>256</v>
      </c>
      <c r="V52" s="96" t="s">
        <v>256</v>
      </c>
      <c r="W52" s="96" t="s">
        <v>256</v>
      </c>
      <c r="X52" s="96"/>
      <c r="Y52" s="89" t="s">
        <v>256</v>
      </c>
      <c r="Z52" s="89" t="s">
        <v>256</v>
      </c>
      <c r="AA52" s="99"/>
      <c r="AB52" s="99" t="s">
        <v>256</v>
      </c>
      <c r="AC52" s="100" t="s">
        <v>293</v>
      </c>
      <c r="AD52" s="99"/>
    </row>
    <row r="53" spans="1:30" ht="68.25" customHeight="1" x14ac:dyDescent="0.25">
      <c r="A53" s="93"/>
      <c r="B53" s="88" t="s">
        <v>281</v>
      </c>
      <c r="C53" s="89" t="s">
        <v>278</v>
      </c>
      <c r="D53" s="102" t="s">
        <v>256</v>
      </c>
      <c r="E53" s="102" t="s">
        <v>256</v>
      </c>
      <c r="F53" s="89" t="s">
        <v>256</v>
      </c>
      <c r="G53" s="89" t="s">
        <v>256</v>
      </c>
      <c r="H53" s="89" t="s">
        <v>256</v>
      </c>
      <c r="I53" s="89" t="s">
        <v>256</v>
      </c>
      <c r="J53" s="89" t="s">
        <v>256</v>
      </c>
      <c r="K53" s="89" t="s">
        <v>256</v>
      </c>
      <c r="L53" s="89" t="s">
        <v>256</v>
      </c>
      <c r="M53" s="89"/>
      <c r="N53" s="90">
        <v>1</v>
      </c>
      <c r="O53" s="91"/>
      <c r="P53" s="92">
        <v>-50000</v>
      </c>
      <c r="Q53" s="94"/>
      <c r="R53" s="95"/>
      <c r="S53" s="95" t="s">
        <v>256</v>
      </c>
      <c r="T53" s="99" t="s">
        <v>256</v>
      </c>
      <c r="U53" s="96" t="s">
        <v>256</v>
      </c>
      <c r="V53" s="96" t="s">
        <v>256</v>
      </c>
      <c r="W53" s="96" t="s">
        <v>256</v>
      </c>
      <c r="X53" s="96"/>
      <c r="Y53" s="89" t="s">
        <v>256</v>
      </c>
      <c r="Z53" s="89" t="s">
        <v>256</v>
      </c>
      <c r="AA53" s="99"/>
      <c r="AB53" s="99" t="s">
        <v>256</v>
      </c>
      <c r="AC53" s="100" t="s">
        <v>294</v>
      </c>
      <c r="AD53" s="99"/>
    </row>
    <row r="54" spans="1:30" ht="68.25" customHeight="1" x14ac:dyDescent="0.25">
      <c r="A54" s="93"/>
      <c r="B54" s="88" t="s">
        <v>282</v>
      </c>
      <c r="C54" s="89" t="s">
        <v>278</v>
      </c>
      <c r="D54" s="102" t="s">
        <v>256</v>
      </c>
      <c r="E54" s="102" t="s">
        <v>256</v>
      </c>
      <c r="F54" s="89" t="s">
        <v>256</v>
      </c>
      <c r="G54" s="89" t="s">
        <v>256</v>
      </c>
      <c r="H54" s="89" t="s">
        <v>256</v>
      </c>
      <c r="I54" s="89" t="s">
        <v>256</v>
      </c>
      <c r="J54" s="89" t="s">
        <v>256</v>
      </c>
      <c r="K54" s="89" t="s">
        <v>256</v>
      </c>
      <c r="L54" s="89" t="s">
        <v>256</v>
      </c>
      <c r="M54" s="89"/>
      <c r="N54" s="90">
        <v>1</v>
      </c>
      <c r="O54" s="91"/>
      <c r="P54" s="92">
        <v>-40000</v>
      </c>
      <c r="Q54" s="94"/>
      <c r="R54" s="95"/>
      <c r="S54" s="95" t="s">
        <v>256</v>
      </c>
      <c r="T54" s="99" t="s">
        <v>256</v>
      </c>
      <c r="U54" s="96" t="s">
        <v>256</v>
      </c>
      <c r="V54" s="96" t="s">
        <v>256</v>
      </c>
      <c r="W54" s="96" t="s">
        <v>256</v>
      </c>
      <c r="X54" s="96"/>
      <c r="Y54" s="89" t="s">
        <v>256</v>
      </c>
      <c r="Z54" s="89" t="s">
        <v>256</v>
      </c>
      <c r="AA54" s="99"/>
      <c r="AB54" s="99" t="s">
        <v>256</v>
      </c>
      <c r="AC54" s="100" t="s">
        <v>295</v>
      </c>
      <c r="AD54" s="99"/>
    </row>
    <row r="55" spans="1:30" ht="68.25" customHeight="1" x14ac:dyDescent="0.25">
      <c r="A55" s="93"/>
      <c r="B55" s="89" t="s">
        <v>201</v>
      </c>
      <c r="C55" s="89" t="s">
        <v>278</v>
      </c>
      <c r="D55" s="88" t="s">
        <v>256</v>
      </c>
      <c r="E55" s="102" t="s">
        <v>256</v>
      </c>
      <c r="F55" s="89" t="s">
        <v>256</v>
      </c>
      <c r="G55" s="89" t="s">
        <v>256</v>
      </c>
      <c r="H55" s="89" t="s">
        <v>256</v>
      </c>
      <c r="I55" s="89" t="s">
        <v>256</v>
      </c>
      <c r="J55" s="89" t="s">
        <v>256</v>
      </c>
      <c r="K55" s="89" t="s">
        <v>256</v>
      </c>
      <c r="L55" s="89" t="s">
        <v>256</v>
      </c>
      <c r="M55" s="89"/>
      <c r="N55" s="90">
        <v>1</v>
      </c>
      <c r="O55" s="91"/>
      <c r="P55" s="92">
        <v>-210000</v>
      </c>
      <c r="Q55" s="94"/>
      <c r="R55" s="95"/>
      <c r="S55" s="95" t="s">
        <v>256</v>
      </c>
      <c r="T55" s="99" t="s">
        <v>256</v>
      </c>
      <c r="U55" s="96" t="s">
        <v>256</v>
      </c>
      <c r="V55" s="96" t="s">
        <v>256</v>
      </c>
      <c r="W55" s="96" t="s">
        <v>256</v>
      </c>
      <c r="X55" s="96"/>
      <c r="Y55" s="89" t="s">
        <v>256</v>
      </c>
      <c r="Z55" s="89" t="s">
        <v>256</v>
      </c>
      <c r="AA55" s="99"/>
      <c r="AB55" s="99" t="s">
        <v>256</v>
      </c>
      <c r="AC55" s="99" t="s">
        <v>299</v>
      </c>
      <c r="AD55" s="100" t="s">
        <v>298</v>
      </c>
    </row>
    <row r="56" spans="1:30" ht="68.25" customHeight="1" x14ac:dyDescent="0.25">
      <c r="A56" s="93"/>
      <c r="B56" s="88" t="s">
        <v>283</v>
      </c>
      <c r="C56" s="89" t="s">
        <v>278</v>
      </c>
      <c r="D56" s="102" t="s">
        <v>256</v>
      </c>
      <c r="E56" s="102" t="s">
        <v>256</v>
      </c>
      <c r="F56" s="89" t="s">
        <v>256</v>
      </c>
      <c r="G56" s="89" t="s">
        <v>256</v>
      </c>
      <c r="H56" s="89" t="s">
        <v>256</v>
      </c>
      <c r="I56" s="89" t="s">
        <v>256</v>
      </c>
      <c r="J56" s="89" t="s">
        <v>256</v>
      </c>
      <c r="K56" s="89" t="s">
        <v>256</v>
      </c>
      <c r="L56" s="89" t="s">
        <v>256</v>
      </c>
      <c r="M56" s="89"/>
      <c r="N56" s="90">
        <v>1</v>
      </c>
      <c r="O56" s="91"/>
      <c r="P56" s="92">
        <v>-20000</v>
      </c>
      <c r="Q56" s="94"/>
      <c r="R56" s="95"/>
      <c r="S56" s="95" t="s">
        <v>256</v>
      </c>
      <c r="T56" s="99" t="s">
        <v>256</v>
      </c>
      <c r="U56" s="96" t="s">
        <v>256</v>
      </c>
      <c r="V56" s="96" t="s">
        <v>256</v>
      </c>
      <c r="W56" s="96" t="s">
        <v>256</v>
      </c>
      <c r="X56" s="96"/>
      <c r="Y56" s="89" t="s">
        <v>256</v>
      </c>
      <c r="Z56" s="89" t="s">
        <v>256</v>
      </c>
      <c r="AA56" s="99"/>
      <c r="AB56" s="99" t="s">
        <v>256</v>
      </c>
      <c r="AC56" s="100" t="s">
        <v>296</v>
      </c>
      <c r="AD56" s="99"/>
    </row>
    <row r="57" spans="1:30" ht="68.25" customHeight="1" x14ac:dyDescent="0.25">
      <c r="A57" s="93"/>
      <c r="B57" s="88" t="s">
        <v>284</v>
      </c>
      <c r="C57" s="89" t="s">
        <v>278</v>
      </c>
      <c r="D57" s="102" t="s">
        <v>256</v>
      </c>
      <c r="E57" s="102" t="s">
        <v>256</v>
      </c>
      <c r="F57" s="89" t="s">
        <v>256</v>
      </c>
      <c r="G57" s="89" t="s">
        <v>256</v>
      </c>
      <c r="H57" s="89" t="s">
        <v>256</v>
      </c>
      <c r="I57" s="89" t="s">
        <v>256</v>
      </c>
      <c r="J57" s="89" t="s">
        <v>256</v>
      </c>
      <c r="K57" s="89" t="s">
        <v>256</v>
      </c>
      <c r="L57" s="89" t="s">
        <v>256</v>
      </c>
      <c r="M57" s="89"/>
      <c r="N57" s="90">
        <v>1</v>
      </c>
      <c r="O57" s="91"/>
      <c r="P57" s="92">
        <v>-208975</v>
      </c>
      <c r="Q57" s="94"/>
      <c r="R57" s="95"/>
      <c r="S57" s="95" t="s">
        <v>256</v>
      </c>
      <c r="T57" s="99" t="s">
        <v>256</v>
      </c>
      <c r="U57" s="96" t="s">
        <v>256</v>
      </c>
      <c r="V57" s="96" t="s">
        <v>256</v>
      </c>
      <c r="W57" s="96" t="s">
        <v>256</v>
      </c>
      <c r="X57" s="96"/>
      <c r="Y57" s="89" t="s">
        <v>256</v>
      </c>
      <c r="Z57" s="89" t="s">
        <v>256</v>
      </c>
      <c r="AA57" s="99"/>
      <c r="AB57" s="99" t="s">
        <v>256</v>
      </c>
      <c r="AC57" s="100" t="s">
        <v>297</v>
      </c>
      <c r="AD57" s="99"/>
    </row>
    <row r="58" spans="1:30" ht="68.25" customHeight="1" x14ac:dyDescent="0.25">
      <c r="A58" s="93"/>
      <c r="B58" s="88" t="s">
        <v>285</v>
      </c>
      <c r="C58" s="89" t="s">
        <v>278</v>
      </c>
      <c r="D58" s="102" t="s">
        <v>256</v>
      </c>
      <c r="E58" s="102" t="s">
        <v>256</v>
      </c>
      <c r="F58" s="89" t="s">
        <v>256</v>
      </c>
      <c r="G58" s="89" t="s">
        <v>256</v>
      </c>
      <c r="H58" s="89" t="s">
        <v>256</v>
      </c>
      <c r="I58" s="89" t="s">
        <v>256</v>
      </c>
      <c r="J58" s="89" t="s">
        <v>256</v>
      </c>
      <c r="K58" s="89" t="s">
        <v>256</v>
      </c>
      <c r="L58" s="89" t="s">
        <v>256</v>
      </c>
      <c r="M58" s="89"/>
      <c r="N58" s="90">
        <v>1</v>
      </c>
      <c r="O58" s="91"/>
      <c r="P58" s="92">
        <v>-90000</v>
      </c>
      <c r="Q58" s="94"/>
      <c r="R58" s="95"/>
      <c r="S58" s="95" t="s">
        <v>256</v>
      </c>
      <c r="T58" s="99" t="s">
        <v>256</v>
      </c>
      <c r="U58" s="96" t="s">
        <v>256</v>
      </c>
      <c r="V58" s="96" t="s">
        <v>256</v>
      </c>
      <c r="W58" s="96" t="s">
        <v>256</v>
      </c>
      <c r="X58" s="96"/>
      <c r="Y58" s="89" t="s">
        <v>256</v>
      </c>
      <c r="Z58" s="89" t="s">
        <v>256</v>
      </c>
      <c r="AA58" s="99"/>
      <c r="AB58" s="99" t="s">
        <v>256</v>
      </c>
      <c r="AC58" s="100" t="s">
        <v>302</v>
      </c>
      <c r="AD58" s="99"/>
    </row>
    <row r="59" spans="1:30" ht="68.25" customHeight="1" x14ac:dyDescent="0.25">
      <c r="A59" s="93"/>
      <c r="B59" s="88" t="s">
        <v>286</v>
      </c>
      <c r="C59" s="89" t="s">
        <v>278</v>
      </c>
      <c r="D59" s="102" t="s">
        <v>256</v>
      </c>
      <c r="E59" s="102" t="s">
        <v>256</v>
      </c>
      <c r="F59" s="89" t="s">
        <v>256</v>
      </c>
      <c r="G59" s="89" t="s">
        <v>256</v>
      </c>
      <c r="H59" s="89" t="s">
        <v>256</v>
      </c>
      <c r="I59" s="89" t="s">
        <v>256</v>
      </c>
      <c r="J59" s="89" t="s">
        <v>256</v>
      </c>
      <c r="K59" s="89" t="s">
        <v>256</v>
      </c>
      <c r="L59" s="89" t="s">
        <v>256</v>
      </c>
      <c r="M59" s="89"/>
      <c r="N59" s="90">
        <v>1</v>
      </c>
      <c r="O59" s="91"/>
      <c r="P59" s="92">
        <v>-50000</v>
      </c>
      <c r="Q59" s="94"/>
      <c r="R59" s="95"/>
      <c r="S59" s="95" t="s">
        <v>256</v>
      </c>
      <c r="T59" s="99" t="s">
        <v>256</v>
      </c>
      <c r="U59" s="96" t="s">
        <v>256</v>
      </c>
      <c r="V59" s="96" t="s">
        <v>256</v>
      </c>
      <c r="W59" s="96" t="s">
        <v>256</v>
      </c>
      <c r="X59" s="96"/>
      <c r="Y59" s="89" t="s">
        <v>256</v>
      </c>
      <c r="Z59" s="89" t="s">
        <v>256</v>
      </c>
      <c r="AA59" s="99"/>
      <c r="AB59" s="99" t="s">
        <v>256</v>
      </c>
      <c r="AC59" s="100" t="s">
        <v>301</v>
      </c>
      <c r="AD59" s="99"/>
    </row>
    <row r="60" spans="1:30" ht="68.25" customHeight="1" x14ac:dyDescent="0.25">
      <c r="A60" s="93"/>
      <c r="B60" s="88" t="s">
        <v>287</v>
      </c>
      <c r="C60" s="89" t="s">
        <v>278</v>
      </c>
      <c r="D60" s="102" t="s">
        <v>256</v>
      </c>
      <c r="E60" s="102" t="s">
        <v>256</v>
      </c>
      <c r="F60" s="89" t="s">
        <v>256</v>
      </c>
      <c r="G60" s="89" t="s">
        <v>256</v>
      </c>
      <c r="H60" s="89" t="s">
        <v>256</v>
      </c>
      <c r="I60" s="89" t="s">
        <v>256</v>
      </c>
      <c r="J60" s="89" t="s">
        <v>256</v>
      </c>
      <c r="K60" s="89" t="s">
        <v>256</v>
      </c>
      <c r="L60" s="89" t="s">
        <v>256</v>
      </c>
      <c r="M60" s="89"/>
      <c r="N60" s="90">
        <v>1</v>
      </c>
      <c r="O60" s="91"/>
      <c r="P60" s="92">
        <v>-30000</v>
      </c>
      <c r="Q60" s="94"/>
      <c r="R60" s="95"/>
      <c r="S60" s="95" t="s">
        <v>256</v>
      </c>
      <c r="T60" s="99" t="s">
        <v>256</v>
      </c>
      <c r="U60" s="96" t="s">
        <v>256</v>
      </c>
      <c r="V60" s="96" t="s">
        <v>256</v>
      </c>
      <c r="W60" s="96" t="s">
        <v>256</v>
      </c>
      <c r="X60" s="96"/>
      <c r="Y60" s="89" t="s">
        <v>256</v>
      </c>
      <c r="Z60" s="89" t="s">
        <v>256</v>
      </c>
      <c r="AA60" s="99"/>
      <c r="AB60" s="99" t="s">
        <v>256</v>
      </c>
      <c r="AC60" s="100" t="s">
        <v>300</v>
      </c>
      <c r="AD60" s="99"/>
    </row>
    <row r="61" spans="1:30" ht="68.25" customHeight="1" x14ac:dyDescent="0.25">
      <c r="A61" s="93"/>
      <c r="B61" s="88" t="s">
        <v>288</v>
      </c>
      <c r="C61" s="89" t="s">
        <v>278</v>
      </c>
      <c r="D61" s="102" t="s">
        <v>256</v>
      </c>
      <c r="E61" s="102" t="s">
        <v>256</v>
      </c>
      <c r="F61" s="89" t="s">
        <v>256</v>
      </c>
      <c r="G61" s="89" t="s">
        <v>256</v>
      </c>
      <c r="H61" s="89" t="s">
        <v>256</v>
      </c>
      <c r="I61" s="89" t="s">
        <v>256</v>
      </c>
      <c r="J61" s="89" t="s">
        <v>256</v>
      </c>
      <c r="K61" s="89" t="s">
        <v>256</v>
      </c>
      <c r="L61" s="89" t="s">
        <v>256</v>
      </c>
      <c r="M61" s="89"/>
      <c r="N61" s="90">
        <v>1</v>
      </c>
      <c r="O61" s="91"/>
      <c r="P61" s="92">
        <v>-135000</v>
      </c>
      <c r="Q61" s="94"/>
      <c r="R61" s="95"/>
      <c r="S61" s="95" t="s">
        <v>256</v>
      </c>
      <c r="T61" s="99" t="s">
        <v>256</v>
      </c>
      <c r="U61" s="96" t="s">
        <v>256</v>
      </c>
      <c r="V61" s="96" t="s">
        <v>256</v>
      </c>
      <c r="W61" s="96" t="s">
        <v>256</v>
      </c>
      <c r="X61" s="96"/>
      <c r="Y61" s="89" t="s">
        <v>256</v>
      </c>
      <c r="Z61" s="89" t="s">
        <v>256</v>
      </c>
      <c r="AA61" s="99"/>
      <c r="AB61" s="99" t="s">
        <v>256</v>
      </c>
      <c r="AC61" s="100" t="s">
        <v>303</v>
      </c>
      <c r="AD61" s="99"/>
    </row>
    <row r="62" spans="1:30" ht="68.25" customHeight="1" x14ac:dyDescent="0.25">
      <c r="A62" s="93"/>
      <c r="B62" s="88" t="s">
        <v>289</v>
      </c>
      <c r="C62" s="89" t="s">
        <v>278</v>
      </c>
      <c r="D62" s="102" t="s">
        <v>256</v>
      </c>
      <c r="E62" s="102" t="s">
        <v>256</v>
      </c>
      <c r="F62" s="89" t="s">
        <v>256</v>
      </c>
      <c r="G62" s="89" t="s">
        <v>256</v>
      </c>
      <c r="H62" s="89" t="s">
        <v>256</v>
      </c>
      <c r="I62" s="89" t="s">
        <v>256</v>
      </c>
      <c r="J62" s="89" t="s">
        <v>256</v>
      </c>
      <c r="K62" s="89" t="s">
        <v>256</v>
      </c>
      <c r="L62" s="89" t="s">
        <v>256</v>
      </c>
      <c r="M62" s="89"/>
      <c r="N62" s="90">
        <v>1</v>
      </c>
      <c r="O62" s="91"/>
      <c r="P62" s="92">
        <v>-257000</v>
      </c>
      <c r="Q62" s="94"/>
      <c r="R62" s="95"/>
      <c r="S62" s="95" t="s">
        <v>256</v>
      </c>
      <c r="T62" s="99" t="s">
        <v>256</v>
      </c>
      <c r="U62" s="96" t="s">
        <v>256</v>
      </c>
      <c r="V62" s="96" t="s">
        <v>256</v>
      </c>
      <c r="W62" s="96" t="s">
        <v>256</v>
      </c>
      <c r="X62" s="96"/>
      <c r="Y62" s="89" t="s">
        <v>256</v>
      </c>
      <c r="Z62" s="89" t="s">
        <v>256</v>
      </c>
      <c r="AA62" s="99"/>
      <c r="AB62" s="99" t="s">
        <v>256</v>
      </c>
      <c r="AC62" s="100" t="s">
        <v>304</v>
      </c>
      <c r="AD62" s="99"/>
    </row>
    <row r="63" spans="1:30" ht="68.25" customHeight="1" x14ac:dyDescent="0.25">
      <c r="A63" s="93"/>
      <c r="B63" s="88" t="s">
        <v>290</v>
      </c>
      <c r="C63" s="89" t="s">
        <v>278</v>
      </c>
      <c r="D63" s="102" t="s">
        <v>256</v>
      </c>
      <c r="E63" s="89" t="s">
        <v>256</v>
      </c>
      <c r="F63" s="89" t="s">
        <v>256</v>
      </c>
      <c r="G63" s="89" t="s">
        <v>256</v>
      </c>
      <c r="H63" s="89" t="s">
        <v>256</v>
      </c>
      <c r="I63" s="89" t="s">
        <v>256</v>
      </c>
      <c r="J63" s="89" t="s">
        <v>256</v>
      </c>
      <c r="K63" s="89" t="s">
        <v>256</v>
      </c>
      <c r="L63" s="89" t="s">
        <v>256</v>
      </c>
      <c r="M63" s="89"/>
      <c r="N63" s="90">
        <v>1</v>
      </c>
      <c r="O63" s="91"/>
      <c r="P63" s="92">
        <v>-20000</v>
      </c>
      <c r="Q63" s="94"/>
      <c r="R63" s="95"/>
      <c r="S63" s="95" t="s">
        <v>256</v>
      </c>
      <c r="T63" s="99" t="s">
        <v>256</v>
      </c>
      <c r="U63" s="96" t="s">
        <v>256</v>
      </c>
      <c r="V63" s="96" t="s">
        <v>256</v>
      </c>
      <c r="W63" s="96" t="s">
        <v>256</v>
      </c>
      <c r="X63" s="96"/>
      <c r="Y63" s="89" t="s">
        <v>256</v>
      </c>
      <c r="Z63" s="89" t="s">
        <v>256</v>
      </c>
      <c r="AA63" s="99"/>
      <c r="AB63" s="99" t="s">
        <v>256</v>
      </c>
      <c r="AC63" s="100" t="s">
        <v>305</v>
      </c>
      <c r="AD63" s="99"/>
    </row>
    <row r="64" spans="1:30" ht="68.25" customHeight="1" x14ac:dyDescent="0.25">
      <c r="A64" s="93"/>
      <c r="B64" s="88"/>
      <c r="C64" s="89"/>
      <c r="D64" s="102"/>
      <c r="E64" s="89"/>
      <c r="F64" s="89"/>
      <c r="G64" s="89"/>
      <c r="H64" s="89"/>
      <c r="I64" s="89"/>
      <c r="J64" s="89"/>
      <c r="K64" s="89"/>
      <c r="L64" s="89"/>
      <c r="M64" s="89"/>
      <c r="N64" s="90"/>
      <c r="O64" s="91"/>
      <c r="P64" s="92"/>
      <c r="Q64" s="94"/>
      <c r="R64" s="95"/>
      <c r="S64" s="95"/>
      <c r="T64" s="99"/>
      <c r="U64" s="96"/>
      <c r="V64" s="96"/>
      <c r="W64" s="96"/>
      <c r="X64" s="96"/>
      <c r="Y64" s="89"/>
      <c r="Z64" s="89"/>
      <c r="AA64" s="99"/>
      <c r="AB64" s="99"/>
      <c r="AC64" s="100"/>
      <c r="AD64" s="99"/>
    </row>
    <row r="65" spans="1:31" ht="48.75" customHeight="1" x14ac:dyDescent="0.25">
      <c r="A65" s="93"/>
      <c r="B65" s="88" t="s">
        <v>306</v>
      </c>
      <c r="C65" s="89" t="s">
        <v>307</v>
      </c>
      <c r="D65" s="102">
        <v>2774000</v>
      </c>
      <c r="E65" s="89">
        <v>950000</v>
      </c>
      <c r="F65" s="89" t="s">
        <v>244</v>
      </c>
      <c r="G65" s="102" t="s">
        <v>244</v>
      </c>
      <c r="H65" s="89" t="s">
        <v>244</v>
      </c>
      <c r="I65" s="89" t="s">
        <v>244</v>
      </c>
      <c r="J65" s="89">
        <v>-3190187.5</v>
      </c>
      <c r="K65" s="89" t="s">
        <v>244</v>
      </c>
      <c r="L65" s="89" t="s">
        <v>244</v>
      </c>
      <c r="M65" s="89"/>
      <c r="N65" s="90">
        <v>1</v>
      </c>
      <c r="O65" s="91"/>
      <c r="P65" s="92">
        <v>-700000</v>
      </c>
      <c r="Q65" s="94"/>
      <c r="R65" s="95"/>
      <c r="S65" s="95" t="s">
        <v>244</v>
      </c>
      <c r="T65" s="99" t="s">
        <v>244</v>
      </c>
      <c r="U65" s="96" t="s">
        <v>244</v>
      </c>
      <c r="V65" s="96">
        <v>0</v>
      </c>
      <c r="W65" s="96" t="s">
        <v>244</v>
      </c>
      <c r="X65" s="96"/>
      <c r="Y65" s="89" t="s">
        <v>244</v>
      </c>
      <c r="Z65" s="89" t="s">
        <v>244</v>
      </c>
      <c r="AA65" s="99"/>
      <c r="AB65" s="99" t="s">
        <v>244</v>
      </c>
      <c r="AC65" s="99"/>
      <c r="AD65" s="100" t="s">
        <v>309</v>
      </c>
    </row>
    <row r="66" spans="1:31" x14ac:dyDescent="0.25">
      <c r="A66" s="63"/>
      <c r="B66" s="6"/>
      <c r="C66" s="2"/>
      <c r="D66" s="2"/>
      <c r="E66" s="2"/>
      <c r="F66" s="2"/>
      <c r="G66" s="2"/>
      <c r="H66" s="2"/>
      <c r="I66" s="2"/>
      <c r="J66" s="2"/>
      <c r="K66" s="2"/>
      <c r="L66" s="2"/>
      <c r="M66" s="2"/>
      <c r="N66" s="18"/>
      <c r="O66" s="15"/>
      <c r="P66" s="4"/>
      <c r="Q66" s="5"/>
      <c r="R66" s="23"/>
      <c r="S66" s="21"/>
      <c r="U66" s="21"/>
      <c r="V66" s="21"/>
      <c r="W66" s="21"/>
      <c r="X66" s="21"/>
      <c r="Y66" s="2"/>
      <c r="Z66" s="2"/>
    </row>
    <row r="67" spans="1:31" ht="90.75" customHeight="1" x14ac:dyDescent="0.25">
      <c r="A67" s="1"/>
      <c r="B67" s="2" t="s">
        <v>313</v>
      </c>
      <c r="C67" s="89" t="s">
        <v>310</v>
      </c>
      <c r="D67" s="89">
        <v>1100000</v>
      </c>
      <c r="E67" s="89" t="s">
        <v>256</v>
      </c>
      <c r="F67" s="89" t="s">
        <v>244</v>
      </c>
      <c r="G67" s="89">
        <v>0</v>
      </c>
      <c r="H67" s="89" t="s">
        <v>244</v>
      </c>
      <c r="I67" s="89">
        <v>0</v>
      </c>
      <c r="J67" s="89">
        <v>-1000000</v>
      </c>
      <c r="K67" s="89">
        <v>-33000</v>
      </c>
      <c r="L67" s="89" t="s">
        <v>244</v>
      </c>
      <c r="M67" s="89"/>
      <c r="N67" s="90">
        <v>0.5</v>
      </c>
      <c r="O67" s="91"/>
      <c r="P67" s="92" t="s">
        <v>244</v>
      </c>
      <c r="Q67" s="94"/>
      <c r="R67" s="95"/>
      <c r="S67" s="95" t="s">
        <v>256</v>
      </c>
      <c r="T67" s="99" t="s">
        <v>244</v>
      </c>
      <c r="U67" s="96" t="s">
        <v>244</v>
      </c>
      <c r="V67" s="96">
        <v>0</v>
      </c>
      <c r="W67" s="96"/>
      <c r="X67" s="96"/>
      <c r="Y67" s="89" t="s">
        <v>311</v>
      </c>
      <c r="Z67" s="89">
        <v>250000</v>
      </c>
      <c r="AA67" s="99"/>
      <c r="AB67" s="99" t="s">
        <v>224</v>
      </c>
      <c r="AC67" s="99" t="s">
        <v>223</v>
      </c>
      <c r="AD67" s="100" t="s">
        <v>312</v>
      </c>
      <c r="AE67" s="100"/>
    </row>
    <row r="68" spans="1:31" x14ac:dyDescent="0.25">
      <c r="A68" s="66"/>
      <c r="B68" s="88"/>
      <c r="C68" s="2"/>
      <c r="D68" s="2"/>
      <c r="E68" s="2"/>
      <c r="F68" s="2"/>
      <c r="G68" s="2"/>
      <c r="H68" s="2"/>
      <c r="I68" s="2"/>
      <c r="J68" s="2"/>
      <c r="K68" s="2"/>
      <c r="L68" s="2"/>
      <c r="M68" s="2"/>
      <c r="N68" s="18"/>
      <c r="O68" s="15"/>
      <c r="P68" s="4"/>
      <c r="Q68" s="5"/>
      <c r="R68" s="23"/>
      <c r="S68" s="21"/>
      <c r="U68" s="21"/>
      <c r="V68" s="21"/>
      <c r="W68" s="21"/>
      <c r="X68" s="21"/>
      <c r="Y68" s="2"/>
      <c r="Z68" s="2"/>
    </row>
    <row r="69" spans="1:31" x14ac:dyDescent="0.25">
      <c r="A69" s="1"/>
      <c r="B69" s="33"/>
      <c r="C69" s="2" t="s">
        <v>178</v>
      </c>
      <c r="D69" s="2"/>
      <c r="E69" s="2"/>
      <c r="F69" s="2"/>
      <c r="G69" s="2"/>
      <c r="H69" s="2"/>
      <c r="I69" s="2"/>
      <c r="J69" s="2"/>
      <c r="K69" s="2">
        <f t="shared" ref="K69:K72" si="0">D69*-3%</f>
        <v>0</v>
      </c>
      <c r="L69" s="2"/>
      <c r="M69" s="2"/>
      <c r="N69" s="18"/>
      <c r="O69" s="15"/>
      <c r="P69" s="4"/>
      <c r="Q69" s="5"/>
      <c r="R69" s="23"/>
      <c r="S69" s="21"/>
      <c r="U69" s="21"/>
      <c r="V69" s="21"/>
      <c r="W69" s="21"/>
      <c r="X69" s="21"/>
      <c r="Y69" s="2"/>
      <c r="Z69" s="2"/>
    </row>
    <row r="70" spans="1:31" x14ac:dyDescent="0.25">
      <c r="A70" s="1"/>
      <c r="B70" s="50"/>
      <c r="C70" s="2" t="s">
        <v>180</v>
      </c>
      <c r="D70" s="2"/>
      <c r="E70" s="2"/>
      <c r="F70" s="2"/>
      <c r="G70" s="2"/>
      <c r="H70" s="2"/>
      <c r="I70" s="2"/>
      <c r="J70" s="2"/>
      <c r="K70" s="2">
        <f t="shared" si="0"/>
        <v>0</v>
      </c>
      <c r="L70" s="2"/>
      <c r="M70" s="2"/>
      <c r="N70" s="18"/>
      <c r="O70" s="15"/>
      <c r="P70" s="4"/>
      <c r="Q70" s="5"/>
      <c r="R70" s="23"/>
      <c r="S70" s="21"/>
      <c r="U70" s="21"/>
      <c r="V70" s="21"/>
      <c r="W70" s="21"/>
      <c r="X70" s="21"/>
      <c r="Y70" s="2"/>
      <c r="Z70" s="2"/>
    </row>
    <row r="71" spans="1:31" x14ac:dyDescent="0.25">
      <c r="A71" s="1"/>
      <c r="B71" s="77"/>
      <c r="C71" s="2" t="s">
        <v>181</v>
      </c>
      <c r="D71" s="2"/>
      <c r="E71" s="2"/>
      <c r="F71" s="2"/>
      <c r="G71" s="2"/>
      <c r="H71" s="2"/>
      <c r="I71" s="2"/>
      <c r="J71" s="2"/>
      <c r="K71" s="2">
        <f t="shared" si="0"/>
        <v>0</v>
      </c>
      <c r="L71" s="2"/>
      <c r="M71" s="2"/>
      <c r="N71" s="18"/>
      <c r="O71" s="15"/>
      <c r="P71" s="4"/>
      <c r="Q71" s="5"/>
      <c r="R71" s="23"/>
      <c r="S71" s="21"/>
      <c r="U71" s="21"/>
      <c r="V71" s="21"/>
      <c r="W71" s="21"/>
      <c r="X71" s="21"/>
      <c r="Y71" s="2"/>
      <c r="Z71" s="2"/>
    </row>
    <row r="72" spans="1:31" x14ac:dyDescent="0.25">
      <c r="A72" s="1"/>
      <c r="B72" s="10"/>
      <c r="C72" s="2"/>
      <c r="D72" s="2"/>
      <c r="E72" s="2"/>
      <c r="F72" s="2"/>
      <c r="G72" s="2"/>
      <c r="H72" s="2"/>
      <c r="I72" s="2"/>
      <c r="J72" s="2"/>
      <c r="K72" s="2">
        <f t="shared" si="0"/>
        <v>0</v>
      </c>
      <c r="L72" s="2"/>
      <c r="M72" s="2"/>
      <c r="N72" s="18"/>
      <c r="O72" s="15"/>
      <c r="P72" s="4"/>
      <c r="Q72" s="5"/>
      <c r="R72" s="23"/>
      <c r="S72" s="21"/>
      <c r="U72" s="21"/>
      <c r="V72" s="21"/>
      <c r="W72" s="21"/>
      <c r="X72" s="21"/>
      <c r="Y72" s="2"/>
      <c r="Z72" s="2"/>
    </row>
    <row r="73" spans="1:31" x14ac:dyDescent="0.25">
      <c r="A73" s="1"/>
      <c r="B73" s="2"/>
      <c r="C73" s="2"/>
      <c r="D73" s="2"/>
      <c r="E73" s="2"/>
      <c r="F73" s="2"/>
      <c r="G73" s="2"/>
      <c r="H73" s="2"/>
      <c r="I73" s="2"/>
      <c r="J73" s="2"/>
      <c r="K73" s="2"/>
      <c r="L73" s="2"/>
      <c r="M73" s="2"/>
      <c r="N73" s="18"/>
      <c r="O73" s="15"/>
      <c r="P73" s="4"/>
      <c r="Q73" s="5"/>
      <c r="R73" s="23"/>
      <c r="S73" s="21"/>
      <c r="U73" s="21"/>
      <c r="V73" s="21"/>
      <c r="W73" s="21"/>
      <c r="X73" s="21"/>
      <c r="Y73" s="2"/>
      <c r="Z73" s="2"/>
      <c r="AB73" s="30"/>
    </row>
    <row r="74" spans="1:31" s="25" customFormat="1" x14ac:dyDescent="0.25">
      <c r="A74" s="61" t="s">
        <v>8</v>
      </c>
      <c r="B74" s="10" t="s">
        <v>10</v>
      </c>
      <c r="C74" s="10" t="s">
        <v>142</v>
      </c>
      <c r="D74" s="10">
        <v>210000</v>
      </c>
      <c r="E74" s="10">
        <v>142950</v>
      </c>
      <c r="F74" s="10"/>
      <c r="G74" s="10">
        <v>-143974.04999999999</v>
      </c>
      <c r="H74" s="10">
        <v>-175</v>
      </c>
      <c r="I74" s="10"/>
      <c r="J74" s="10"/>
      <c r="K74" s="10">
        <f t="shared" ref="K74:K105" si="1">D74*-3%</f>
        <v>-6300</v>
      </c>
      <c r="L74" s="10">
        <f t="shared" ref="L74:L123" si="2">D74+F74+G74+H74+I74+J74+K74</f>
        <v>59550.950000000012</v>
      </c>
      <c r="M74" s="10"/>
      <c r="N74" s="45"/>
      <c r="O74" s="46">
        <v>1</v>
      </c>
      <c r="P74" s="47"/>
      <c r="Q74" s="48">
        <f>L74*O74</f>
        <v>59550.950000000012</v>
      </c>
      <c r="R74" s="23"/>
      <c r="S74" s="23">
        <v>1603.33</v>
      </c>
      <c r="T74" s="25">
        <v>299.60000000000002</v>
      </c>
      <c r="U74" s="23">
        <f>S74*8%+152.04+541.48</f>
        <v>821.78639999999996</v>
      </c>
      <c r="V74" s="23"/>
      <c r="W74" s="23">
        <f t="shared" ref="W74:W105" si="3">SUM(S74)</f>
        <v>1603.33</v>
      </c>
      <c r="X74" s="23"/>
      <c r="Y74" s="10"/>
      <c r="Z74" s="10"/>
      <c r="AB74" s="62" t="s">
        <v>173</v>
      </c>
    </row>
    <row r="75" spans="1:31" s="25" customFormat="1" x14ac:dyDescent="0.25">
      <c r="A75" s="61" t="s">
        <v>8</v>
      </c>
      <c r="B75" s="10" t="s">
        <v>11</v>
      </c>
      <c r="C75" s="10" t="s">
        <v>142</v>
      </c>
      <c r="D75" s="10">
        <v>220000</v>
      </c>
      <c r="E75" s="10">
        <v>125000</v>
      </c>
      <c r="F75" s="10"/>
      <c r="G75" s="10">
        <v>-125419.69</v>
      </c>
      <c r="H75" s="10">
        <v>-175</v>
      </c>
      <c r="I75" s="10"/>
      <c r="J75" s="10"/>
      <c r="K75" s="10">
        <f t="shared" si="1"/>
        <v>-6600</v>
      </c>
      <c r="L75" s="10">
        <f t="shared" si="2"/>
        <v>87805.31</v>
      </c>
      <c r="M75" s="10"/>
      <c r="N75" s="45"/>
      <c r="O75" s="46">
        <v>1</v>
      </c>
      <c r="P75" s="47"/>
      <c r="Q75" s="48">
        <f t="shared" ref="Q75:Q139" si="4">L75*O75</f>
        <v>87805.31</v>
      </c>
      <c r="R75" s="23"/>
      <c r="S75" s="23">
        <v>850</v>
      </c>
      <c r="T75" s="25">
        <v>260.45</v>
      </c>
      <c r="U75" s="23">
        <f>S75*8%+177.61</f>
        <v>245.61</v>
      </c>
      <c r="V75" s="23"/>
      <c r="W75" s="23">
        <f t="shared" si="3"/>
        <v>850</v>
      </c>
      <c r="X75" s="23"/>
      <c r="Y75" s="10"/>
      <c r="Z75" s="10"/>
      <c r="AB75" s="62" t="s">
        <v>173</v>
      </c>
    </row>
    <row r="76" spans="1:31" s="25" customFormat="1" x14ac:dyDescent="0.25">
      <c r="A76" s="61" t="s">
        <v>8</v>
      </c>
      <c r="B76" s="10" t="s">
        <v>145</v>
      </c>
      <c r="C76" s="10" t="s">
        <v>142</v>
      </c>
      <c r="D76" s="10">
        <v>250000</v>
      </c>
      <c r="E76" s="10">
        <v>125000</v>
      </c>
      <c r="F76" s="10"/>
      <c r="G76" s="10">
        <v>-139617.56</v>
      </c>
      <c r="H76" s="10">
        <v>-175</v>
      </c>
      <c r="I76" s="10"/>
      <c r="J76" s="10"/>
      <c r="K76" s="10">
        <f t="shared" si="1"/>
        <v>-7500</v>
      </c>
      <c r="L76" s="10">
        <f t="shared" si="2"/>
        <v>102707.44</v>
      </c>
      <c r="M76" s="10"/>
      <c r="N76" s="45"/>
      <c r="O76" s="46">
        <v>1</v>
      </c>
      <c r="P76" s="47"/>
      <c r="Q76" s="48">
        <f t="shared" si="4"/>
        <v>102707.44</v>
      </c>
      <c r="R76" s="23"/>
      <c r="S76" s="23">
        <v>825</v>
      </c>
      <c r="T76" s="25">
        <v>290.52</v>
      </c>
      <c r="U76" s="23">
        <f>S76*8%+152.04</f>
        <v>218.04</v>
      </c>
      <c r="V76" s="23"/>
      <c r="W76" s="23">
        <f t="shared" si="3"/>
        <v>825</v>
      </c>
      <c r="X76" s="23"/>
      <c r="Y76" s="10"/>
      <c r="Z76" s="10"/>
      <c r="AB76" s="62" t="s">
        <v>173</v>
      </c>
    </row>
    <row r="77" spans="1:31" x14ac:dyDescent="0.25">
      <c r="A77" s="1" t="s">
        <v>8</v>
      </c>
      <c r="B77" s="2" t="s">
        <v>12</v>
      </c>
      <c r="C77" s="2" t="s">
        <v>142</v>
      </c>
      <c r="D77" s="2">
        <v>200000</v>
      </c>
      <c r="E77" s="2">
        <v>119995</v>
      </c>
      <c r="F77" s="2"/>
      <c r="G77" s="2">
        <v>-123448.25</v>
      </c>
      <c r="H77" s="2">
        <v>-175</v>
      </c>
      <c r="I77" s="2"/>
      <c r="J77" s="2"/>
      <c r="K77" s="2">
        <f t="shared" si="1"/>
        <v>-6000</v>
      </c>
      <c r="L77" s="2">
        <f t="shared" si="2"/>
        <v>70376.75</v>
      </c>
      <c r="M77" s="2"/>
      <c r="N77" s="18"/>
      <c r="O77" s="15">
        <v>1</v>
      </c>
      <c r="P77" s="4"/>
      <c r="Q77" s="5">
        <f t="shared" si="4"/>
        <v>70376.75</v>
      </c>
      <c r="R77" s="23"/>
      <c r="S77" s="21">
        <v>795</v>
      </c>
      <c r="T77">
        <v>256.83</v>
      </c>
      <c r="U77" s="21">
        <f>S77*8%+156.3</f>
        <v>219.9</v>
      </c>
      <c r="V77" s="21"/>
      <c r="W77" s="21">
        <f t="shared" si="3"/>
        <v>795</v>
      </c>
      <c r="X77" s="21"/>
      <c r="Y77" s="2"/>
      <c r="Z77" s="2"/>
      <c r="AB77" s="31" t="s">
        <v>159</v>
      </c>
    </row>
    <row r="78" spans="1:31" s="25" customFormat="1" x14ac:dyDescent="0.25">
      <c r="A78" s="61" t="s">
        <v>8</v>
      </c>
      <c r="B78" s="10" t="s">
        <v>13</v>
      </c>
      <c r="C78" s="10" t="s">
        <v>142</v>
      </c>
      <c r="D78" s="10">
        <v>190000</v>
      </c>
      <c r="E78" s="10">
        <v>114000</v>
      </c>
      <c r="F78" s="10"/>
      <c r="G78" s="10">
        <v>-116611.45</v>
      </c>
      <c r="H78" s="10"/>
      <c r="I78" s="10"/>
      <c r="J78" s="10"/>
      <c r="K78" s="10">
        <f t="shared" si="1"/>
        <v>-5700</v>
      </c>
      <c r="L78" s="10">
        <f t="shared" si="2"/>
        <v>67688.55</v>
      </c>
      <c r="M78" s="10"/>
      <c r="N78" s="45"/>
      <c r="O78" s="46">
        <v>1</v>
      </c>
      <c r="P78" s="47"/>
      <c r="Q78" s="48">
        <f t="shared" si="4"/>
        <v>67688.55</v>
      </c>
      <c r="R78" s="23"/>
      <c r="S78" s="23">
        <v>695</v>
      </c>
      <c r="T78" s="25">
        <v>313.43</v>
      </c>
      <c r="U78" s="23">
        <f>S78*8%+149.2</f>
        <v>204.79999999999998</v>
      </c>
      <c r="V78" s="23"/>
      <c r="W78" s="23">
        <f t="shared" si="3"/>
        <v>695</v>
      </c>
      <c r="X78" s="23"/>
      <c r="Y78" s="10"/>
      <c r="Z78" s="10"/>
      <c r="AB78" s="62" t="s">
        <v>205</v>
      </c>
    </row>
    <row r="79" spans="1:31" s="25" customFormat="1" x14ac:dyDescent="0.25">
      <c r="A79" s="61" t="s">
        <v>8</v>
      </c>
      <c r="B79" s="10" t="s">
        <v>14</v>
      </c>
      <c r="C79" s="10" t="s">
        <v>142</v>
      </c>
      <c r="D79" s="10">
        <v>225000</v>
      </c>
      <c r="E79" s="10">
        <v>125000</v>
      </c>
      <c r="F79" s="10"/>
      <c r="G79" s="10">
        <v>-128337.23</v>
      </c>
      <c r="H79" s="10">
        <v>-175</v>
      </c>
      <c r="I79" s="10"/>
      <c r="J79" s="10"/>
      <c r="K79" s="10">
        <f t="shared" si="1"/>
        <v>-6750</v>
      </c>
      <c r="L79" s="10">
        <f t="shared" si="2"/>
        <v>89737.77</v>
      </c>
      <c r="M79" s="10"/>
      <c r="N79" s="45"/>
      <c r="O79" s="46">
        <v>1</v>
      </c>
      <c r="P79" s="47"/>
      <c r="Q79" s="48">
        <f t="shared" si="4"/>
        <v>89737.77</v>
      </c>
      <c r="R79" s="23"/>
      <c r="S79" s="23">
        <v>825</v>
      </c>
      <c r="T79" s="25">
        <v>267.02</v>
      </c>
      <c r="U79" s="23">
        <f>S79*8%+163.4</f>
        <v>229.4</v>
      </c>
      <c r="V79" s="23"/>
      <c r="W79" s="23">
        <f t="shared" si="3"/>
        <v>825</v>
      </c>
      <c r="X79" s="23"/>
      <c r="Y79" s="10"/>
      <c r="Z79" s="10"/>
      <c r="AB79" s="62" t="s">
        <v>173</v>
      </c>
    </row>
    <row r="80" spans="1:31" s="25" customFormat="1" x14ac:dyDescent="0.25">
      <c r="A80" s="61" t="s">
        <v>8</v>
      </c>
      <c r="B80" s="10" t="s">
        <v>15</v>
      </c>
      <c r="C80" s="10" t="s">
        <v>142</v>
      </c>
      <c r="D80" s="10">
        <v>215000</v>
      </c>
      <c r="E80" s="10">
        <v>125000</v>
      </c>
      <c r="F80" s="10"/>
      <c r="G80" s="10">
        <v>-138937.94</v>
      </c>
      <c r="H80" s="10">
        <v>-175</v>
      </c>
      <c r="I80" s="10"/>
      <c r="J80" s="10"/>
      <c r="K80" s="10">
        <f t="shared" si="1"/>
        <v>-6450</v>
      </c>
      <c r="L80" s="10">
        <f t="shared" si="2"/>
        <v>69437.06</v>
      </c>
      <c r="M80" s="10"/>
      <c r="N80" s="45"/>
      <c r="O80" s="46">
        <v>1</v>
      </c>
      <c r="P80" s="47"/>
      <c r="Q80" s="48">
        <f t="shared" si="4"/>
        <v>69437.06</v>
      </c>
      <c r="R80" s="23"/>
      <c r="S80" s="23">
        <v>800</v>
      </c>
      <c r="T80" s="25">
        <v>289.10000000000002</v>
      </c>
      <c r="U80" s="23">
        <f>S80*8%+157.72</f>
        <v>221.72</v>
      </c>
      <c r="V80" s="23"/>
      <c r="W80" s="23">
        <f t="shared" si="3"/>
        <v>800</v>
      </c>
      <c r="X80" s="23"/>
      <c r="Y80" s="10"/>
      <c r="Z80" s="10"/>
      <c r="AB80" s="62" t="s">
        <v>173</v>
      </c>
    </row>
    <row r="81" spans="1:29" s="25" customFormat="1" x14ac:dyDescent="0.25">
      <c r="A81" s="61" t="s">
        <v>8</v>
      </c>
      <c r="B81" s="10" t="s">
        <v>16</v>
      </c>
      <c r="C81" s="10" t="s">
        <v>142</v>
      </c>
      <c r="D81" s="10">
        <v>300000</v>
      </c>
      <c r="E81" s="10">
        <v>210000</v>
      </c>
      <c r="F81" s="10"/>
      <c r="G81" s="10">
        <v>-202955.59</v>
      </c>
      <c r="H81" s="10">
        <v>-250</v>
      </c>
      <c r="I81" s="10"/>
      <c r="J81" s="10">
        <v>-20000</v>
      </c>
      <c r="K81" s="10">
        <f t="shared" si="1"/>
        <v>-9000</v>
      </c>
      <c r="L81" s="10">
        <f t="shared" si="2"/>
        <v>67794.41</v>
      </c>
      <c r="M81" s="10"/>
      <c r="N81" s="45"/>
      <c r="O81" s="46">
        <v>1</v>
      </c>
      <c r="P81" s="47"/>
      <c r="Q81" s="48">
        <f t="shared" si="4"/>
        <v>67794.41</v>
      </c>
      <c r="R81" s="23"/>
      <c r="S81" s="23">
        <v>1678.33</v>
      </c>
      <c r="T81" s="25">
        <v>422.32</v>
      </c>
      <c r="U81" s="23">
        <f>S81*8%+191.82+555.67</f>
        <v>881.75639999999999</v>
      </c>
      <c r="V81" s="23"/>
      <c r="W81" s="23">
        <f t="shared" si="3"/>
        <v>1678.33</v>
      </c>
      <c r="X81" s="23"/>
      <c r="Y81" s="10"/>
      <c r="Z81" s="10"/>
      <c r="AB81" s="62" t="s">
        <v>173</v>
      </c>
      <c r="AC81" s="25" t="s">
        <v>154</v>
      </c>
    </row>
    <row r="82" spans="1:29" x14ac:dyDescent="0.25">
      <c r="A82" s="1" t="s">
        <v>8</v>
      </c>
      <c r="B82" s="2" t="s">
        <v>17</v>
      </c>
      <c r="C82" s="2" t="s">
        <v>142</v>
      </c>
      <c r="D82" s="2">
        <v>200000</v>
      </c>
      <c r="E82" s="2">
        <v>100000</v>
      </c>
      <c r="F82" s="2"/>
      <c r="G82" s="2">
        <v>-115572.56</v>
      </c>
      <c r="H82" s="2"/>
      <c r="I82" s="2"/>
      <c r="J82" s="2"/>
      <c r="K82" s="2">
        <f t="shared" si="1"/>
        <v>-6000</v>
      </c>
      <c r="L82" s="2">
        <f t="shared" si="2"/>
        <v>78427.44</v>
      </c>
      <c r="M82" s="2"/>
      <c r="N82" s="18"/>
      <c r="O82" s="15">
        <v>1</v>
      </c>
      <c r="P82" s="4"/>
      <c r="Q82" s="5">
        <f t="shared" si="4"/>
        <v>78427.44</v>
      </c>
      <c r="R82" s="23"/>
      <c r="S82" s="21">
        <v>725</v>
      </c>
      <c r="T82" s="25">
        <v>260.05</v>
      </c>
      <c r="U82" s="21">
        <f>S82*8%+159.14</f>
        <v>217.14</v>
      </c>
      <c r="V82" s="21"/>
      <c r="W82" s="21">
        <f t="shared" si="3"/>
        <v>725</v>
      </c>
      <c r="X82" s="21"/>
      <c r="Y82" s="2"/>
      <c r="Z82" s="2"/>
      <c r="AB82" s="31" t="s">
        <v>159</v>
      </c>
    </row>
    <row r="83" spans="1:29" s="25" customFormat="1" x14ac:dyDescent="0.25">
      <c r="A83" s="61" t="s">
        <v>8</v>
      </c>
      <c r="B83" s="10" t="s">
        <v>18</v>
      </c>
      <c r="C83" s="10" t="s">
        <v>142</v>
      </c>
      <c r="D83" s="10">
        <v>160000</v>
      </c>
      <c r="E83" s="10">
        <v>95000</v>
      </c>
      <c r="F83" s="10"/>
      <c r="G83" s="10">
        <v>-104731.81</v>
      </c>
      <c r="H83" s="10">
        <v>-175</v>
      </c>
      <c r="I83" s="10"/>
      <c r="J83" s="10"/>
      <c r="K83" s="10">
        <f t="shared" si="1"/>
        <v>-4800</v>
      </c>
      <c r="L83" s="10">
        <f t="shared" si="2"/>
        <v>50293.19</v>
      </c>
      <c r="M83" s="10"/>
      <c r="N83" s="45"/>
      <c r="O83" s="46">
        <v>1</v>
      </c>
      <c r="P83" s="47"/>
      <c r="Q83" s="48">
        <f t="shared" si="4"/>
        <v>50293.19</v>
      </c>
      <c r="R83" s="23"/>
      <c r="S83" s="23">
        <v>725</v>
      </c>
      <c r="T83" s="25">
        <v>217.84</v>
      </c>
      <c r="U83" s="23">
        <f>S83*8%+167.67</f>
        <v>225.67</v>
      </c>
      <c r="V83" s="23"/>
      <c r="W83" s="23">
        <f t="shared" si="3"/>
        <v>725</v>
      </c>
      <c r="X83" s="23"/>
      <c r="Y83" s="10"/>
      <c r="Z83" s="10"/>
      <c r="AB83" s="62" t="s">
        <v>173</v>
      </c>
    </row>
    <row r="84" spans="1:29" s="25" customFormat="1" x14ac:dyDescent="0.25">
      <c r="A84" s="61" t="s">
        <v>8</v>
      </c>
      <c r="B84" s="10" t="s">
        <v>19</v>
      </c>
      <c r="C84" s="10" t="s">
        <v>142</v>
      </c>
      <c r="D84" s="10">
        <v>170000</v>
      </c>
      <c r="E84" s="10">
        <v>70000</v>
      </c>
      <c r="F84" s="10"/>
      <c r="G84" s="10">
        <v>-112307.52</v>
      </c>
      <c r="H84" s="10"/>
      <c r="I84" s="10">
        <v>-20000</v>
      </c>
      <c r="J84" s="10"/>
      <c r="K84" s="10">
        <f t="shared" si="1"/>
        <v>-5100</v>
      </c>
      <c r="L84" s="10">
        <f t="shared" si="2"/>
        <v>32592.479999999996</v>
      </c>
      <c r="M84" s="10"/>
      <c r="N84" s="45"/>
      <c r="O84" s="46">
        <v>1</v>
      </c>
      <c r="P84" s="47"/>
      <c r="Q84" s="48">
        <f t="shared" si="4"/>
        <v>32592.479999999996</v>
      </c>
      <c r="R84" s="23"/>
      <c r="S84" s="23">
        <v>750</v>
      </c>
      <c r="U84" s="23">
        <f>S84*8%+156.3</f>
        <v>216.3</v>
      </c>
      <c r="V84" s="23"/>
      <c r="W84" s="23">
        <f t="shared" si="3"/>
        <v>750</v>
      </c>
      <c r="X84" s="23"/>
      <c r="Y84" s="10"/>
      <c r="Z84" s="10"/>
      <c r="AB84" s="62" t="s">
        <v>173</v>
      </c>
      <c r="AC84" s="25" t="s">
        <v>147</v>
      </c>
    </row>
    <row r="85" spans="1:29" s="25" customFormat="1" x14ac:dyDescent="0.25">
      <c r="A85" s="61" t="s">
        <v>8</v>
      </c>
      <c r="B85" s="10" t="s">
        <v>20</v>
      </c>
      <c r="C85" s="10" t="s">
        <v>142</v>
      </c>
      <c r="D85" s="10">
        <v>280000</v>
      </c>
      <c r="E85" s="10">
        <v>125000</v>
      </c>
      <c r="F85" s="10"/>
      <c r="G85" s="10">
        <v>-131050</v>
      </c>
      <c r="H85" s="10">
        <v>-175</v>
      </c>
      <c r="I85" s="10"/>
      <c r="J85" s="10"/>
      <c r="K85" s="10">
        <f t="shared" si="1"/>
        <v>-8400</v>
      </c>
      <c r="L85" s="10">
        <f t="shared" si="2"/>
        <v>140375</v>
      </c>
      <c r="M85" s="10"/>
      <c r="N85" s="45"/>
      <c r="O85" s="46">
        <v>1</v>
      </c>
      <c r="P85" s="47"/>
      <c r="Q85" s="48">
        <f t="shared" si="4"/>
        <v>140375</v>
      </c>
      <c r="R85" s="23"/>
      <c r="S85" s="23">
        <v>795</v>
      </c>
      <c r="T85" s="25">
        <v>272.64</v>
      </c>
      <c r="U85" s="23">
        <f>S85*8%+170.51</f>
        <v>234.10999999999999</v>
      </c>
      <c r="V85" s="23"/>
      <c r="W85" s="23">
        <f t="shared" si="3"/>
        <v>795</v>
      </c>
      <c r="X85" s="23"/>
      <c r="Y85" s="10"/>
      <c r="Z85" s="10"/>
      <c r="AB85" s="62" t="s">
        <v>173</v>
      </c>
    </row>
    <row r="86" spans="1:29" s="83" customFormat="1" x14ac:dyDescent="0.25">
      <c r="A86" s="76" t="s">
        <v>8</v>
      </c>
      <c r="B86" s="77" t="s">
        <v>21</v>
      </c>
      <c r="C86" s="77" t="s">
        <v>142</v>
      </c>
      <c r="D86" s="77">
        <v>235000</v>
      </c>
      <c r="E86" s="77">
        <v>100000</v>
      </c>
      <c r="F86" s="77"/>
      <c r="G86" s="77">
        <v>-124206.49</v>
      </c>
      <c r="H86" s="77"/>
      <c r="I86" s="77"/>
      <c r="J86" s="77"/>
      <c r="K86" s="77">
        <f t="shared" si="1"/>
        <v>-7050</v>
      </c>
      <c r="L86" s="77">
        <f t="shared" si="2"/>
        <v>103743.51</v>
      </c>
      <c r="M86" s="77"/>
      <c r="N86" s="78"/>
      <c r="O86" s="79">
        <v>1</v>
      </c>
      <c r="P86" s="80"/>
      <c r="Q86" s="81">
        <f t="shared" si="4"/>
        <v>103743.51</v>
      </c>
      <c r="R86" s="82"/>
      <c r="S86" s="82">
        <v>850</v>
      </c>
      <c r="T86" s="83">
        <v>392.67</v>
      </c>
      <c r="U86" s="82">
        <f>S86*8%+156.3</f>
        <v>224.3</v>
      </c>
      <c r="V86" s="82"/>
      <c r="W86" s="82">
        <f t="shared" si="3"/>
        <v>850</v>
      </c>
      <c r="X86" s="82"/>
      <c r="Y86" s="77"/>
      <c r="Z86" s="77"/>
      <c r="AB86" s="84" t="s">
        <v>205</v>
      </c>
    </row>
    <row r="87" spans="1:29" x14ac:dyDescent="0.25">
      <c r="A87" s="1" t="s">
        <v>8</v>
      </c>
      <c r="B87" s="2" t="s">
        <v>22</v>
      </c>
      <c r="C87" s="2" t="s">
        <v>142</v>
      </c>
      <c r="D87" s="2">
        <v>140000</v>
      </c>
      <c r="E87" s="2">
        <v>97500</v>
      </c>
      <c r="F87" s="2"/>
      <c r="G87" s="2">
        <v>-83701.86</v>
      </c>
      <c r="H87" s="2">
        <v>-175</v>
      </c>
      <c r="I87" s="2"/>
      <c r="J87" s="2"/>
      <c r="K87" s="2">
        <f t="shared" si="1"/>
        <v>-4200</v>
      </c>
      <c r="L87" s="2">
        <f t="shared" si="2"/>
        <v>51923.14</v>
      </c>
      <c r="M87" s="2"/>
      <c r="N87" s="18"/>
      <c r="O87" s="15">
        <v>1</v>
      </c>
      <c r="P87" s="4"/>
      <c r="Q87" s="5">
        <f t="shared" si="4"/>
        <v>51923.14</v>
      </c>
      <c r="R87" s="23"/>
      <c r="S87" s="21">
        <v>1516.66</v>
      </c>
      <c r="T87">
        <v>135.04</v>
      </c>
      <c r="U87" s="23">
        <f>S87*8%+453.06+163.4</f>
        <v>737.79279999999994</v>
      </c>
      <c r="V87" s="21"/>
      <c r="W87" s="21">
        <f t="shared" si="3"/>
        <v>1516.66</v>
      </c>
      <c r="X87" s="21"/>
      <c r="Y87" s="2"/>
      <c r="Z87" s="2"/>
      <c r="AB87" s="31" t="s">
        <v>159</v>
      </c>
    </row>
    <row r="88" spans="1:29" x14ac:dyDescent="0.25">
      <c r="A88" s="1" t="s">
        <v>8</v>
      </c>
      <c r="B88" s="2" t="s">
        <v>23</v>
      </c>
      <c r="C88" s="2" t="s">
        <v>142</v>
      </c>
      <c r="D88" s="2">
        <v>280000</v>
      </c>
      <c r="E88" s="2">
        <v>115000</v>
      </c>
      <c r="F88" s="2"/>
      <c r="G88" s="2">
        <v>-138659.72</v>
      </c>
      <c r="H88" s="2">
        <v>-74</v>
      </c>
      <c r="I88" s="2"/>
      <c r="J88" s="2"/>
      <c r="K88" s="2">
        <f t="shared" si="1"/>
        <v>-8400</v>
      </c>
      <c r="L88" s="2">
        <f t="shared" si="2"/>
        <v>132866.28</v>
      </c>
      <c r="M88" s="2"/>
      <c r="N88" s="18"/>
      <c r="O88" s="15">
        <v>1</v>
      </c>
      <c r="P88" s="4"/>
      <c r="Q88" s="5">
        <f t="shared" si="4"/>
        <v>132866.28</v>
      </c>
      <c r="R88" s="23"/>
      <c r="S88" s="21">
        <v>733.75</v>
      </c>
      <c r="T88">
        <v>311.01</v>
      </c>
      <c r="U88" s="21">
        <f>S88*8%+230.18</f>
        <v>288.88</v>
      </c>
      <c r="V88" s="21"/>
      <c r="W88" s="21">
        <f t="shared" si="3"/>
        <v>733.75</v>
      </c>
      <c r="X88" s="21"/>
      <c r="Y88" s="2"/>
      <c r="Z88" s="2"/>
      <c r="AB88" s="31" t="s">
        <v>161</v>
      </c>
    </row>
    <row r="89" spans="1:29" s="43" customFormat="1" x14ac:dyDescent="0.25">
      <c r="A89" s="37" t="s">
        <v>8</v>
      </c>
      <c r="B89" s="33" t="s">
        <v>24</v>
      </c>
      <c r="C89" s="33" t="s">
        <v>142</v>
      </c>
      <c r="D89" s="33">
        <v>230000</v>
      </c>
      <c r="E89" s="33">
        <v>130000</v>
      </c>
      <c r="F89" s="33"/>
      <c r="G89" s="33">
        <v>-135266.31</v>
      </c>
      <c r="H89" s="33">
        <v>-195</v>
      </c>
      <c r="I89" s="33"/>
      <c r="J89" s="33">
        <v>-20000</v>
      </c>
      <c r="K89" s="33">
        <f t="shared" si="1"/>
        <v>-6900</v>
      </c>
      <c r="L89" s="33">
        <f t="shared" si="2"/>
        <v>67638.69</v>
      </c>
      <c r="M89" s="33"/>
      <c r="N89" s="38"/>
      <c r="O89" s="39">
        <v>1</v>
      </c>
      <c r="P89" s="40"/>
      <c r="Q89" s="41">
        <f t="shared" si="4"/>
        <v>67638.69</v>
      </c>
      <c r="R89" s="42"/>
      <c r="S89" s="42">
        <v>900</v>
      </c>
      <c r="T89" s="43">
        <v>561.71</v>
      </c>
      <c r="U89" s="42">
        <f>S89*8%+180.45</f>
        <v>252.45</v>
      </c>
      <c r="V89" s="42"/>
      <c r="W89" s="42">
        <f t="shared" si="3"/>
        <v>900</v>
      </c>
      <c r="X89" s="42"/>
      <c r="Y89" s="33"/>
      <c r="Z89" s="33"/>
      <c r="AB89" s="44" t="s">
        <v>162</v>
      </c>
      <c r="AC89" s="43" t="s">
        <v>150</v>
      </c>
    </row>
    <row r="90" spans="1:29" x14ac:dyDescent="0.25">
      <c r="A90" s="1" t="s">
        <v>8</v>
      </c>
      <c r="B90" s="2" t="s">
        <v>25</v>
      </c>
      <c r="C90" s="2" t="s">
        <v>142</v>
      </c>
      <c r="D90" s="2">
        <v>190000</v>
      </c>
      <c r="E90" s="2">
        <v>82500</v>
      </c>
      <c r="F90" s="2"/>
      <c r="G90" s="2">
        <v>-98584.14</v>
      </c>
      <c r="H90" s="2"/>
      <c r="I90" s="2"/>
      <c r="J90" s="2"/>
      <c r="K90" s="2">
        <f t="shared" si="1"/>
        <v>-5700</v>
      </c>
      <c r="L90" s="2">
        <f t="shared" si="2"/>
        <v>85715.86</v>
      </c>
      <c r="M90" s="2"/>
      <c r="N90" s="18"/>
      <c r="O90" s="15">
        <v>1</v>
      </c>
      <c r="P90" s="4"/>
      <c r="Q90" s="5">
        <f t="shared" si="4"/>
        <v>85715.86</v>
      </c>
      <c r="R90" s="23"/>
      <c r="S90" s="21">
        <v>695</v>
      </c>
      <c r="U90" s="23">
        <f>S90*8%+14.41</f>
        <v>70.010000000000005</v>
      </c>
      <c r="V90" s="21"/>
      <c r="W90" s="21">
        <f t="shared" si="3"/>
        <v>695</v>
      </c>
      <c r="X90" s="21"/>
      <c r="Y90" s="2"/>
      <c r="Z90" s="2"/>
      <c r="AB90" s="31" t="s">
        <v>160</v>
      </c>
    </row>
    <row r="91" spans="1:29" s="25" customFormat="1" x14ac:dyDescent="0.25">
      <c r="A91" s="61" t="s">
        <v>8</v>
      </c>
      <c r="B91" s="10" t="s">
        <v>26</v>
      </c>
      <c r="C91" s="10" t="s">
        <v>142</v>
      </c>
      <c r="D91" s="10">
        <v>280000</v>
      </c>
      <c r="E91" s="10">
        <v>210000</v>
      </c>
      <c r="F91" s="10"/>
      <c r="G91" s="10">
        <v>-202955.59</v>
      </c>
      <c r="H91" s="10">
        <v>-250</v>
      </c>
      <c r="I91" s="10"/>
      <c r="J91" s="10">
        <v>-20000</v>
      </c>
      <c r="K91" s="10">
        <f t="shared" si="1"/>
        <v>-8400</v>
      </c>
      <c r="L91" s="10">
        <f t="shared" si="2"/>
        <v>48394.41</v>
      </c>
      <c r="M91" s="10"/>
      <c r="N91" s="45"/>
      <c r="O91" s="46">
        <v>1</v>
      </c>
      <c r="P91" s="47"/>
      <c r="Q91" s="48">
        <f t="shared" si="4"/>
        <v>48394.41</v>
      </c>
      <c r="R91" s="23"/>
      <c r="S91" s="23">
        <v>1873.33</v>
      </c>
      <c r="T91" s="25">
        <v>422.32</v>
      </c>
      <c r="U91" s="23">
        <f>S91*8%+191.82+469.32</f>
        <v>811.00639999999999</v>
      </c>
      <c r="V91" s="23"/>
      <c r="W91" s="23">
        <f t="shared" si="3"/>
        <v>1873.33</v>
      </c>
      <c r="X91" s="23"/>
      <c r="Y91" s="10"/>
      <c r="Z91" s="10"/>
      <c r="AB91" s="62" t="s">
        <v>173</v>
      </c>
      <c r="AC91" s="25" t="s">
        <v>156</v>
      </c>
    </row>
    <row r="92" spans="1:29" x14ac:dyDescent="0.25">
      <c r="A92" s="1" t="s">
        <v>8</v>
      </c>
      <c r="B92" s="2" t="s">
        <v>27</v>
      </c>
      <c r="C92" s="2" t="s">
        <v>142</v>
      </c>
      <c r="D92" s="2">
        <v>200000</v>
      </c>
      <c r="E92" s="2">
        <v>130000</v>
      </c>
      <c r="F92" s="2"/>
      <c r="G92" s="2">
        <v>-133828.35</v>
      </c>
      <c r="H92" s="2"/>
      <c r="I92" s="2"/>
      <c r="J92" s="2"/>
      <c r="K92" s="2">
        <f t="shared" si="1"/>
        <v>-6000</v>
      </c>
      <c r="L92" s="2">
        <f t="shared" si="2"/>
        <v>60171.649999999994</v>
      </c>
      <c r="M92" s="2"/>
      <c r="N92" s="18"/>
      <c r="O92" s="15">
        <v>1</v>
      </c>
      <c r="P92" s="4"/>
      <c r="Q92" s="5">
        <f t="shared" si="4"/>
        <v>60171.649999999994</v>
      </c>
      <c r="R92" s="23"/>
      <c r="S92" s="21">
        <v>800</v>
      </c>
      <c r="T92" s="25">
        <v>250.67</v>
      </c>
      <c r="U92" s="21">
        <f>S92*8%+149.2</f>
        <v>213.2</v>
      </c>
      <c r="V92" s="21"/>
      <c r="W92" s="21">
        <f t="shared" si="3"/>
        <v>800</v>
      </c>
      <c r="X92" s="21"/>
      <c r="Y92" s="2"/>
      <c r="Z92" s="2"/>
      <c r="AB92" s="31" t="s">
        <v>159</v>
      </c>
    </row>
    <row r="93" spans="1:29" s="25" customFormat="1" x14ac:dyDescent="0.25">
      <c r="A93" s="61" t="s">
        <v>8</v>
      </c>
      <c r="B93" s="10" t="s">
        <v>28</v>
      </c>
      <c r="C93" s="10" t="s">
        <v>142</v>
      </c>
      <c r="D93" s="10">
        <v>160000</v>
      </c>
      <c r="E93" s="10">
        <v>103000</v>
      </c>
      <c r="F93" s="10"/>
      <c r="G93" s="10">
        <v>-107055.36</v>
      </c>
      <c r="H93" s="10">
        <v>-175</v>
      </c>
      <c r="I93" s="10"/>
      <c r="J93" s="10"/>
      <c r="K93" s="10">
        <f t="shared" si="1"/>
        <v>-4800</v>
      </c>
      <c r="L93" s="10">
        <f t="shared" si="2"/>
        <v>47969.64</v>
      </c>
      <c r="M93" s="10"/>
      <c r="N93" s="45"/>
      <c r="O93" s="46">
        <v>1</v>
      </c>
      <c r="P93" s="47"/>
      <c r="Q93" s="48">
        <f t="shared" si="4"/>
        <v>47969.64</v>
      </c>
      <c r="R93" s="23"/>
      <c r="S93" s="23">
        <v>775</v>
      </c>
      <c r="T93" s="25">
        <v>222.68</v>
      </c>
      <c r="U93" s="23">
        <f>S93*8%+167.67</f>
        <v>229.67</v>
      </c>
      <c r="V93" s="23"/>
      <c r="W93" s="23">
        <f t="shared" si="3"/>
        <v>775</v>
      </c>
      <c r="X93" s="23"/>
      <c r="Y93" s="10"/>
      <c r="Z93" s="10"/>
      <c r="AB93" s="62" t="s">
        <v>173</v>
      </c>
    </row>
    <row r="94" spans="1:29" s="43" customFormat="1" x14ac:dyDescent="0.25">
      <c r="A94" s="37" t="s">
        <v>8</v>
      </c>
      <c r="B94" s="33" t="s">
        <v>29</v>
      </c>
      <c r="C94" s="33" t="s">
        <v>142</v>
      </c>
      <c r="D94" s="33">
        <v>250000</v>
      </c>
      <c r="E94" s="33">
        <v>125200</v>
      </c>
      <c r="F94" s="33"/>
      <c r="G94" s="33">
        <v>-133838</v>
      </c>
      <c r="H94" s="33">
        <v>-90</v>
      </c>
      <c r="I94" s="33"/>
      <c r="J94" s="33">
        <v>-50000</v>
      </c>
      <c r="K94" s="33">
        <f t="shared" si="1"/>
        <v>-7500</v>
      </c>
      <c r="L94" s="33">
        <f t="shared" si="2"/>
        <v>58572</v>
      </c>
      <c r="M94" s="33"/>
      <c r="N94" s="38"/>
      <c r="O94" s="39">
        <v>1</v>
      </c>
      <c r="P94" s="40"/>
      <c r="Q94" s="41">
        <f t="shared" si="4"/>
        <v>58572</v>
      </c>
      <c r="R94" s="42"/>
      <c r="S94" s="42">
        <v>850</v>
      </c>
      <c r="U94" s="42">
        <f>S94*8%+159.14</f>
        <v>227.14</v>
      </c>
      <c r="V94" s="42"/>
      <c r="W94" s="42">
        <f t="shared" si="3"/>
        <v>850</v>
      </c>
      <c r="X94" s="42"/>
      <c r="Y94" s="33"/>
      <c r="Z94" s="33"/>
      <c r="AB94" s="44" t="s">
        <v>163</v>
      </c>
      <c r="AC94" s="43" t="s">
        <v>157</v>
      </c>
    </row>
    <row r="95" spans="1:29" x14ac:dyDescent="0.25">
      <c r="A95" s="1" t="s">
        <v>8</v>
      </c>
      <c r="B95" s="2" t="s">
        <v>30</v>
      </c>
      <c r="C95" s="2" t="s">
        <v>142</v>
      </c>
      <c r="D95" s="2">
        <v>225000</v>
      </c>
      <c r="E95" s="2">
        <v>65000</v>
      </c>
      <c r="F95" s="2"/>
      <c r="G95" s="2">
        <v>-15000</v>
      </c>
      <c r="H95" s="2"/>
      <c r="I95" s="2"/>
      <c r="J95" s="2"/>
      <c r="K95" s="2">
        <f t="shared" si="1"/>
        <v>-6750</v>
      </c>
      <c r="L95" s="2">
        <f t="shared" si="2"/>
        <v>203250</v>
      </c>
      <c r="M95" s="2"/>
      <c r="N95" s="18"/>
      <c r="O95" s="15">
        <v>0.3</v>
      </c>
      <c r="P95" s="4"/>
      <c r="Q95" s="5">
        <f t="shared" si="4"/>
        <v>60975</v>
      </c>
      <c r="R95" s="23"/>
      <c r="S95" s="21">
        <v>850</v>
      </c>
      <c r="U95" s="23">
        <f>S95*8%+227.28</f>
        <v>295.27999999999997</v>
      </c>
      <c r="V95" s="21"/>
      <c r="W95" s="21">
        <f t="shared" si="3"/>
        <v>850</v>
      </c>
      <c r="X95" s="21"/>
      <c r="Y95" s="2"/>
      <c r="Z95" s="2"/>
      <c r="AB95" s="31" t="s">
        <v>170</v>
      </c>
      <c r="AC95" t="s">
        <v>171</v>
      </c>
    </row>
    <row r="96" spans="1:29" x14ac:dyDescent="0.25">
      <c r="A96" s="1" t="s">
        <v>8</v>
      </c>
      <c r="B96" s="2" t="s">
        <v>31</v>
      </c>
      <c r="C96" s="2" t="s">
        <v>142</v>
      </c>
      <c r="D96" s="2">
        <v>135000</v>
      </c>
      <c r="E96" s="2">
        <v>92000</v>
      </c>
      <c r="F96" s="2"/>
      <c r="G96" s="2">
        <v>-104711.15</v>
      </c>
      <c r="H96" s="2"/>
      <c r="I96" s="2"/>
      <c r="J96" s="2"/>
      <c r="K96" s="2">
        <f t="shared" si="1"/>
        <v>-4050</v>
      </c>
      <c r="L96" s="2">
        <f t="shared" si="2"/>
        <v>26238.850000000006</v>
      </c>
      <c r="M96" s="2"/>
      <c r="N96" s="18"/>
      <c r="O96" s="15">
        <v>1</v>
      </c>
      <c r="P96" s="4"/>
      <c r="Q96" s="5">
        <f t="shared" si="4"/>
        <v>26238.850000000006</v>
      </c>
      <c r="R96" s="23"/>
      <c r="S96" s="21">
        <v>695</v>
      </c>
      <c r="T96">
        <v>196.08</v>
      </c>
      <c r="U96" s="23">
        <f>S96*8%+80</f>
        <v>135.6</v>
      </c>
      <c r="V96" s="21"/>
      <c r="W96" s="21">
        <f t="shared" si="3"/>
        <v>695</v>
      </c>
      <c r="X96" s="21"/>
      <c r="Y96" s="2"/>
      <c r="Z96" s="2"/>
      <c r="AB96" s="31" t="s">
        <v>159</v>
      </c>
    </row>
    <row r="97" spans="1:29" s="25" customFormat="1" x14ac:dyDescent="0.25">
      <c r="A97" s="61" t="s">
        <v>8</v>
      </c>
      <c r="B97" s="10" t="s">
        <v>32</v>
      </c>
      <c r="C97" s="10" t="s">
        <v>142</v>
      </c>
      <c r="D97" s="10">
        <v>240000</v>
      </c>
      <c r="E97" s="10">
        <v>125000</v>
      </c>
      <c r="F97" s="10"/>
      <c r="G97" s="10">
        <v>-138939.28</v>
      </c>
      <c r="H97" s="10">
        <v>-175</v>
      </c>
      <c r="I97" s="10"/>
      <c r="J97" s="10"/>
      <c r="K97" s="10">
        <f t="shared" si="1"/>
        <v>-7200</v>
      </c>
      <c r="L97" s="10">
        <f t="shared" si="2"/>
        <v>93685.72</v>
      </c>
      <c r="M97" s="10"/>
      <c r="N97" s="45"/>
      <c r="O97" s="46">
        <v>1</v>
      </c>
      <c r="P97" s="47"/>
      <c r="Q97" s="48">
        <f t="shared" si="4"/>
        <v>93685.72</v>
      </c>
      <c r="R97" s="23"/>
      <c r="S97" s="23">
        <v>850</v>
      </c>
      <c r="T97" s="25">
        <v>289.11</v>
      </c>
      <c r="U97" s="23">
        <f>S97*8%+170.51</f>
        <v>238.51</v>
      </c>
      <c r="V97" s="23"/>
      <c r="W97" s="23">
        <f t="shared" si="3"/>
        <v>850</v>
      </c>
      <c r="X97" s="23"/>
      <c r="Y97" s="10"/>
      <c r="Z97" s="10"/>
      <c r="AB97" s="62" t="s">
        <v>173</v>
      </c>
    </row>
    <row r="98" spans="1:29" s="25" customFormat="1" x14ac:dyDescent="0.25">
      <c r="A98" s="61" t="s">
        <v>8</v>
      </c>
      <c r="B98" s="10" t="s">
        <v>33</v>
      </c>
      <c r="C98" s="10" t="s">
        <v>142</v>
      </c>
      <c r="D98" s="10">
        <v>225000</v>
      </c>
      <c r="E98" s="10">
        <v>125000</v>
      </c>
      <c r="F98" s="10"/>
      <c r="G98" s="10">
        <v>-131287.26</v>
      </c>
      <c r="H98" s="10">
        <v>-175</v>
      </c>
      <c r="I98" s="10"/>
      <c r="J98" s="10"/>
      <c r="K98" s="10">
        <f t="shared" si="1"/>
        <v>-6750</v>
      </c>
      <c r="L98" s="10">
        <f t="shared" si="2"/>
        <v>86787.739999999991</v>
      </c>
      <c r="M98" s="10"/>
      <c r="N98" s="45"/>
      <c r="O98" s="46">
        <v>1</v>
      </c>
      <c r="P98" s="47"/>
      <c r="Q98" s="48">
        <f t="shared" si="4"/>
        <v>86787.739999999991</v>
      </c>
      <c r="R98" s="23"/>
      <c r="S98" s="23">
        <v>725</v>
      </c>
      <c r="T98" s="25">
        <v>273.16000000000003</v>
      </c>
      <c r="U98" s="23">
        <f>S98*8%+154.88</f>
        <v>212.88</v>
      </c>
      <c r="V98" s="23"/>
      <c r="W98" s="23">
        <f t="shared" si="3"/>
        <v>725</v>
      </c>
      <c r="X98" s="23"/>
      <c r="Y98" s="10"/>
      <c r="Z98" s="10"/>
      <c r="AB98" s="62" t="s">
        <v>173</v>
      </c>
    </row>
    <row r="99" spans="1:29" x14ac:dyDescent="0.25">
      <c r="A99" s="1" t="s">
        <v>8</v>
      </c>
      <c r="B99" s="2" t="s">
        <v>34</v>
      </c>
      <c r="C99" s="2" t="s">
        <v>142</v>
      </c>
      <c r="D99" s="2">
        <v>220000</v>
      </c>
      <c r="E99" s="2">
        <v>125000</v>
      </c>
      <c r="F99" s="2"/>
      <c r="G99" s="2">
        <v>-128867.56</v>
      </c>
      <c r="H99" s="2">
        <v>-120</v>
      </c>
      <c r="I99" s="2"/>
      <c r="J99" s="2"/>
      <c r="K99" s="2">
        <f t="shared" si="1"/>
        <v>-6600</v>
      </c>
      <c r="L99" s="2">
        <f t="shared" si="2"/>
        <v>84412.44</v>
      </c>
      <c r="M99" s="2"/>
      <c r="N99" s="18"/>
      <c r="O99" s="15">
        <v>1</v>
      </c>
      <c r="P99" s="4"/>
      <c r="Q99" s="5">
        <f t="shared" si="4"/>
        <v>84412.44</v>
      </c>
      <c r="R99" s="23"/>
      <c r="S99" s="21">
        <v>795</v>
      </c>
      <c r="T99">
        <v>209.36</v>
      </c>
      <c r="U99" s="21">
        <f>S99*8%+152.04</f>
        <v>215.64</v>
      </c>
      <c r="V99" s="21"/>
      <c r="W99" s="21">
        <f t="shared" si="3"/>
        <v>795</v>
      </c>
      <c r="X99" s="21"/>
      <c r="Y99" s="2"/>
      <c r="Z99" s="2"/>
      <c r="AB99" s="31" t="s">
        <v>164</v>
      </c>
    </row>
    <row r="100" spans="1:29" s="25" customFormat="1" x14ac:dyDescent="0.25">
      <c r="A100" s="61" t="s">
        <v>8</v>
      </c>
      <c r="B100" s="10" t="s">
        <v>35</v>
      </c>
      <c r="C100" s="10" t="s">
        <v>142</v>
      </c>
      <c r="D100" s="10">
        <v>85000</v>
      </c>
      <c r="E100" s="10">
        <v>30000</v>
      </c>
      <c r="F100" s="10"/>
      <c r="G100" s="10">
        <v>-34015</v>
      </c>
      <c r="H100" s="10"/>
      <c r="I100" s="10"/>
      <c r="J100" s="10"/>
      <c r="K100" s="10">
        <f t="shared" si="1"/>
        <v>-2550</v>
      </c>
      <c r="L100" s="10">
        <f t="shared" si="2"/>
        <v>48435</v>
      </c>
      <c r="M100" s="10"/>
      <c r="N100" s="45"/>
      <c r="O100" s="46">
        <v>1</v>
      </c>
      <c r="P100" s="47"/>
      <c r="Q100" s="48">
        <f t="shared" si="4"/>
        <v>48435</v>
      </c>
      <c r="R100" s="23"/>
      <c r="S100" s="23">
        <v>525</v>
      </c>
      <c r="U100" s="23">
        <f>S100*8%+17.47</f>
        <v>59.47</v>
      </c>
      <c r="V100" s="23"/>
      <c r="W100" s="23">
        <f t="shared" si="3"/>
        <v>525</v>
      </c>
      <c r="X100" s="23"/>
      <c r="Y100" s="10"/>
      <c r="Z100" s="10"/>
      <c r="AB100" s="62" t="s">
        <v>173</v>
      </c>
    </row>
    <row r="101" spans="1:29" s="25" customFormat="1" x14ac:dyDescent="0.25">
      <c r="A101" s="61" t="s">
        <v>8</v>
      </c>
      <c r="B101" s="10" t="s">
        <v>36</v>
      </c>
      <c r="C101" s="10" t="s">
        <v>142</v>
      </c>
      <c r="D101" s="10">
        <v>200000</v>
      </c>
      <c r="E101" s="10">
        <v>120000</v>
      </c>
      <c r="F101" s="10"/>
      <c r="G101" s="10">
        <v>-130934.38</v>
      </c>
      <c r="H101" s="10">
        <v>-250</v>
      </c>
      <c r="I101" s="10"/>
      <c r="J101" s="10"/>
      <c r="K101" s="10">
        <f t="shared" si="1"/>
        <v>-6000</v>
      </c>
      <c r="L101" s="10">
        <f t="shared" si="2"/>
        <v>62815.619999999995</v>
      </c>
      <c r="M101" s="10"/>
      <c r="N101" s="45"/>
      <c r="O101" s="46">
        <v>1</v>
      </c>
      <c r="P101" s="47"/>
      <c r="Q101" s="48">
        <f t="shared" si="4"/>
        <v>62815.619999999995</v>
      </c>
      <c r="R101" s="23"/>
      <c r="S101" s="23">
        <v>795</v>
      </c>
      <c r="T101" s="25">
        <v>272.27</v>
      </c>
      <c r="U101" s="23">
        <f>S101*8%+170.51</f>
        <v>234.10999999999999</v>
      </c>
      <c r="V101" s="23"/>
      <c r="W101" s="23">
        <f t="shared" si="3"/>
        <v>795</v>
      </c>
      <c r="X101" s="23"/>
      <c r="Y101" s="10"/>
      <c r="Z101" s="10"/>
      <c r="AB101" s="62" t="s">
        <v>173</v>
      </c>
    </row>
    <row r="102" spans="1:29" s="25" customFormat="1" x14ac:dyDescent="0.25">
      <c r="A102" s="61" t="s">
        <v>8</v>
      </c>
      <c r="B102" s="10" t="s">
        <v>37</v>
      </c>
      <c r="C102" s="10" t="s">
        <v>142</v>
      </c>
      <c r="D102" s="10">
        <v>200000</v>
      </c>
      <c r="E102" s="10">
        <v>120000</v>
      </c>
      <c r="F102" s="10"/>
      <c r="G102" s="10">
        <v>-130894.36</v>
      </c>
      <c r="H102" s="10">
        <v>-175</v>
      </c>
      <c r="I102" s="10"/>
      <c r="J102" s="10"/>
      <c r="K102" s="10">
        <f t="shared" si="1"/>
        <v>-6000</v>
      </c>
      <c r="L102" s="10">
        <f t="shared" si="2"/>
        <v>62930.64</v>
      </c>
      <c r="M102" s="10"/>
      <c r="N102" s="45"/>
      <c r="O102" s="46">
        <v>1</v>
      </c>
      <c r="P102" s="47"/>
      <c r="Q102" s="48">
        <f t="shared" si="4"/>
        <v>62930.64</v>
      </c>
      <c r="R102" s="23"/>
      <c r="S102" s="23">
        <v>695</v>
      </c>
      <c r="T102" s="25">
        <v>272.33999999999997</v>
      </c>
      <c r="U102" s="23">
        <f>S102*8%+163.4</f>
        <v>219</v>
      </c>
      <c r="V102" s="23"/>
      <c r="W102" s="23">
        <f t="shared" si="3"/>
        <v>695</v>
      </c>
      <c r="X102" s="23"/>
      <c r="Y102" s="10"/>
      <c r="Z102" s="10"/>
      <c r="AB102" s="62" t="s">
        <v>173</v>
      </c>
    </row>
    <row r="103" spans="1:29" s="25" customFormat="1" x14ac:dyDescent="0.25">
      <c r="A103" s="61" t="s">
        <v>8</v>
      </c>
      <c r="B103" s="10" t="s">
        <v>38</v>
      </c>
      <c r="C103" s="10" t="s">
        <v>142</v>
      </c>
      <c r="D103" s="10">
        <v>135000</v>
      </c>
      <c r="E103" s="10">
        <v>95000</v>
      </c>
      <c r="F103" s="10"/>
      <c r="G103" s="10">
        <v>-100704.62</v>
      </c>
      <c r="H103" s="10">
        <v>-250</v>
      </c>
      <c r="I103" s="10"/>
      <c r="J103" s="10"/>
      <c r="K103" s="10">
        <f t="shared" si="1"/>
        <v>-4050</v>
      </c>
      <c r="L103" s="10">
        <f t="shared" si="2"/>
        <v>29995.380000000005</v>
      </c>
      <c r="M103" s="10"/>
      <c r="N103" s="45"/>
      <c r="O103" s="46">
        <v>1</v>
      </c>
      <c r="P103" s="47"/>
      <c r="Q103" s="48">
        <f t="shared" si="4"/>
        <v>29995.380000000005</v>
      </c>
      <c r="R103" s="23"/>
      <c r="S103" s="23">
        <v>550</v>
      </c>
      <c r="T103" s="25">
        <v>208.77</v>
      </c>
      <c r="U103" s="23">
        <f>S103*8%+17.72</f>
        <v>61.72</v>
      </c>
      <c r="V103" s="23"/>
      <c r="W103" s="23">
        <f t="shared" si="3"/>
        <v>550</v>
      </c>
      <c r="X103" s="23"/>
      <c r="Y103" s="10"/>
      <c r="Z103" s="10"/>
      <c r="AB103" s="62" t="s">
        <v>173</v>
      </c>
    </row>
    <row r="104" spans="1:29" x14ac:dyDescent="0.25">
      <c r="A104" s="1" t="s">
        <v>8</v>
      </c>
      <c r="B104" s="2" t="s">
        <v>39</v>
      </c>
      <c r="C104" s="2" t="s">
        <v>142</v>
      </c>
      <c r="D104" s="2">
        <v>250000</v>
      </c>
      <c r="E104" s="2">
        <v>135000</v>
      </c>
      <c r="F104" s="2"/>
      <c r="G104" s="2">
        <v>-153249.57</v>
      </c>
      <c r="H104" s="2">
        <v>-175</v>
      </c>
      <c r="I104" s="2"/>
      <c r="J104" s="2"/>
      <c r="K104" s="2">
        <f t="shared" si="1"/>
        <v>-7500</v>
      </c>
      <c r="L104" s="2">
        <f t="shared" si="2"/>
        <v>89075.43</v>
      </c>
      <c r="M104" s="2"/>
      <c r="N104" s="18"/>
      <c r="O104" s="15">
        <v>1</v>
      </c>
      <c r="P104" s="4"/>
      <c r="Q104" s="5">
        <f t="shared" si="4"/>
        <v>89075.43</v>
      </c>
      <c r="R104" s="23"/>
      <c r="S104" s="21">
        <v>825</v>
      </c>
      <c r="T104">
        <v>318.92</v>
      </c>
      <c r="U104" s="21">
        <f>S104*8%+198.92</f>
        <v>264.91999999999996</v>
      </c>
      <c r="V104" s="21"/>
      <c r="W104" s="21">
        <f t="shared" si="3"/>
        <v>825</v>
      </c>
      <c r="X104" s="21"/>
      <c r="Y104" s="2"/>
      <c r="Z104" s="2"/>
      <c r="AB104" s="31" t="s">
        <v>159</v>
      </c>
    </row>
    <row r="105" spans="1:29" x14ac:dyDescent="0.25">
      <c r="A105" s="1" t="s">
        <v>8</v>
      </c>
      <c r="B105" s="2" t="s">
        <v>40</v>
      </c>
      <c r="C105" s="2" t="s">
        <v>142</v>
      </c>
      <c r="D105" s="2">
        <v>160000</v>
      </c>
      <c r="E105" s="2">
        <v>109950</v>
      </c>
      <c r="F105" s="2"/>
      <c r="G105" s="2">
        <v>-94712.75</v>
      </c>
      <c r="H105" s="2"/>
      <c r="I105" s="2"/>
      <c r="J105" s="2">
        <v>-20000</v>
      </c>
      <c r="K105" s="2">
        <f t="shared" si="1"/>
        <v>-4800</v>
      </c>
      <c r="L105" s="2">
        <f t="shared" si="2"/>
        <v>40487.25</v>
      </c>
      <c r="M105" s="2"/>
      <c r="N105" s="18"/>
      <c r="O105" s="15">
        <v>1</v>
      </c>
      <c r="P105" s="4"/>
      <c r="Q105" s="5">
        <f t="shared" si="4"/>
        <v>40487.25</v>
      </c>
      <c r="R105" s="23"/>
      <c r="S105" s="21">
        <v>1516.66</v>
      </c>
      <c r="U105" s="21">
        <f>S105*8%+163.4+511.28</f>
        <v>796.01279999999997</v>
      </c>
      <c r="V105" s="21"/>
      <c r="W105" s="21">
        <f t="shared" si="3"/>
        <v>1516.66</v>
      </c>
      <c r="X105" s="21"/>
      <c r="Y105" s="2"/>
      <c r="Z105" s="2"/>
      <c r="AB105" s="31" t="s">
        <v>160</v>
      </c>
      <c r="AC105" t="s">
        <v>149</v>
      </c>
    </row>
    <row r="106" spans="1:29" x14ac:dyDescent="0.25">
      <c r="A106" s="1" t="s">
        <v>8</v>
      </c>
      <c r="B106" s="2" t="s">
        <v>41</v>
      </c>
      <c r="C106" s="2" t="s">
        <v>142</v>
      </c>
      <c r="D106" s="2">
        <v>80000</v>
      </c>
      <c r="E106" s="2">
        <v>44010</v>
      </c>
      <c r="F106" s="2"/>
      <c r="G106" s="2">
        <v>-49172.81</v>
      </c>
      <c r="H106" s="2"/>
      <c r="I106" s="2"/>
      <c r="J106" s="2"/>
      <c r="K106" s="2">
        <f t="shared" ref="K106:K138" si="5">D106*-3%</f>
        <v>-2400</v>
      </c>
      <c r="L106" s="2">
        <f t="shared" si="2"/>
        <v>28427.190000000002</v>
      </c>
      <c r="M106" s="2"/>
      <c r="N106" s="18"/>
      <c r="O106" s="15">
        <v>1</v>
      </c>
      <c r="P106" s="4"/>
      <c r="Q106" s="5">
        <f t="shared" si="4"/>
        <v>28427.190000000002</v>
      </c>
      <c r="R106" s="23"/>
      <c r="S106" s="21">
        <v>89.96</v>
      </c>
      <c r="T106">
        <v>110.4</v>
      </c>
      <c r="U106" s="23">
        <f>S106*8%+19.13</f>
        <v>26.326799999999999</v>
      </c>
      <c r="V106" s="21"/>
      <c r="W106" s="21">
        <f t="shared" ref="W106:W137" si="6">SUM(S106)</f>
        <v>89.96</v>
      </c>
      <c r="X106" s="21"/>
      <c r="Y106" s="2"/>
      <c r="Z106" s="2"/>
      <c r="AB106" s="31" t="s">
        <v>160</v>
      </c>
    </row>
    <row r="107" spans="1:29" s="25" customFormat="1" x14ac:dyDescent="0.25">
      <c r="A107" s="61" t="s">
        <v>8</v>
      </c>
      <c r="B107" s="10" t="s">
        <v>42</v>
      </c>
      <c r="C107" s="10" t="s">
        <v>142</v>
      </c>
      <c r="D107" s="10">
        <v>240000</v>
      </c>
      <c r="E107" s="10">
        <v>143078</v>
      </c>
      <c r="F107" s="10"/>
      <c r="G107" s="10">
        <v>-159695.72</v>
      </c>
      <c r="H107" s="10">
        <v>-175</v>
      </c>
      <c r="I107" s="10"/>
      <c r="J107" s="10"/>
      <c r="K107" s="10">
        <f t="shared" si="5"/>
        <v>-7200</v>
      </c>
      <c r="L107" s="10">
        <f t="shared" si="2"/>
        <v>72929.279999999999</v>
      </c>
      <c r="M107" s="10"/>
      <c r="N107" s="45"/>
      <c r="O107" s="46">
        <v>1</v>
      </c>
      <c r="P107" s="47"/>
      <c r="Q107" s="48">
        <f t="shared" si="4"/>
        <v>72929.279999999999</v>
      </c>
      <c r="R107" s="23"/>
      <c r="S107" s="23">
        <v>795</v>
      </c>
      <c r="T107" s="25">
        <v>317.77</v>
      </c>
      <c r="U107" s="23">
        <f>S107*8%+170.51</f>
        <v>234.10999999999999</v>
      </c>
      <c r="V107" s="23"/>
      <c r="W107" s="23">
        <f t="shared" si="6"/>
        <v>795</v>
      </c>
      <c r="X107" s="23"/>
      <c r="Y107" s="10"/>
      <c r="Z107" s="10"/>
      <c r="AB107" s="62" t="s">
        <v>173</v>
      </c>
    </row>
    <row r="108" spans="1:29" s="25" customFormat="1" x14ac:dyDescent="0.25">
      <c r="A108" s="61" t="s">
        <v>8</v>
      </c>
      <c r="B108" s="10" t="s">
        <v>43</v>
      </c>
      <c r="C108" s="10" t="s">
        <v>142</v>
      </c>
      <c r="D108" s="10">
        <v>225000</v>
      </c>
      <c r="E108" s="10">
        <v>110000</v>
      </c>
      <c r="F108" s="10"/>
      <c r="G108" s="10">
        <v>-128245.41</v>
      </c>
      <c r="H108" s="10">
        <v>-175</v>
      </c>
      <c r="I108" s="10"/>
      <c r="J108" s="10"/>
      <c r="K108" s="10">
        <f t="shared" si="5"/>
        <v>-6750</v>
      </c>
      <c r="L108" s="10">
        <f t="shared" si="2"/>
        <v>89829.59</v>
      </c>
      <c r="M108" s="10"/>
      <c r="N108" s="45"/>
      <c r="O108" s="46">
        <v>1</v>
      </c>
      <c r="P108" s="47"/>
      <c r="Q108" s="48">
        <f t="shared" si="4"/>
        <v>89829.59</v>
      </c>
      <c r="R108" s="23"/>
      <c r="S108" s="23">
        <v>620</v>
      </c>
      <c r="T108" s="25">
        <v>266.83</v>
      </c>
      <c r="U108" s="23">
        <f>S108*8%+177.61</f>
        <v>227.21</v>
      </c>
      <c r="V108" s="23"/>
      <c r="W108" s="23">
        <f t="shared" si="6"/>
        <v>620</v>
      </c>
      <c r="X108" s="23"/>
      <c r="Y108" s="10"/>
      <c r="Z108" s="10"/>
      <c r="AB108" s="62" t="s">
        <v>173</v>
      </c>
    </row>
    <row r="109" spans="1:29" s="25" customFormat="1" x14ac:dyDescent="0.25">
      <c r="A109" s="61" t="s">
        <v>8</v>
      </c>
      <c r="B109" s="10" t="s">
        <v>44</v>
      </c>
      <c r="C109" s="10" t="s">
        <v>142</v>
      </c>
      <c r="D109" s="10">
        <v>115000</v>
      </c>
      <c r="E109" s="10">
        <v>95000</v>
      </c>
      <c r="F109" s="10"/>
      <c r="G109" s="10">
        <v>-109120.07</v>
      </c>
      <c r="H109" s="10">
        <v>-175</v>
      </c>
      <c r="I109" s="10"/>
      <c r="J109" s="10"/>
      <c r="K109" s="10">
        <f t="shared" si="5"/>
        <v>-3450</v>
      </c>
      <c r="L109" s="10">
        <f t="shared" si="2"/>
        <v>2254.929999999993</v>
      </c>
      <c r="M109" s="10"/>
      <c r="N109" s="45"/>
      <c r="O109" s="46">
        <v>1</v>
      </c>
      <c r="P109" s="47"/>
      <c r="Q109" s="48">
        <f t="shared" si="4"/>
        <v>2254.929999999993</v>
      </c>
      <c r="R109" s="23"/>
      <c r="S109" s="23">
        <v>695</v>
      </c>
      <c r="T109" s="25">
        <v>226.98</v>
      </c>
      <c r="U109" s="23">
        <f>S109*8%+29.01</f>
        <v>84.61</v>
      </c>
      <c r="V109" s="23"/>
      <c r="W109" s="23">
        <f t="shared" si="6"/>
        <v>695</v>
      </c>
      <c r="X109" s="23"/>
      <c r="Y109" s="10"/>
      <c r="Z109" s="10"/>
      <c r="AB109" s="62" t="s">
        <v>173</v>
      </c>
    </row>
    <row r="110" spans="1:29" s="25" customFormat="1" x14ac:dyDescent="0.25">
      <c r="A110" s="61" t="s">
        <v>8</v>
      </c>
      <c r="B110" s="10" t="s">
        <v>45</v>
      </c>
      <c r="C110" s="10" t="s">
        <v>142</v>
      </c>
      <c r="D110" s="10">
        <v>160000</v>
      </c>
      <c r="E110" s="10">
        <v>95000</v>
      </c>
      <c r="F110" s="10"/>
      <c r="G110" s="10">
        <v>-104255.89</v>
      </c>
      <c r="H110" s="10">
        <v>-175</v>
      </c>
      <c r="I110" s="10"/>
      <c r="J110" s="10"/>
      <c r="K110" s="10">
        <f t="shared" si="5"/>
        <v>-4800</v>
      </c>
      <c r="L110" s="10">
        <f t="shared" si="2"/>
        <v>50769.11</v>
      </c>
      <c r="M110" s="10"/>
      <c r="N110" s="45"/>
      <c r="O110" s="46">
        <v>1</v>
      </c>
      <c r="P110" s="47"/>
      <c r="Q110" s="48">
        <f t="shared" si="4"/>
        <v>50769.11</v>
      </c>
      <c r="R110" s="23"/>
      <c r="S110" s="23">
        <v>1000</v>
      </c>
      <c r="T110" s="25">
        <v>216.85</v>
      </c>
      <c r="U110" s="23">
        <f>S110*8%+167.67</f>
        <v>247.67</v>
      </c>
      <c r="V110" s="23"/>
      <c r="W110" s="23">
        <f t="shared" si="6"/>
        <v>1000</v>
      </c>
      <c r="X110" s="23"/>
      <c r="Y110" s="10"/>
      <c r="Z110" s="10"/>
      <c r="AB110" s="62" t="s">
        <v>173</v>
      </c>
    </row>
    <row r="111" spans="1:29" s="83" customFormat="1" x14ac:dyDescent="0.25">
      <c r="A111" s="76" t="s">
        <v>8</v>
      </c>
      <c r="B111" s="77" t="s">
        <v>46</v>
      </c>
      <c r="C111" s="77" t="s">
        <v>142</v>
      </c>
      <c r="D111" s="77">
        <v>240000</v>
      </c>
      <c r="E111" s="77">
        <v>80000</v>
      </c>
      <c r="F111" s="77"/>
      <c r="G111" s="77">
        <v>-120185.25</v>
      </c>
      <c r="H111" s="77"/>
      <c r="I111" s="77"/>
      <c r="J111" s="77"/>
      <c r="K111" s="77">
        <f t="shared" si="5"/>
        <v>-7200</v>
      </c>
      <c r="L111" s="77">
        <f t="shared" si="2"/>
        <v>112614.75</v>
      </c>
      <c r="M111" s="77"/>
      <c r="N111" s="78"/>
      <c r="O111" s="79">
        <v>1</v>
      </c>
      <c r="P111" s="80"/>
      <c r="Q111" s="81">
        <f t="shared" si="4"/>
        <v>112614.75</v>
      </c>
      <c r="R111" s="82"/>
      <c r="S111" s="82">
        <v>825</v>
      </c>
      <c r="T111" s="83">
        <v>362.48</v>
      </c>
      <c r="U111" s="82">
        <f>S111*8%+163.4</f>
        <v>229.4</v>
      </c>
      <c r="V111" s="82"/>
      <c r="W111" s="82">
        <f t="shared" si="6"/>
        <v>825</v>
      </c>
      <c r="X111" s="82"/>
      <c r="Y111" s="77"/>
      <c r="Z111" s="77"/>
      <c r="AB111" s="84" t="s">
        <v>205</v>
      </c>
    </row>
    <row r="112" spans="1:29" s="25" customFormat="1" x14ac:dyDescent="0.25">
      <c r="A112" s="61" t="s">
        <v>8</v>
      </c>
      <c r="B112" s="10" t="s">
        <v>47</v>
      </c>
      <c r="C112" s="10" t="s">
        <v>142</v>
      </c>
      <c r="D112" s="10">
        <v>195000</v>
      </c>
      <c r="E112" s="10">
        <v>125000</v>
      </c>
      <c r="F112" s="10"/>
      <c r="G112" s="10">
        <v>-131312.54999999999</v>
      </c>
      <c r="H112" s="10">
        <v>-175</v>
      </c>
      <c r="I112" s="10"/>
      <c r="J112" s="10"/>
      <c r="K112" s="10">
        <f t="shared" si="5"/>
        <v>-5850</v>
      </c>
      <c r="L112" s="10">
        <f t="shared" si="2"/>
        <v>57662.450000000012</v>
      </c>
      <c r="M112" s="10"/>
      <c r="N112" s="45"/>
      <c r="O112" s="46">
        <v>1</v>
      </c>
      <c r="P112" s="47"/>
      <c r="Q112" s="48">
        <f t="shared" si="4"/>
        <v>57662.450000000012</v>
      </c>
      <c r="R112" s="23"/>
      <c r="S112" s="23">
        <v>800</v>
      </c>
      <c r="T112" s="25">
        <v>217.48</v>
      </c>
      <c r="U112" s="23">
        <f>S112*8%+169.09</f>
        <v>233.09</v>
      </c>
      <c r="V112" s="23"/>
      <c r="W112" s="23">
        <f t="shared" si="6"/>
        <v>800</v>
      </c>
      <c r="X112" s="23"/>
      <c r="Y112" s="10"/>
      <c r="Z112" s="10"/>
      <c r="AB112" s="62" t="s">
        <v>173</v>
      </c>
    </row>
    <row r="113" spans="1:29" x14ac:dyDescent="0.25">
      <c r="A113" s="1" t="s">
        <v>8</v>
      </c>
      <c r="B113" s="2" t="s">
        <v>48</v>
      </c>
      <c r="C113" s="2" t="s">
        <v>142</v>
      </c>
      <c r="D113" s="2">
        <v>95000</v>
      </c>
      <c r="E113" s="2">
        <v>68500</v>
      </c>
      <c r="F113" s="2"/>
      <c r="G113" s="2">
        <v>-72581.36</v>
      </c>
      <c r="H113" s="2">
        <v>-175</v>
      </c>
      <c r="I113" s="2"/>
      <c r="J113" s="2"/>
      <c r="K113" s="2">
        <f t="shared" si="5"/>
        <v>-2850</v>
      </c>
      <c r="L113" s="2">
        <f t="shared" si="2"/>
        <v>19393.64</v>
      </c>
      <c r="M113" s="2"/>
      <c r="N113" s="18"/>
      <c r="O113" s="15">
        <v>1</v>
      </c>
      <c r="P113" s="4"/>
      <c r="Q113" s="5">
        <f t="shared" si="4"/>
        <v>19393.64</v>
      </c>
      <c r="R113" s="23"/>
      <c r="S113" s="21">
        <v>525</v>
      </c>
      <c r="T113">
        <v>150.57</v>
      </c>
      <c r="U113" s="23">
        <f>S113*8%+40.03+28.63</f>
        <v>110.66</v>
      </c>
      <c r="V113" s="21"/>
      <c r="W113" s="21">
        <f t="shared" si="6"/>
        <v>525</v>
      </c>
      <c r="X113" s="21"/>
      <c r="Y113" s="2"/>
      <c r="Z113" s="2"/>
      <c r="AB113" s="31" t="s">
        <v>173</v>
      </c>
    </row>
    <row r="114" spans="1:29" x14ac:dyDescent="0.25">
      <c r="A114" s="1" t="s">
        <v>8</v>
      </c>
      <c r="B114" s="2" t="s">
        <v>49</v>
      </c>
      <c r="C114" s="2" t="s">
        <v>142</v>
      </c>
      <c r="D114" s="2">
        <v>85000</v>
      </c>
      <c r="E114" s="2">
        <v>35995</v>
      </c>
      <c r="F114" s="2"/>
      <c r="G114" s="2">
        <v>-51851.96</v>
      </c>
      <c r="H114" s="2"/>
      <c r="I114" s="2"/>
      <c r="J114" s="2"/>
      <c r="K114" s="2">
        <f t="shared" si="5"/>
        <v>-2550</v>
      </c>
      <c r="L114" s="2">
        <f t="shared" si="2"/>
        <v>30598.04</v>
      </c>
      <c r="M114" s="2"/>
      <c r="N114" s="18"/>
      <c r="O114" s="15">
        <v>1</v>
      </c>
      <c r="P114" s="4"/>
      <c r="Q114" s="5">
        <f t="shared" si="4"/>
        <v>30598.04</v>
      </c>
      <c r="R114" s="23"/>
      <c r="S114" s="21">
        <v>94.64</v>
      </c>
      <c r="U114" s="23">
        <f>S114*8%+28.63</f>
        <v>36.2012</v>
      </c>
      <c r="V114" s="21"/>
      <c r="W114" s="21">
        <f t="shared" si="6"/>
        <v>94.64</v>
      </c>
      <c r="X114" s="21"/>
      <c r="Y114" s="2"/>
      <c r="Z114" s="2"/>
      <c r="AB114" s="31" t="s">
        <v>165</v>
      </c>
    </row>
    <row r="115" spans="1:29" s="25" customFormat="1" x14ac:dyDescent="0.25">
      <c r="A115" s="61" t="s">
        <v>8</v>
      </c>
      <c r="B115" s="10" t="s">
        <v>50</v>
      </c>
      <c r="C115" s="10" t="s">
        <v>142</v>
      </c>
      <c r="D115" s="10">
        <v>225000</v>
      </c>
      <c r="E115" s="10">
        <v>114000</v>
      </c>
      <c r="F115" s="10"/>
      <c r="G115" s="10">
        <v>-123198.41</v>
      </c>
      <c r="H115" s="10">
        <v>-175</v>
      </c>
      <c r="I115" s="10"/>
      <c r="J115" s="10"/>
      <c r="K115" s="10">
        <f t="shared" si="5"/>
        <v>-6750</v>
      </c>
      <c r="L115" s="10">
        <f t="shared" si="2"/>
        <v>94876.59</v>
      </c>
      <c r="M115" s="10"/>
      <c r="N115" s="45"/>
      <c r="O115" s="46">
        <v>1</v>
      </c>
      <c r="P115" s="47"/>
      <c r="Q115" s="48">
        <f t="shared" si="4"/>
        <v>94876.59</v>
      </c>
      <c r="R115" s="23"/>
      <c r="S115" s="23">
        <v>675</v>
      </c>
      <c r="T115" s="25">
        <v>256.31</v>
      </c>
      <c r="U115" s="23">
        <f>S115*8%+177.61</f>
        <v>231.61</v>
      </c>
      <c r="V115" s="23"/>
      <c r="W115" s="23">
        <f t="shared" si="6"/>
        <v>675</v>
      </c>
      <c r="X115" s="23"/>
      <c r="Y115" s="10"/>
      <c r="Z115" s="10"/>
      <c r="AB115" s="62" t="s">
        <v>173</v>
      </c>
    </row>
    <row r="116" spans="1:29" s="25" customFormat="1" x14ac:dyDescent="0.25">
      <c r="A116" s="61" t="s">
        <v>8</v>
      </c>
      <c r="B116" s="10" t="s">
        <v>51</v>
      </c>
      <c r="C116" s="10" t="s">
        <v>142</v>
      </c>
      <c r="D116" s="10">
        <v>240000</v>
      </c>
      <c r="E116" s="10">
        <v>249995</v>
      </c>
      <c r="F116" s="10"/>
      <c r="G116" s="10">
        <v>-206282.68</v>
      </c>
      <c r="H116" s="10">
        <v>-175</v>
      </c>
      <c r="I116" s="10"/>
      <c r="J116" s="10"/>
      <c r="K116" s="10">
        <f t="shared" si="5"/>
        <v>-7200</v>
      </c>
      <c r="L116" s="10">
        <f t="shared" si="2"/>
        <v>26342.320000000007</v>
      </c>
      <c r="M116" s="10"/>
      <c r="N116" s="45"/>
      <c r="O116" s="46">
        <v>1</v>
      </c>
      <c r="P116" s="47"/>
      <c r="Q116" s="48">
        <f t="shared" si="4"/>
        <v>26342.320000000007</v>
      </c>
      <c r="R116" s="23"/>
      <c r="S116" s="23">
        <v>795</v>
      </c>
      <c r="T116" s="25">
        <v>332.75</v>
      </c>
      <c r="U116" s="23">
        <f>S116*8%+139.95+27.97</f>
        <v>231.51999999999998</v>
      </c>
      <c r="V116" s="23"/>
      <c r="W116" s="23">
        <f t="shared" si="6"/>
        <v>795</v>
      </c>
      <c r="X116" s="23"/>
      <c r="Y116" s="10"/>
      <c r="Z116" s="10">
        <v>5574.04</v>
      </c>
      <c r="AB116" s="62" t="s">
        <v>173</v>
      </c>
    </row>
    <row r="117" spans="1:29" s="25" customFormat="1" x14ac:dyDescent="0.25">
      <c r="A117" s="61" t="s">
        <v>8</v>
      </c>
      <c r="B117" s="10" t="s">
        <v>52</v>
      </c>
      <c r="C117" s="10" t="s">
        <v>142</v>
      </c>
      <c r="D117" s="10">
        <v>200000</v>
      </c>
      <c r="E117" s="10" t="s">
        <v>143</v>
      </c>
      <c r="F117" s="10"/>
      <c r="G117" s="10"/>
      <c r="H117" s="10"/>
      <c r="I117" s="10"/>
      <c r="J117" s="10"/>
      <c r="K117" s="10">
        <f t="shared" si="5"/>
        <v>-6000</v>
      </c>
      <c r="L117" s="10">
        <f t="shared" si="2"/>
        <v>194000</v>
      </c>
      <c r="M117" s="10"/>
      <c r="N117" s="45"/>
      <c r="O117" s="46">
        <v>1</v>
      </c>
      <c r="P117" s="47"/>
      <c r="Q117" s="48">
        <f t="shared" si="4"/>
        <v>194000</v>
      </c>
      <c r="R117" s="23"/>
      <c r="S117" s="23">
        <v>800</v>
      </c>
      <c r="U117" s="23">
        <f>S117*8%+139.95+27.97</f>
        <v>231.92</v>
      </c>
      <c r="V117" s="23"/>
      <c r="W117" s="23">
        <f t="shared" si="6"/>
        <v>800</v>
      </c>
      <c r="X117" s="23"/>
      <c r="Y117" s="10"/>
      <c r="Z117" s="10"/>
      <c r="AB117" s="62" t="s">
        <v>173</v>
      </c>
    </row>
    <row r="118" spans="1:29" s="25" customFormat="1" x14ac:dyDescent="0.25">
      <c r="A118" s="61" t="s">
        <v>8</v>
      </c>
      <c r="B118" s="10" t="s">
        <v>146</v>
      </c>
      <c r="C118" s="10" t="s">
        <v>142</v>
      </c>
      <c r="D118" s="10">
        <v>125000</v>
      </c>
      <c r="E118" s="10">
        <v>80000</v>
      </c>
      <c r="F118" s="10"/>
      <c r="G118" s="10">
        <v>-78002.64</v>
      </c>
      <c r="H118" s="10">
        <v>-175</v>
      </c>
      <c r="I118" s="10"/>
      <c r="J118" s="10"/>
      <c r="K118" s="10">
        <f t="shared" si="5"/>
        <v>-3750</v>
      </c>
      <c r="L118" s="10">
        <f t="shared" si="2"/>
        <v>43072.36</v>
      </c>
      <c r="M118" s="10"/>
      <c r="N118" s="45"/>
      <c r="O118" s="46">
        <v>1</v>
      </c>
      <c r="P118" s="47"/>
      <c r="Q118" s="48">
        <f t="shared" si="4"/>
        <v>43072.36</v>
      </c>
      <c r="R118" s="23"/>
      <c r="S118" s="23">
        <v>525</v>
      </c>
      <c r="T118" s="25">
        <v>162.15</v>
      </c>
      <c r="U118" s="23">
        <f>S118*8%+22.47</f>
        <v>64.47</v>
      </c>
      <c r="V118" s="23"/>
      <c r="W118" s="23">
        <f t="shared" si="6"/>
        <v>525</v>
      </c>
      <c r="X118" s="23"/>
      <c r="Y118" s="10"/>
      <c r="Z118" s="10"/>
      <c r="AB118" s="62" t="s">
        <v>173</v>
      </c>
    </row>
    <row r="119" spans="1:29" x14ac:dyDescent="0.25">
      <c r="A119" s="1" t="s">
        <v>8</v>
      </c>
      <c r="B119" s="49" t="s">
        <v>53</v>
      </c>
      <c r="C119" s="2" t="s">
        <v>142</v>
      </c>
      <c r="D119" s="2">
        <v>100000</v>
      </c>
      <c r="E119" s="2">
        <v>62500</v>
      </c>
      <c r="F119" s="2"/>
      <c r="G119" s="2"/>
      <c r="H119" s="2"/>
      <c r="I119" s="2">
        <v>-40000</v>
      </c>
      <c r="J119" s="2"/>
      <c r="K119" s="2">
        <f t="shared" si="5"/>
        <v>-3000</v>
      </c>
      <c r="L119" s="2">
        <v>45000</v>
      </c>
      <c r="M119" s="2"/>
      <c r="N119" s="18"/>
      <c r="O119" s="15">
        <v>1</v>
      </c>
      <c r="P119" s="4"/>
      <c r="Q119" s="5">
        <f t="shared" si="4"/>
        <v>45000</v>
      </c>
      <c r="R119" s="23"/>
      <c r="S119" s="21">
        <v>550</v>
      </c>
      <c r="U119" s="23">
        <f>S119*8%+171+92.63</f>
        <v>307.63</v>
      </c>
      <c r="V119" s="21"/>
      <c r="W119" s="21">
        <f t="shared" si="6"/>
        <v>550</v>
      </c>
      <c r="X119" s="21"/>
      <c r="Y119" s="2"/>
      <c r="Z119" s="2"/>
      <c r="AB119" s="31" t="s">
        <v>166</v>
      </c>
      <c r="AC119" t="s">
        <v>177</v>
      </c>
    </row>
    <row r="120" spans="1:29" s="25" customFormat="1" x14ac:dyDescent="0.25">
      <c r="A120" s="61" t="s">
        <v>8</v>
      </c>
      <c r="B120" s="10" t="s">
        <v>54</v>
      </c>
      <c r="C120" s="10" t="s">
        <v>142</v>
      </c>
      <c r="D120" s="10">
        <v>160000</v>
      </c>
      <c r="E120" s="10">
        <v>100821</v>
      </c>
      <c r="F120" s="10"/>
      <c r="G120" s="10">
        <v>-104428.43</v>
      </c>
      <c r="H120" s="10">
        <v>-175</v>
      </c>
      <c r="I120" s="10"/>
      <c r="J120" s="10"/>
      <c r="K120" s="10">
        <f t="shared" si="5"/>
        <v>-4800</v>
      </c>
      <c r="L120" s="10">
        <f t="shared" si="2"/>
        <v>50596.570000000007</v>
      </c>
      <c r="M120" s="10"/>
      <c r="N120" s="45"/>
      <c r="O120" s="46">
        <v>1</v>
      </c>
      <c r="P120" s="47"/>
      <c r="Q120" s="48">
        <f t="shared" si="4"/>
        <v>50596.570000000007</v>
      </c>
      <c r="R120" s="23"/>
      <c r="S120" s="23">
        <v>850</v>
      </c>
      <c r="T120" s="25">
        <v>216.8</v>
      </c>
      <c r="U120" s="23">
        <f>S120*8%+177.61</f>
        <v>245.61</v>
      </c>
      <c r="V120" s="23"/>
      <c r="W120" s="23">
        <f t="shared" si="6"/>
        <v>850</v>
      </c>
      <c r="X120" s="23"/>
      <c r="Y120" s="10"/>
      <c r="Z120" s="10"/>
      <c r="AB120" s="62" t="s">
        <v>173</v>
      </c>
    </row>
    <row r="121" spans="1:29" x14ac:dyDescent="0.25">
      <c r="A121" s="1" t="s">
        <v>8</v>
      </c>
      <c r="B121" s="2" t="s">
        <v>55</v>
      </c>
      <c r="C121" s="2" t="s">
        <v>142</v>
      </c>
      <c r="D121" s="2">
        <v>210000</v>
      </c>
      <c r="E121" s="2">
        <v>105000</v>
      </c>
      <c r="F121" s="2"/>
      <c r="G121" s="2">
        <v>-114157.21</v>
      </c>
      <c r="H121" s="2">
        <v>-74</v>
      </c>
      <c r="I121" s="2"/>
      <c r="J121" s="2"/>
      <c r="K121" s="2">
        <f t="shared" si="5"/>
        <v>-6300</v>
      </c>
      <c r="L121" s="2">
        <f t="shared" si="2"/>
        <v>89468.79</v>
      </c>
      <c r="M121" s="2"/>
      <c r="N121" s="18"/>
      <c r="O121" s="15">
        <v>1</v>
      </c>
      <c r="P121" s="4"/>
      <c r="Q121" s="5">
        <f t="shared" si="4"/>
        <v>89468.79</v>
      </c>
      <c r="R121" s="23"/>
      <c r="S121" s="21">
        <v>695</v>
      </c>
      <c r="T121">
        <v>263.18</v>
      </c>
      <c r="U121" s="21">
        <f>S121*8%+149.2</f>
        <v>204.79999999999998</v>
      </c>
      <c r="V121" s="21"/>
      <c r="W121" s="21">
        <f t="shared" si="6"/>
        <v>695</v>
      </c>
      <c r="X121" s="21"/>
      <c r="Y121" s="2"/>
      <c r="Z121" s="2"/>
      <c r="AB121" s="31" t="s">
        <v>161</v>
      </c>
    </row>
    <row r="122" spans="1:29" s="83" customFormat="1" x14ac:dyDescent="0.25">
      <c r="A122" s="76" t="s">
        <v>8</v>
      </c>
      <c r="B122" s="77" t="s">
        <v>56</v>
      </c>
      <c r="C122" s="77" t="s">
        <v>142</v>
      </c>
      <c r="D122" s="77">
        <v>190000</v>
      </c>
      <c r="E122" s="77">
        <v>110000</v>
      </c>
      <c r="F122" s="77"/>
      <c r="G122" s="77">
        <v>-115399.61</v>
      </c>
      <c r="H122" s="77"/>
      <c r="I122" s="77"/>
      <c r="J122" s="77"/>
      <c r="K122" s="77">
        <f t="shared" si="5"/>
        <v>-5700</v>
      </c>
      <c r="L122" s="77">
        <f t="shared" si="2"/>
        <v>68900.39</v>
      </c>
      <c r="M122" s="77"/>
      <c r="N122" s="78"/>
      <c r="O122" s="79">
        <v>1</v>
      </c>
      <c r="P122" s="80"/>
      <c r="Q122" s="81">
        <f t="shared" si="4"/>
        <v>68900.39</v>
      </c>
      <c r="R122" s="82"/>
      <c r="S122" s="82">
        <v>725</v>
      </c>
      <c r="T122" s="83">
        <v>362.11</v>
      </c>
      <c r="U122" s="82">
        <f>S122*8%+152.04</f>
        <v>210.04</v>
      </c>
      <c r="V122" s="82"/>
      <c r="W122" s="82">
        <f t="shared" si="6"/>
        <v>725</v>
      </c>
      <c r="X122" s="82"/>
      <c r="Y122" s="77"/>
      <c r="Z122" s="77"/>
      <c r="AB122" s="84" t="s">
        <v>205</v>
      </c>
    </row>
    <row r="123" spans="1:29" s="43" customFormat="1" x14ac:dyDescent="0.25">
      <c r="A123" s="37" t="s">
        <v>8</v>
      </c>
      <c r="B123" s="33" t="s">
        <v>57</v>
      </c>
      <c r="C123" s="33" t="s">
        <v>142</v>
      </c>
      <c r="D123" s="33">
        <v>155000</v>
      </c>
      <c r="E123" s="33">
        <v>100000</v>
      </c>
      <c r="F123" s="33"/>
      <c r="G123" s="33">
        <v>-107703.12</v>
      </c>
      <c r="H123" s="33">
        <v>-195</v>
      </c>
      <c r="I123" s="33">
        <v>-20000</v>
      </c>
      <c r="J123" s="33"/>
      <c r="K123" s="33">
        <f t="shared" si="5"/>
        <v>-4650</v>
      </c>
      <c r="L123" s="33">
        <f t="shared" si="2"/>
        <v>22451.880000000005</v>
      </c>
      <c r="M123" s="33"/>
      <c r="N123" s="38"/>
      <c r="O123" s="39">
        <v>1</v>
      </c>
      <c r="P123" s="40"/>
      <c r="Q123" s="41">
        <f t="shared" si="4"/>
        <v>22451.880000000005</v>
      </c>
      <c r="R123" s="42"/>
      <c r="S123" s="42">
        <v>795</v>
      </c>
      <c r="T123" s="43">
        <v>447.08</v>
      </c>
      <c r="U123" s="42">
        <f>S123*8%+170.51</f>
        <v>234.10999999999999</v>
      </c>
      <c r="V123" s="42"/>
      <c r="W123" s="42">
        <f t="shared" si="6"/>
        <v>795</v>
      </c>
      <c r="X123" s="42"/>
      <c r="Y123" s="33"/>
      <c r="Z123" s="33"/>
      <c r="AB123" s="44" t="s">
        <v>162</v>
      </c>
      <c r="AC123" s="43" t="s">
        <v>156</v>
      </c>
    </row>
    <row r="124" spans="1:29" s="25" customFormat="1" x14ac:dyDescent="0.25">
      <c r="A124" s="61" t="s">
        <v>8</v>
      </c>
      <c r="B124" s="10" t="s">
        <v>58</v>
      </c>
      <c r="C124" s="10" t="s">
        <v>142</v>
      </c>
      <c r="D124" s="10">
        <v>279995</v>
      </c>
      <c r="E124" s="10">
        <v>185802</v>
      </c>
      <c r="F124" s="10"/>
      <c r="G124" s="10">
        <v>-177941.24</v>
      </c>
      <c r="H124" s="10">
        <v>-175</v>
      </c>
      <c r="I124" s="10"/>
      <c r="J124" s="10"/>
      <c r="K124" s="10">
        <f t="shared" si="5"/>
        <v>-8399.85</v>
      </c>
      <c r="L124" s="10">
        <f t="shared" ref="L124:L188" si="7">D124+F124+G124+H124+I124+J124+K124</f>
        <v>93478.91</v>
      </c>
      <c r="M124" s="10"/>
      <c r="N124" s="45"/>
      <c r="O124" s="46">
        <v>1</v>
      </c>
      <c r="P124" s="47"/>
      <c r="Q124" s="48">
        <f t="shared" si="4"/>
        <v>93478.91</v>
      </c>
      <c r="R124" s="23"/>
      <c r="S124" s="23">
        <v>850</v>
      </c>
      <c r="T124" s="25">
        <v>370.36</v>
      </c>
      <c r="U124" s="23">
        <f>S124*8%+166.25</f>
        <v>234.25</v>
      </c>
      <c r="V124" s="23"/>
      <c r="W124" s="23">
        <f t="shared" si="6"/>
        <v>850</v>
      </c>
      <c r="X124" s="23"/>
      <c r="Y124" s="10"/>
      <c r="Z124" s="10"/>
      <c r="AB124" s="62" t="s">
        <v>173</v>
      </c>
    </row>
    <row r="125" spans="1:29" s="25" customFormat="1" x14ac:dyDescent="0.25">
      <c r="A125" s="61" t="s">
        <v>8</v>
      </c>
      <c r="B125" s="10" t="s">
        <v>59</v>
      </c>
      <c r="C125" s="10" t="s">
        <v>142</v>
      </c>
      <c r="D125" s="10">
        <v>125000</v>
      </c>
      <c r="E125" s="10">
        <v>74000</v>
      </c>
      <c r="F125" s="10"/>
      <c r="G125" s="10">
        <v>-76512</v>
      </c>
      <c r="H125" s="10">
        <v>-175</v>
      </c>
      <c r="I125" s="10"/>
      <c r="J125" s="10"/>
      <c r="K125" s="10">
        <f t="shared" si="5"/>
        <v>-3750</v>
      </c>
      <c r="L125" s="10">
        <f t="shared" si="7"/>
        <v>44563</v>
      </c>
      <c r="M125" s="10"/>
      <c r="N125" s="45"/>
      <c r="O125" s="46">
        <v>1</v>
      </c>
      <c r="P125" s="47"/>
      <c r="Q125" s="48">
        <f t="shared" si="4"/>
        <v>44563</v>
      </c>
      <c r="R125" s="23"/>
      <c r="S125" s="23">
        <v>525</v>
      </c>
      <c r="T125" s="25">
        <v>159.03</v>
      </c>
      <c r="U125" s="23">
        <f>S125*8%+16.19</f>
        <v>58.19</v>
      </c>
      <c r="V125" s="23"/>
      <c r="W125" s="23">
        <f t="shared" si="6"/>
        <v>525</v>
      </c>
      <c r="X125" s="23"/>
      <c r="Y125" s="10"/>
      <c r="Z125" s="10"/>
      <c r="AB125" s="62" t="s">
        <v>173</v>
      </c>
    </row>
    <row r="126" spans="1:29" x14ac:dyDescent="0.25">
      <c r="A126" s="1" t="s">
        <v>8</v>
      </c>
      <c r="B126" s="2" t="s">
        <v>60</v>
      </c>
      <c r="C126" s="2" t="s">
        <v>142</v>
      </c>
      <c r="D126" s="2">
        <v>200000</v>
      </c>
      <c r="E126" s="2">
        <v>140000</v>
      </c>
      <c r="F126" s="2"/>
      <c r="G126" s="2">
        <v>-143918.73000000001</v>
      </c>
      <c r="H126" s="2"/>
      <c r="I126" s="2"/>
      <c r="J126" s="2"/>
      <c r="K126" s="2">
        <f t="shared" si="5"/>
        <v>-6000</v>
      </c>
      <c r="L126" s="2">
        <f t="shared" si="7"/>
        <v>50081.26999999999</v>
      </c>
      <c r="M126" s="2"/>
      <c r="N126" s="18"/>
      <c r="O126" s="15">
        <v>1</v>
      </c>
      <c r="P126" s="4"/>
      <c r="Q126" s="5">
        <f t="shared" si="4"/>
        <v>50081.26999999999</v>
      </c>
      <c r="R126" s="23"/>
      <c r="S126" s="21">
        <v>1470</v>
      </c>
      <c r="T126" s="25">
        <v>269.58999999999997</v>
      </c>
      <c r="U126" s="21">
        <f>S126*8%+163.4+584.53</f>
        <v>865.53</v>
      </c>
      <c r="V126" s="21"/>
      <c r="W126" s="21">
        <f t="shared" si="6"/>
        <v>1470</v>
      </c>
      <c r="X126" s="21"/>
      <c r="Y126" s="2"/>
      <c r="Z126" s="2"/>
      <c r="AB126" s="31" t="s">
        <v>159</v>
      </c>
    </row>
    <row r="127" spans="1:29" x14ac:dyDescent="0.25">
      <c r="A127" s="1" t="s">
        <v>8</v>
      </c>
      <c r="B127" s="2" t="s">
        <v>61</v>
      </c>
      <c r="C127" s="2" t="s">
        <v>142</v>
      </c>
      <c r="D127" s="2">
        <v>210000</v>
      </c>
      <c r="E127" s="2">
        <v>135000</v>
      </c>
      <c r="F127" s="2"/>
      <c r="G127" s="2">
        <v>-137422.46</v>
      </c>
      <c r="H127" s="2">
        <v>-120</v>
      </c>
      <c r="I127" s="2"/>
      <c r="J127" s="2"/>
      <c r="K127" s="2">
        <f t="shared" si="5"/>
        <v>-6300</v>
      </c>
      <c r="L127" s="2">
        <f t="shared" si="7"/>
        <v>66157.540000000008</v>
      </c>
      <c r="M127" s="2"/>
      <c r="N127" s="18"/>
      <c r="O127" s="15">
        <v>1</v>
      </c>
      <c r="P127" s="4"/>
      <c r="Q127" s="5">
        <f t="shared" si="4"/>
        <v>66157.540000000008</v>
      </c>
      <c r="R127" s="23"/>
      <c r="S127" s="21">
        <v>750</v>
      </c>
      <c r="T127">
        <v>223.3</v>
      </c>
      <c r="U127" s="21">
        <f>S127*8%+149.2</f>
        <v>209.2</v>
      </c>
      <c r="V127" s="21"/>
      <c r="W127" s="21">
        <f t="shared" si="6"/>
        <v>750</v>
      </c>
      <c r="X127" s="21"/>
      <c r="Y127" s="2"/>
      <c r="Z127" s="2"/>
      <c r="AB127" s="31" t="s">
        <v>164</v>
      </c>
    </row>
    <row r="128" spans="1:29" x14ac:dyDescent="0.25">
      <c r="A128" s="1" t="s">
        <v>8</v>
      </c>
      <c r="B128" s="2" t="s">
        <v>62</v>
      </c>
      <c r="C128" s="2" t="s">
        <v>142</v>
      </c>
      <c r="D128" s="2">
        <v>225000</v>
      </c>
      <c r="E128" s="2">
        <v>114500</v>
      </c>
      <c r="F128" s="2"/>
      <c r="G128" s="2">
        <v>-121239.12</v>
      </c>
      <c r="H128" s="2"/>
      <c r="I128" s="2"/>
      <c r="J128" s="2"/>
      <c r="K128" s="2">
        <f t="shared" si="5"/>
        <v>-6750</v>
      </c>
      <c r="L128" s="2">
        <f t="shared" si="7"/>
        <v>97010.880000000005</v>
      </c>
      <c r="M128" s="2"/>
      <c r="N128" s="18"/>
      <c r="O128" s="15">
        <v>1</v>
      </c>
      <c r="P128" s="4"/>
      <c r="Q128" s="5">
        <f t="shared" si="4"/>
        <v>97010.880000000005</v>
      </c>
      <c r="R128" s="23"/>
      <c r="S128" s="21">
        <v>795</v>
      </c>
      <c r="T128">
        <v>272.10000000000002</v>
      </c>
      <c r="U128" s="21">
        <f>S128*8%+170.51</f>
        <v>234.10999999999999</v>
      </c>
      <c r="V128" s="21"/>
      <c r="W128" s="21">
        <f t="shared" si="6"/>
        <v>795</v>
      </c>
      <c r="X128" s="21"/>
      <c r="Y128" s="2"/>
      <c r="Z128" s="2"/>
      <c r="AB128" s="31" t="s">
        <v>161</v>
      </c>
    </row>
    <row r="129" spans="1:29" s="25" customFormat="1" x14ac:dyDescent="0.25">
      <c r="A129" s="61" t="s">
        <v>8</v>
      </c>
      <c r="B129" s="10" t="s">
        <v>63</v>
      </c>
      <c r="C129" s="10" t="s">
        <v>142</v>
      </c>
      <c r="D129" s="10">
        <v>200000</v>
      </c>
      <c r="E129" s="10">
        <v>130500</v>
      </c>
      <c r="F129" s="10"/>
      <c r="G129" s="10">
        <v>-130901.77</v>
      </c>
      <c r="H129" s="10">
        <v>-175</v>
      </c>
      <c r="I129" s="10"/>
      <c r="J129" s="10"/>
      <c r="K129" s="10">
        <f t="shared" si="5"/>
        <v>-6000</v>
      </c>
      <c r="L129" s="10">
        <f t="shared" si="7"/>
        <v>62923.229999999996</v>
      </c>
      <c r="M129" s="10"/>
      <c r="N129" s="45"/>
      <c r="O129" s="46">
        <v>1</v>
      </c>
      <c r="P129" s="47"/>
      <c r="Q129" s="48">
        <f t="shared" si="4"/>
        <v>62923.229999999996</v>
      </c>
      <c r="R129" s="23"/>
      <c r="S129" s="23">
        <v>1625</v>
      </c>
      <c r="T129" s="25">
        <v>272.36</v>
      </c>
      <c r="U129" s="23">
        <f>S129*8%+177.61</f>
        <v>307.61</v>
      </c>
      <c r="V129" s="23"/>
      <c r="W129" s="23">
        <f t="shared" si="6"/>
        <v>1625</v>
      </c>
      <c r="X129" s="23"/>
      <c r="Y129" s="10"/>
      <c r="Z129" s="10"/>
      <c r="AB129" s="62" t="s">
        <v>173</v>
      </c>
    </row>
    <row r="130" spans="1:29" x14ac:dyDescent="0.25">
      <c r="A130" s="35" t="s">
        <v>8</v>
      </c>
      <c r="B130" s="2" t="s">
        <v>64</v>
      </c>
      <c r="C130" s="2" t="s">
        <v>142</v>
      </c>
      <c r="D130" s="2">
        <v>170000</v>
      </c>
      <c r="E130" s="2">
        <v>110000</v>
      </c>
      <c r="F130" s="2"/>
      <c r="G130" s="2">
        <v>-108140.52</v>
      </c>
      <c r="H130" s="2"/>
      <c r="I130" s="2"/>
      <c r="J130" s="2"/>
      <c r="K130" s="2">
        <f t="shared" si="5"/>
        <v>-5100</v>
      </c>
      <c r="L130" s="2">
        <f t="shared" si="7"/>
        <v>56759.479999999996</v>
      </c>
      <c r="M130" s="2"/>
      <c r="N130" s="18"/>
      <c r="O130" s="15">
        <v>1</v>
      </c>
      <c r="P130" s="4"/>
      <c r="Q130" s="5">
        <f t="shared" si="4"/>
        <v>56759.479999999996</v>
      </c>
      <c r="R130" s="23"/>
      <c r="S130" s="21">
        <v>725</v>
      </c>
      <c r="U130" s="21">
        <f>S130*8%+156.3</f>
        <v>214.3</v>
      </c>
      <c r="V130" s="21"/>
      <c r="W130" s="21">
        <f t="shared" si="6"/>
        <v>725</v>
      </c>
      <c r="X130" s="21"/>
      <c r="Y130" s="2"/>
      <c r="Z130" s="2"/>
      <c r="AB130" s="31" t="s">
        <v>167</v>
      </c>
    </row>
    <row r="131" spans="1:29" s="25" customFormat="1" x14ac:dyDescent="0.25">
      <c r="A131" s="61" t="s">
        <v>8</v>
      </c>
      <c r="B131" s="10" t="s">
        <v>65</v>
      </c>
      <c r="C131" s="10" t="s">
        <v>142</v>
      </c>
      <c r="D131" s="10">
        <v>165000</v>
      </c>
      <c r="E131" s="10">
        <v>80000</v>
      </c>
      <c r="F131" s="10"/>
      <c r="G131" s="10">
        <v>-94642.58</v>
      </c>
      <c r="H131" s="10">
        <v>-175</v>
      </c>
      <c r="I131" s="10"/>
      <c r="J131" s="10"/>
      <c r="K131" s="10">
        <f t="shared" si="5"/>
        <v>-4950</v>
      </c>
      <c r="L131" s="10">
        <f t="shared" si="7"/>
        <v>65232.42</v>
      </c>
      <c r="M131" s="10"/>
      <c r="N131" s="45"/>
      <c r="O131" s="46">
        <v>1</v>
      </c>
      <c r="P131" s="47"/>
      <c r="Q131" s="48">
        <f t="shared" si="4"/>
        <v>65232.42</v>
      </c>
      <c r="R131" s="23"/>
      <c r="S131" s="23">
        <v>795</v>
      </c>
      <c r="T131" s="25">
        <v>155.01</v>
      </c>
      <c r="U131" s="23">
        <f>S131*8%+163.4</f>
        <v>227</v>
      </c>
      <c r="V131" s="23"/>
      <c r="W131" s="23">
        <f t="shared" si="6"/>
        <v>795</v>
      </c>
      <c r="X131" s="23"/>
      <c r="Y131" s="10"/>
      <c r="Z131" s="10"/>
      <c r="AB131" s="62" t="s">
        <v>173</v>
      </c>
    </row>
    <row r="132" spans="1:29" s="25" customFormat="1" x14ac:dyDescent="0.25">
      <c r="A132" s="61" t="s">
        <v>8</v>
      </c>
      <c r="B132" s="10" t="s">
        <v>66</v>
      </c>
      <c r="C132" s="10" t="s">
        <v>142</v>
      </c>
      <c r="D132" s="10">
        <v>160000</v>
      </c>
      <c r="E132" s="10">
        <v>89250</v>
      </c>
      <c r="F132" s="10"/>
      <c r="G132" s="10">
        <v>-99920.69</v>
      </c>
      <c r="H132" s="10">
        <v>-175</v>
      </c>
      <c r="I132" s="10">
        <v>-20000</v>
      </c>
      <c r="J132" s="10"/>
      <c r="K132" s="10">
        <f t="shared" si="5"/>
        <v>-4800</v>
      </c>
      <c r="L132" s="10">
        <f t="shared" si="7"/>
        <v>35104.31</v>
      </c>
      <c r="M132" s="10"/>
      <c r="N132" s="45"/>
      <c r="O132" s="46">
        <v>1</v>
      </c>
      <c r="P132" s="47"/>
      <c r="Q132" s="48">
        <f t="shared" si="4"/>
        <v>35104.31</v>
      </c>
      <c r="R132" s="23"/>
      <c r="S132" s="23">
        <v>795</v>
      </c>
      <c r="T132" s="25">
        <v>207.81</v>
      </c>
      <c r="U132" s="23">
        <f>S132*8%+156.3</f>
        <v>219.9</v>
      </c>
      <c r="V132" s="23"/>
      <c r="W132" s="23">
        <f t="shared" si="6"/>
        <v>795</v>
      </c>
      <c r="X132" s="23"/>
      <c r="Y132" s="10"/>
      <c r="Z132" s="10"/>
      <c r="AB132" s="62" t="s">
        <v>173</v>
      </c>
      <c r="AC132" s="25" t="s">
        <v>155</v>
      </c>
    </row>
    <row r="133" spans="1:29" s="25" customFormat="1" x14ac:dyDescent="0.25">
      <c r="A133" s="61" t="s">
        <v>8</v>
      </c>
      <c r="B133" s="10" t="s">
        <v>67</v>
      </c>
      <c r="C133" s="10" t="s">
        <v>142</v>
      </c>
      <c r="D133" s="10">
        <v>350000</v>
      </c>
      <c r="E133" s="10">
        <v>61200</v>
      </c>
      <c r="F133" s="10"/>
      <c r="G133" s="10">
        <v>-196660.15</v>
      </c>
      <c r="H133" s="10">
        <v>-175</v>
      </c>
      <c r="I133" s="10"/>
      <c r="J133" s="10"/>
      <c r="K133" s="10">
        <f t="shared" si="5"/>
        <v>-10500</v>
      </c>
      <c r="L133" s="10">
        <f t="shared" si="7"/>
        <v>142664.85</v>
      </c>
      <c r="M133" s="10"/>
      <c r="N133" s="45"/>
      <c r="O133" s="46">
        <v>1</v>
      </c>
      <c r="P133" s="47"/>
      <c r="Q133" s="48">
        <f t="shared" si="4"/>
        <v>142664.85</v>
      </c>
      <c r="R133" s="23"/>
      <c r="S133" s="23">
        <v>2241.66</v>
      </c>
      <c r="T133" s="25">
        <v>408.6</v>
      </c>
      <c r="U133" s="23">
        <f>S133*8%+260.01+757.85</f>
        <v>1197.1928</v>
      </c>
      <c r="V133" s="23"/>
      <c r="W133" s="23">
        <f t="shared" si="6"/>
        <v>2241.66</v>
      </c>
      <c r="X133" s="23"/>
      <c r="Y133" s="10"/>
      <c r="Z133" s="10"/>
      <c r="AB133" s="62" t="s">
        <v>173</v>
      </c>
    </row>
    <row r="134" spans="1:29" s="25" customFormat="1" x14ac:dyDescent="0.25">
      <c r="A134" s="61" t="s">
        <v>8</v>
      </c>
      <c r="B134" s="10" t="s">
        <v>68</v>
      </c>
      <c r="C134" s="10" t="s">
        <v>142</v>
      </c>
      <c r="D134" s="10">
        <v>175000</v>
      </c>
      <c r="E134" s="10">
        <v>100000</v>
      </c>
      <c r="F134" s="10"/>
      <c r="G134" s="10">
        <v>-108582.56</v>
      </c>
      <c r="H134" s="10">
        <v>-175</v>
      </c>
      <c r="I134" s="10"/>
      <c r="J134" s="10"/>
      <c r="K134" s="10">
        <f t="shared" si="5"/>
        <v>-5250</v>
      </c>
      <c r="L134" s="10">
        <f t="shared" si="7"/>
        <v>60992.44</v>
      </c>
      <c r="M134" s="10"/>
      <c r="N134" s="45"/>
      <c r="O134" s="46">
        <v>1</v>
      </c>
      <c r="P134" s="47"/>
      <c r="Q134" s="48">
        <f t="shared" si="4"/>
        <v>60992.44</v>
      </c>
      <c r="R134" s="23"/>
      <c r="S134" s="23">
        <v>950</v>
      </c>
      <c r="T134" s="25">
        <v>225.86</v>
      </c>
      <c r="U134" s="23">
        <f>S134*8%+186.14</f>
        <v>262.14</v>
      </c>
      <c r="V134" s="23"/>
      <c r="W134" s="23">
        <f t="shared" si="6"/>
        <v>950</v>
      </c>
      <c r="X134" s="23"/>
      <c r="Y134" s="10"/>
      <c r="Z134" s="10"/>
      <c r="AB134" s="62" t="s">
        <v>173</v>
      </c>
    </row>
    <row r="135" spans="1:29" s="83" customFormat="1" x14ac:dyDescent="0.25">
      <c r="A135" s="76" t="s">
        <v>8</v>
      </c>
      <c r="B135" s="77" t="s">
        <v>144</v>
      </c>
      <c r="C135" s="77" t="s">
        <v>142</v>
      </c>
      <c r="D135" s="77">
        <v>200000</v>
      </c>
      <c r="E135" s="77">
        <v>130500</v>
      </c>
      <c r="F135" s="77"/>
      <c r="G135" s="77">
        <v>-128312.58</v>
      </c>
      <c r="H135" s="77"/>
      <c r="I135" s="77">
        <v>-20000</v>
      </c>
      <c r="J135" s="77"/>
      <c r="K135" s="77">
        <f t="shared" si="5"/>
        <v>-6000</v>
      </c>
      <c r="L135" s="77"/>
      <c r="M135" s="77"/>
      <c r="N135" s="78"/>
      <c r="O135" s="79">
        <v>1</v>
      </c>
      <c r="P135" s="80"/>
      <c r="Q135" s="81"/>
      <c r="R135" s="82"/>
      <c r="S135" s="82">
        <v>850</v>
      </c>
      <c r="T135" s="83">
        <v>488.45</v>
      </c>
      <c r="U135" s="82">
        <f>S135*8%+163.4</f>
        <v>231.4</v>
      </c>
      <c r="V135" s="82"/>
      <c r="W135" s="82">
        <f t="shared" si="6"/>
        <v>850</v>
      </c>
      <c r="X135" s="82"/>
      <c r="Y135" s="77"/>
      <c r="Z135" s="77"/>
      <c r="AB135" s="84" t="s">
        <v>205</v>
      </c>
      <c r="AC135" s="83" t="s">
        <v>150</v>
      </c>
    </row>
    <row r="136" spans="1:29" s="25" customFormat="1" x14ac:dyDescent="0.25">
      <c r="A136" s="61" t="s">
        <v>8</v>
      </c>
      <c r="B136" s="10" t="s">
        <v>69</v>
      </c>
      <c r="C136" s="10" t="s">
        <v>142</v>
      </c>
      <c r="D136" s="10">
        <v>250000</v>
      </c>
      <c r="E136" s="10">
        <v>145000</v>
      </c>
      <c r="F136" s="10"/>
      <c r="G136" s="10">
        <v>-152875.82999999999</v>
      </c>
      <c r="H136" s="10">
        <v>-250</v>
      </c>
      <c r="I136" s="10"/>
      <c r="J136" s="10"/>
      <c r="K136" s="10">
        <f t="shared" si="5"/>
        <v>-7500</v>
      </c>
      <c r="L136" s="10">
        <f t="shared" si="7"/>
        <v>89374.170000000013</v>
      </c>
      <c r="M136" s="10"/>
      <c r="N136" s="45"/>
      <c r="O136" s="46">
        <v>1</v>
      </c>
      <c r="P136" s="47"/>
      <c r="Q136" s="48">
        <f t="shared" si="4"/>
        <v>89374.170000000013</v>
      </c>
      <c r="R136" s="23"/>
      <c r="S136" s="23">
        <v>1100</v>
      </c>
      <c r="T136" s="25">
        <v>317.99</v>
      </c>
      <c r="U136" s="23">
        <f>S136*8%+174.77</f>
        <v>262.77</v>
      </c>
      <c r="V136" s="23"/>
      <c r="W136" s="23">
        <f t="shared" si="6"/>
        <v>1100</v>
      </c>
      <c r="X136" s="23"/>
      <c r="Y136" s="10"/>
      <c r="Z136" s="10"/>
      <c r="AB136" s="62" t="s">
        <v>173</v>
      </c>
    </row>
    <row r="137" spans="1:29" s="25" customFormat="1" x14ac:dyDescent="0.25">
      <c r="A137" s="61" t="s">
        <v>8</v>
      </c>
      <c r="B137" s="10" t="s">
        <v>70</v>
      </c>
      <c r="C137" s="10" t="s">
        <v>142</v>
      </c>
      <c r="D137" s="10">
        <v>355000</v>
      </c>
      <c r="E137" s="10">
        <v>235000</v>
      </c>
      <c r="F137" s="10"/>
      <c r="G137" s="10">
        <v>-248289.12</v>
      </c>
      <c r="H137" s="10">
        <v>-250</v>
      </c>
      <c r="I137" s="10"/>
      <c r="J137" s="10"/>
      <c r="K137" s="10">
        <f t="shared" si="5"/>
        <v>-10650</v>
      </c>
      <c r="L137" s="10">
        <f t="shared" si="7"/>
        <v>95810.880000000005</v>
      </c>
      <c r="M137" s="10"/>
      <c r="N137" s="45"/>
      <c r="O137" s="46">
        <v>1</v>
      </c>
      <c r="P137" s="47"/>
      <c r="Q137" s="48">
        <f t="shared" si="4"/>
        <v>95810.880000000005</v>
      </c>
      <c r="R137" s="23"/>
      <c r="S137" s="23">
        <v>1200</v>
      </c>
      <c r="T137" s="25">
        <v>516.79</v>
      </c>
      <c r="U137" s="23">
        <f>S137*8%+220.23</f>
        <v>316.23</v>
      </c>
      <c r="V137" s="23"/>
      <c r="W137" s="23">
        <f t="shared" si="6"/>
        <v>1200</v>
      </c>
      <c r="X137" s="23"/>
      <c r="Y137" s="10"/>
      <c r="Z137" s="10"/>
      <c r="AB137" s="62" t="s">
        <v>173</v>
      </c>
    </row>
    <row r="138" spans="1:29" s="25" customFormat="1" x14ac:dyDescent="0.25">
      <c r="A138" s="61" t="s">
        <v>8</v>
      </c>
      <c r="B138" s="10" t="s">
        <v>71</v>
      </c>
      <c r="C138" s="10" t="s">
        <v>142</v>
      </c>
      <c r="D138" s="10">
        <v>220000</v>
      </c>
      <c r="E138" s="10">
        <v>135000</v>
      </c>
      <c r="F138" s="10"/>
      <c r="G138" s="10">
        <v>-138926.79999999999</v>
      </c>
      <c r="H138" s="10">
        <v>-175</v>
      </c>
      <c r="I138" s="10"/>
      <c r="J138" s="10"/>
      <c r="K138" s="10">
        <f t="shared" si="5"/>
        <v>-6600</v>
      </c>
      <c r="L138" s="10">
        <f t="shared" si="7"/>
        <v>74298.200000000012</v>
      </c>
      <c r="M138" s="10"/>
      <c r="N138" s="45"/>
      <c r="O138" s="46">
        <v>1</v>
      </c>
      <c r="P138" s="47"/>
      <c r="Q138" s="48">
        <f t="shared" si="4"/>
        <v>74298.200000000012</v>
      </c>
      <c r="R138" s="23"/>
      <c r="S138" s="23">
        <v>750</v>
      </c>
      <c r="T138" s="25">
        <v>289.08</v>
      </c>
      <c r="U138" s="23">
        <f>S138*8%+149.2</f>
        <v>209.2</v>
      </c>
      <c r="V138" s="23"/>
      <c r="W138" s="23">
        <f t="shared" ref="W138:W169" si="8">SUM(S138)</f>
        <v>750</v>
      </c>
      <c r="X138" s="23"/>
      <c r="Y138" s="10"/>
      <c r="Z138" s="10"/>
      <c r="AB138" s="62" t="s">
        <v>173</v>
      </c>
    </row>
    <row r="139" spans="1:29" s="25" customFormat="1" x14ac:dyDescent="0.25">
      <c r="A139" s="61" t="s">
        <v>8</v>
      </c>
      <c r="B139" s="10" t="s">
        <v>72</v>
      </c>
      <c r="C139" s="10" t="s">
        <v>142</v>
      </c>
      <c r="D139" s="10">
        <v>270000</v>
      </c>
      <c r="E139" s="10">
        <v>135000</v>
      </c>
      <c r="F139" s="10"/>
      <c r="G139" s="10">
        <v>-161232.24</v>
      </c>
      <c r="H139" s="10">
        <v>-250</v>
      </c>
      <c r="I139" s="10"/>
      <c r="J139" s="10"/>
      <c r="K139" s="10">
        <f t="shared" ref="K139:K170" si="9">D139*-3%</f>
        <v>-8100</v>
      </c>
      <c r="L139" s="10">
        <f t="shared" si="7"/>
        <v>100417.76000000001</v>
      </c>
      <c r="M139" s="10"/>
      <c r="N139" s="45"/>
      <c r="O139" s="46">
        <v>1</v>
      </c>
      <c r="P139" s="47"/>
      <c r="Q139" s="48">
        <f t="shared" si="4"/>
        <v>100417.76000000001</v>
      </c>
      <c r="R139" s="23"/>
      <c r="S139" s="23">
        <v>850</v>
      </c>
      <c r="T139" s="25">
        <v>335.4</v>
      </c>
      <c r="U139" s="23">
        <f>S139*8%+204.61</f>
        <v>272.61</v>
      </c>
      <c r="V139" s="23"/>
      <c r="W139" s="23">
        <f t="shared" si="8"/>
        <v>850</v>
      </c>
      <c r="X139" s="23"/>
      <c r="Y139" s="10"/>
      <c r="Z139" s="10"/>
      <c r="AB139" s="62" t="s">
        <v>173</v>
      </c>
    </row>
    <row r="140" spans="1:29" s="25" customFormat="1" x14ac:dyDescent="0.25">
      <c r="A140" s="61" t="s">
        <v>8</v>
      </c>
      <c r="B140" s="10" t="s">
        <v>73</v>
      </c>
      <c r="C140" s="10" t="s">
        <v>142</v>
      </c>
      <c r="D140" s="10">
        <v>180000</v>
      </c>
      <c r="E140" s="10">
        <v>109000</v>
      </c>
      <c r="F140" s="10"/>
      <c r="G140" s="10">
        <v>-120022.78</v>
      </c>
      <c r="H140" s="10">
        <v>-175</v>
      </c>
      <c r="I140" s="10"/>
      <c r="J140" s="10"/>
      <c r="K140" s="10">
        <f t="shared" si="9"/>
        <v>-5400</v>
      </c>
      <c r="L140" s="10">
        <f t="shared" si="7"/>
        <v>54402.22</v>
      </c>
      <c r="M140" s="10"/>
      <c r="N140" s="45"/>
      <c r="O140" s="46">
        <v>1</v>
      </c>
      <c r="P140" s="47"/>
      <c r="Q140" s="48">
        <f t="shared" ref="Q140:Q201" si="10">L140*O140</f>
        <v>54402.22</v>
      </c>
      <c r="R140" s="23"/>
      <c r="S140" s="23">
        <v>795</v>
      </c>
      <c r="T140" s="25">
        <v>249.23</v>
      </c>
      <c r="U140" s="23">
        <f>S140*8%+156.3</f>
        <v>219.9</v>
      </c>
      <c r="V140" s="23"/>
      <c r="W140" s="23">
        <f t="shared" si="8"/>
        <v>795</v>
      </c>
      <c r="X140" s="23"/>
      <c r="Y140" s="10"/>
      <c r="Z140" s="10"/>
      <c r="AB140" s="62" t="s">
        <v>173</v>
      </c>
    </row>
    <row r="141" spans="1:29" s="83" customFormat="1" x14ac:dyDescent="0.25">
      <c r="A141" s="76" t="s">
        <v>8</v>
      </c>
      <c r="B141" s="77" t="s">
        <v>74</v>
      </c>
      <c r="C141" s="77" t="s">
        <v>142</v>
      </c>
      <c r="D141" s="77">
        <v>270000</v>
      </c>
      <c r="E141" s="77">
        <v>120000</v>
      </c>
      <c r="F141" s="77"/>
      <c r="G141" s="77">
        <v>-119569.82</v>
      </c>
      <c r="H141" s="77"/>
      <c r="I141" s="77"/>
      <c r="J141" s="77"/>
      <c r="K141" s="77">
        <f t="shared" si="9"/>
        <v>-8100</v>
      </c>
      <c r="L141" s="77">
        <f t="shared" si="7"/>
        <v>142330.18</v>
      </c>
      <c r="M141" s="77"/>
      <c r="N141" s="78"/>
      <c r="O141" s="79">
        <v>1</v>
      </c>
      <c r="P141" s="80"/>
      <c r="Q141" s="81">
        <f t="shared" si="10"/>
        <v>142330.18</v>
      </c>
      <c r="R141" s="82"/>
      <c r="S141" s="82">
        <v>850</v>
      </c>
      <c r="T141" s="83">
        <v>383.32</v>
      </c>
      <c r="U141" s="82">
        <f>S141*8%+184.71</f>
        <v>252.71</v>
      </c>
      <c r="V141" s="82"/>
      <c r="W141" s="82">
        <f t="shared" si="8"/>
        <v>850</v>
      </c>
      <c r="X141" s="82"/>
      <c r="Y141" s="77"/>
      <c r="Z141" s="77"/>
      <c r="AB141" s="84" t="s">
        <v>205</v>
      </c>
    </row>
    <row r="142" spans="1:29" s="25" customFormat="1" x14ac:dyDescent="0.25">
      <c r="A142" s="61" t="s">
        <v>8</v>
      </c>
      <c r="B142" s="10" t="s">
        <v>75</v>
      </c>
      <c r="C142" s="10" t="s">
        <v>142</v>
      </c>
      <c r="D142" s="10">
        <v>220000</v>
      </c>
      <c r="E142" s="10">
        <v>100000</v>
      </c>
      <c r="F142" s="10"/>
      <c r="G142" s="10">
        <v>-116698</v>
      </c>
      <c r="H142" s="10">
        <v>-175</v>
      </c>
      <c r="I142" s="10"/>
      <c r="J142" s="10"/>
      <c r="K142" s="10">
        <f t="shared" si="9"/>
        <v>-6600</v>
      </c>
      <c r="L142" s="10">
        <f t="shared" si="7"/>
        <v>96527</v>
      </c>
      <c r="M142" s="10"/>
      <c r="N142" s="45"/>
      <c r="O142" s="46">
        <v>1</v>
      </c>
      <c r="P142" s="47"/>
      <c r="Q142" s="48">
        <f t="shared" si="10"/>
        <v>96527</v>
      </c>
      <c r="R142" s="23"/>
      <c r="S142" s="23">
        <v>725</v>
      </c>
      <c r="T142" s="25">
        <v>242.75</v>
      </c>
      <c r="U142" s="23">
        <f>S142*8%+230.04</f>
        <v>288.03999999999996</v>
      </c>
      <c r="V142" s="23" t="s">
        <v>174</v>
      </c>
      <c r="W142" s="23">
        <f t="shared" si="8"/>
        <v>725</v>
      </c>
      <c r="X142" s="23"/>
      <c r="Y142" s="10"/>
      <c r="Z142" s="10"/>
      <c r="AB142" s="62" t="s">
        <v>173</v>
      </c>
    </row>
    <row r="143" spans="1:29" s="25" customFormat="1" x14ac:dyDescent="0.25">
      <c r="A143" s="61" t="s">
        <v>8</v>
      </c>
      <c r="B143" s="10" t="s">
        <v>76</v>
      </c>
      <c r="C143" s="10" t="s">
        <v>142</v>
      </c>
      <c r="D143" s="10">
        <v>260000</v>
      </c>
      <c r="E143" s="10">
        <v>120000</v>
      </c>
      <c r="F143" s="10"/>
      <c r="G143" s="10">
        <v>-128304.08</v>
      </c>
      <c r="H143" s="10">
        <v>-175</v>
      </c>
      <c r="I143" s="10"/>
      <c r="J143" s="10"/>
      <c r="K143" s="10">
        <f t="shared" si="9"/>
        <v>-7800</v>
      </c>
      <c r="L143" s="10">
        <f t="shared" si="7"/>
        <v>123720.91999999998</v>
      </c>
      <c r="M143" s="10"/>
      <c r="N143" s="45"/>
      <c r="O143" s="46">
        <v>1</v>
      </c>
      <c r="P143" s="47"/>
      <c r="Q143" s="48">
        <f t="shared" si="10"/>
        <v>123720.91999999998</v>
      </c>
      <c r="R143" s="23"/>
      <c r="S143" s="23">
        <v>850</v>
      </c>
      <c r="T143" s="25">
        <v>266.95</v>
      </c>
      <c r="U143" s="23">
        <f>S143*8%+159.14</f>
        <v>227.14</v>
      </c>
      <c r="V143" s="23"/>
      <c r="W143" s="23">
        <f t="shared" si="8"/>
        <v>850</v>
      </c>
      <c r="X143" s="23"/>
      <c r="Y143" s="10"/>
      <c r="Z143" s="10"/>
      <c r="AB143" s="62" t="s">
        <v>173</v>
      </c>
    </row>
    <row r="144" spans="1:29" s="25" customFormat="1" x14ac:dyDescent="0.25">
      <c r="A144" s="61" t="s">
        <v>8</v>
      </c>
      <c r="B144" s="10" t="s">
        <v>77</v>
      </c>
      <c r="C144" s="10" t="s">
        <v>142</v>
      </c>
      <c r="D144" s="10">
        <v>250000</v>
      </c>
      <c r="E144" s="10">
        <v>125000</v>
      </c>
      <c r="F144" s="10"/>
      <c r="G144" s="10">
        <v>-132013.51999999999</v>
      </c>
      <c r="H144" s="10">
        <v>-175</v>
      </c>
      <c r="I144" s="10"/>
      <c r="J144" s="10"/>
      <c r="K144" s="10">
        <f t="shared" si="9"/>
        <v>-7500</v>
      </c>
      <c r="L144" s="10">
        <f t="shared" si="7"/>
        <v>110311.48000000001</v>
      </c>
      <c r="M144" s="10"/>
      <c r="N144" s="45"/>
      <c r="O144" s="46">
        <v>1</v>
      </c>
      <c r="P144" s="47"/>
      <c r="Q144" s="48">
        <f t="shared" si="10"/>
        <v>110311.48000000001</v>
      </c>
      <c r="R144" s="23"/>
      <c r="S144" s="23">
        <v>950</v>
      </c>
      <c r="T144" s="25">
        <v>274.68</v>
      </c>
      <c r="U144" s="23">
        <f>S144*8%+184.71</f>
        <v>260.71000000000004</v>
      </c>
      <c r="V144" s="23"/>
      <c r="W144" s="23">
        <f t="shared" si="8"/>
        <v>950</v>
      </c>
      <c r="X144" s="23"/>
      <c r="Y144" s="10"/>
      <c r="Z144" s="10"/>
      <c r="AB144" s="62" t="s">
        <v>173</v>
      </c>
    </row>
    <row r="145" spans="1:29" s="25" customFormat="1" x14ac:dyDescent="0.25">
      <c r="A145" s="35" t="s">
        <v>8</v>
      </c>
      <c r="B145" s="10" t="s">
        <v>78</v>
      </c>
      <c r="C145" s="10" t="s">
        <v>142</v>
      </c>
      <c r="D145" s="10">
        <v>280000</v>
      </c>
      <c r="E145" s="10">
        <v>150000</v>
      </c>
      <c r="F145" s="10"/>
      <c r="G145" s="10">
        <v>-128516.75</v>
      </c>
      <c r="H145" s="10">
        <v>-175</v>
      </c>
      <c r="I145" s="10"/>
      <c r="J145" s="10"/>
      <c r="K145" s="10">
        <f t="shared" si="9"/>
        <v>-8400</v>
      </c>
      <c r="L145" s="10">
        <f t="shared" si="7"/>
        <v>142908.25</v>
      </c>
      <c r="M145" s="10"/>
      <c r="N145" s="45"/>
      <c r="O145" s="46">
        <v>0.5</v>
      </c>
      <c r="P145" s="47"/>
      <c r="Q145" s="48">
        <f t="shared" si="10"/>
        <v>71454.125</v>
      </c>
      <c r="R145" s="23"/>
      <c r="S145" s="23">
        <v>695</v>
      </c>
      <c r="T145" s="25">
        <v>207.2</v>
      </c>
      <c r="U145" s="23">
        <f>S145*8%+178.4</f>
        <v>234</v>
      </c>
      <c r="V145" s="23"/>
      <c r="W145" s="23">
        <f t="shared" si="8"/>
        <v>695</v>
      </c>
      <c r="X145" s="23"/>
      <c r="Y145" s="10"/>
      <c r="Z145" s="10"/>
      <c r="AB145" s="59" t="s">
        <v>159</v>
      </c>
    </row>
    <row r="146" spans="1:29" x14ac:dyDescent="0.25">
      <c r="A146" s="35" t="s">
        <v>8</v>
      </c>
      <c r="B146" s="2" t="s">
        <v>79</v>
      </c>
      <c r="C146" s="2" t="s">
        <v>142</v>
      </c>
      <c r="D146" s="2">
        <v>200000</v>
      </c>
      <c r="E146" s="2">
        <v>89024</v>
      </c>
      <c r="F146" s="2"/>
      <c r="G146" s="2">
        <v>-112684.78</v>
      </c>
      <c r="H146" s="2"/>
      <c r="I146" s="2"/>
      <c r="J146" s="2"/>
      <c r="K146" s="2">
        <f t="shared" si="9"/>
        <v>-6000</v>
      </c>
      <c r="L146" s="2">
        <f t="shared" si="7"/>
        <v>81315.22</v>
      </c>
      <c r="M146" s="2"/>
      <c r="N146" s="18"/>
      <c r="O146" s="15">
        <v>1</v>
      </c>
      <c r="P146" s="4"/>
      <c r="Q146" s="5">
        <f t="shared" si="10"/>
        <v>81315.22</v>
      </c>
      <c r="R146" s="23"/>
      <c r="S146" s="21">
        <v>750</v>
      </c>
      <c r="T146">
        <v>252.77</v>
      </c>
      <c r="U146" s="21">
        <f>S146*8%+149.2</f>
        <v>209.2</v>
      </c>
      <c r="V146" s="21"/>
      <c r="W146" s="21">
        <f t="shared" si="8"/>
        <v>750</v>
      </c>
      <c r="X146" s="21"/>
      <c r="Y146" s="2"/>
      <c r="Z146" s="2"/>
      <c r="AB146" s="31" t="s">
        <v>161</v>
      </c>
    </row>
    <row r="147" spans="1:29" x14ac:dyDescent="0.25">
      <c r="A147" s="35" t="s">
        <v>8</v>
      </c>
      <c r="B147" s="2" t="s">
        <v>80</v>
      </c>
      <c r="C147" s="2" t="s">
        <v>142</v>
      </c>
      <c r="D147" s="2">
        <v>290000</v>
      </c>
      <c r="E147" s="2">
        <v>150000</v>
      </c>
      <c r="F147" s="2"/>
      <c r="G147" s="2">
        <v>-156907.18</v>
      </c>
      <c r="H147" s="2"/>
      <c r="I147" s="2"/>
      <c r="J147" s="2"/>
      <c r="K147" s="2">
        <f t="shared" si="9"/>
        <v>-8700</v>
      </c>
      <c r="L147" s="2">
        <f t="shared" si="7"/>
        <v>124392.82</v>
      </c>
      <c r="M147" s="2"/>
      <c r="N147" s="18"/>
      <c r="O147" s="15">
        <v>1</v>
      </c>
      <c r="P147" s="4"/>
      <c r="Q147" s="5">
        <f t="shared" si="10"/>
        <v>124392.82</v>
      </c>
      <c r="R147" s="23"/>
      <c r="S147" s="21">
        <v>850</v>
      </c>
      <c r="T147">
        <v>293.94</v>
      </c>
      <c r="U147" s="21">
        <f>S147*8%+184.71</f>
        <v>252.71</v>
      </c>
      <c r="V147" s="21"/>
      <c r="W147" s="21">
        <f t="shared" si="8"/>
        <v>850</v>
      </c>
      <c r="X147" s="21"/>
      <c r="Y147" s="2"/>
      <c r="Z147" s="2"/>
      <c r="AB147" s="31" t="s">
        <v>159</v>
      </c>
    </row>
    <row r="148" spans="1:29" x14ac:dyDescent="0.25">
      <c r="A148" s="35" t="s">
        <v>8</v>
      </c>
      <c r="B148" s="10" t="s">
        <v>81</v>
      </c>
      <c r="C148" s="2" t="s">
        <v>142</v>
      </c>
      <c r="D148" s="2">
        <v>140000</v>
      </c>
      <c r="E148" s="2">
        <v>105000</v>
      </c>
      <c r="F148" s="2"/>
      <c r="G148" s="2">
        <v>-117603.31</v>
      </c>
      <c r="H148" s="2">
        <v>-2284</v>
      </c>
      <c r="I148" s="2"/>
      <c r="J148" s="2"/>
      <c r="K148" s="2">
        <f t="shared" si="9"/>
        <v>-4200</v>
      </c>
      <c r="L148" s="2">
        <f>D148+F148+G148+H148+I148+J148+K148</f>
        <v>15912.690000000002</v>
      </c>
      <c r="M148" s="2"/>
      <c r="N148" s="18"/>
      <c r="O148" s="15">
        <v>1</v>
      </c>
      <c r="P148" s="36"/>
      <c r="Q148" s="5">
        <f>L148*O148</f>
        <v>15912.690000000002</v>
      </c>
      <c r="R148" s="23"/>
      <c r="S148" s="21">
        <v>695</v>
      </c>
      <c r="U148" s="23">
        <f>S148*8%+97.67</f>
        <v>153.27000000000001</v>
      </c>
      <c r="V148" s="21"/>
      <c r="W148" s="21">
        <f t="shared" si="8"/>
        <v>695</v>
      </c>
      <c r="X148" s="21"/>
      <c r="Y148" s="2"/>
      <c r="Z148" s="2"/>
      <c r="AB148" s="34" t="s">
        <v>176</v>
      </c>
    </row>
    <row r="149" spans="1:29" x14ac:dyDescent="0.25">
      <c r="A149" s="35" t="s">
        <v>8</v>
      </c>
      <c r="B149" s="2" t="s">
        <v>82</v>
      </c>
      <c r="C149" s="2" t="s">
        <v>142</v>
      </c>
      <c r="D149" s="2">
        <v>250000</v>
      </c>
      <c r="E149" s="2">
        <v>350000</v>
      </c>
      <c r="F149" s="2"/>
      <c r="G149" s="2">
        <v>-298146.49</v>
      </c>
      <c r="H149" s="2"/>
      <c r="I149" s="2"/>
      <c r="J149" s="2"/>
      <c r="K149" s="2">
        <f t="shared" si="9"/>
        <v>-7500</v>
      </c>
      <c r="L149" s="2">
        <f t="shared" si="7"/>
        <v>-55646.489999999991</v>
      </c>
      <c r="M149" s="2"/>
      <c r="N149" s="18"/>
      <c r="O149" s="15">
        <v>1</v>
      </c>
      <c r="P149" s="4"/>
      <c r="Q149" s="5">
        <f>L149*O149</f>
        <v>-55646.489999999991</v>
      </c>
      <c r="R149" s="23"/>
      <c r="S149" s="21">
        <v>750</v>
      </c>
      <c r="T149">
        <v>1264.17</v>
      </c>
      <c r="U149" s="21">
        <f>S149*8%+156.3</f>
        <v>216.3</v>
      </c>
      <c r="V149" s="21"/>
      <c r="W149" s="21">
        <f t="shared" si="8"/>
        <v>750</v>
      </c>
      <c r="X149" s="21"/>
      <c r="Y149" s="2"/>
      <c r="Z149" s="2"/>
      <c r="AB149" s="31" t="s">
        <v>159</v>
      </c>
    </row>
    <row r="150" spans="1:29" s="25" customFormat="1" x14ac:dyDescent="0.25">
      <c r="A150" s="61" t="s">
        <v>8</v>
      </c>
      <c r="B150" s="10" t="s">
        <v>83</v>
      </c>
      <c r="C150" s="10" t="s">
        <v>142</v>
      </c>
      <c r="D150" s="10">
        <v>150000</v>
      </c>
      <c r="E150" s="10">
        <v>100000</v>
      </c>
      <c r="F150" s="10"/>
      <c r="G150" s="10">
        <v>-85222.56</v>
      </c>
      <c r="H150" s="10">
        <v>-175</v>
      </c>
      <c r="I150" s="10"/>
      <c r="J150" s="10"/>
      <c r="K150" s="10">
        <f t="shared" si="9"/>
        <v>-4500</v>
      </c>
      <c r="L150" s="10">
        <f t="shared" si="7"/>
        <v>60102.44</v>
      </c>
      <c r="M150" s="10"/>
      <c r="N150" s="45"/>
      <c r="O150" s="46">
        <v>1</v>
      </c>
      <c r="P150" s="47"/>
      <c r="Q150" s="48">
        <f t="shared" si="10"/>
        <v>60102.44</v>
      </c>
      <c r="R150" s="23"/>
      <c r="S150" s="23">
        <v>900</v>
      </c>
      <c r="T150" s="25">
        <v>177.19</v>
      </c>
      <c r="U150" s="23">
        <f>S150*8%+255.75+138.41</f>
        <v>466.15999999999997</v>
      </c>
      <c r="V150" s="23"/>
      <c r="W150" s="23">
        <f t="shared" si="8"/>
        <v>900</v>
      </c>
      <c r="X150" s="23"/>
      <c r="Y150" s="10"/>
      <c r="Z150" s="10"/>
      <c r="AB150" s="62" t="s">
        <v>173</v>
      </c>
    </row>
    <row r="151" spans="1:29" s="25" customFormat="1" x14ac:dyDescent="0.25">
      <c r="A151" s="61" t="s">
        <v>8</v>
      </c>
      <c r="B151" s="10" t="s">
        <v>84</v>
      </c>
      <c r="C151" s="10" t="s">
        <v>142</v>
      </c>
      <c r="D151" s="10">
        <v>150000</v>
      </c>
      <c r="E151" s="10">
        <v>100000</v>
      </c>
      <c r="F151" s="10"/>
      <c r="G151" s="10">
        <v>-85222.56</v>
      </c>
      <c r="H151" s="10">
        <v>-175</v>
      </c>
      <c r="I151" s="10"/>
      <c r="J151" s="10"/>
      <c r="K151" s="10">
        <f t="shared" si="9"/>
        <v>-4500</v>
      </c>
      <c r="L151" s="10">
        <f t="shared" si="7"/>
        <v>60102.44</v>
      </c>
      <c r="M151" s="10"/>
      <c r="N151" s="45"/>
      <c r="O151" s="46">
        <v>1</v>
      </c>
      <c r="P151" s="47"/>
      <c r="Q151" s="48">
        <f t="shared" si="10"/>
        <v>60102.44</v>
      </c>
      <c r="R151" s="23"/>
      <c r="S151" s="23">
        <v>900</v>
      </c>
      <c r="T151" s="25">
        <v>177.19</v>
      </c>
      <c r="U151" s="23">
        <f>255.75+138.41</f>
        <v>394.15999999999997</v>
      </c>
      <c r="V151" s="23"/>
      <c r="W151" s="23">
        <f t="shared" si="8"/>
        <v>900</v>
      </c>
      <c r="X151" s="23"/>
      <c r="Y151" s="10"/>
      <c r="Z151" s="10"/>
      <c r="AB151" s="62" t="s">
        <v>173</v>
      </c>
    </row>
    <row r="152" spans="1:29" s="83" customFormat="1" x14ac:dyDescent="0.25">
      <c r="A152" s="76" t="s">
        <v>8</v>
      </c>
      <c r="B152" s="77" t="s">
        <v>85</v>
      </c>
      <c r="C152" s="77" t="s">
        <v>142</v>
      </c>
      <c r="D152" s="77">
        <v>180000</v>
      </c>
      <c r="E152" s="77">
        <v>122500</v>
      </c>
      <c r="F152" s="77"/>
      <c r="G152" s="77">
        <v>-124662.18</v>
      </c>
      <c r="H152" s="77">
        <v>-120</v>
      </c>
      <c r="I152" s="77"/>
      <c r="J152" s="77"/>
      <c r="K152" s="77">
        <f t="shared" si="9"/>
        <v>-5400</v>
      </c>
      <c r="L152" s="77">
        <f t="shared" si="7"/>
        <v>49817.820000000007</v>
      </c>
      <c r="M152" s="77"/>
      <c r="N152" s="78"/>
      <c r="O152" s="79">
        <v>1</v>
      </c>
      <c r="P152" s="80"/>
      <c r="Q152" s="81">
        <f t="shared" si="10"/>
        <v>49817.820000000007</v>
      </c>
      <c r="R152" s="82"/>
      <c r="S152" s="82">
        <v>825</v>
      </c>
      <c r="T152" s="83">
        <v>358.99</v>
      </c>
      <c r="U152" s="82">
        <f>S152*8%+180.45</f>
        <v>246.45</v>
      </c>
      <c r="V152" s="82"/>
      <c r="W152" s="82">
        <f t="shared" si="8"/>
        <v>825</v>
      </c>
      <c r="X152" s="82"/>
      <c r="Y152" s="77"/>
      <c r="Z152" s="77"/>
      <c r="AB152" s="84" t="s">
        <v>205</v>
      </c>
    </row>
    <row r="153" spans="1:29" x14ac:dyDescent="0.25">
      <c r="A153" s="35" t="s">
        <v>8</v>
      </c>
      <c r="B153" s="2" t="s">
        <v>86</v>
      </c>
      <c r="C153" s="2" t="s">
        <v>142</v>
      </c>
      <c r="D153" s="2">
        <v>150000</v>
      </c>
      <c r="E153" s="2">
        <v>125000</v>
      </c>
      <c r="F153" s="2"/>
      <c r="G153" s="2">
        <v>-100646.56</v>
      </c>
      <c r="H153" s="2"/>
      <c r="I153" s="2"/>
      <c r="J153" s="2"/>
      <c r="K153" s="2">
        <f t="shared" si="9"/>
        <v>-4500</v>
      </c>
      <c r="L153" s="2">
        <f t="shared" si="7"/>
        <v>44853.440000000002</v>
      </c>
      <c r="M153" s="2"/>
      <c r="N153" s="18"/>
      <c r="O153" s="15">
        <v>1</v>
      </c>
      <c r="P153" s="4"/>
      <c r="Q153" s="5">
        <f t="shared" si="10"/>
        <v>44853.440000000002</v>
      </c>
      <c r="R153" s="23"/>
      <c r="S153" s="21">
        <v>900</v>
      </c>
      <c r="T153">
        <v>267.19</v>
      </c>
      <c r="U153" s="21">
        <f>S153*8%+255.75+138.41</f>
        <v>466.15999999999997</v>
      </c>
      <c r="V153" s="21"/>
      <c r="W153" s="21">
        <f t="shared" si="8"/>
        <v>900</v>
      </c>
      <c r="X153" s="21"/>
      <c r="Y153" s="2"/>
      <c r="Z153" s="2"/>
      <c r="AB153" s="31" t="s">
        <v>160</v>
      </c>
    </row>
    <row r="154" spans="1:29" s="25" customFormat="1" x14ac:dyDescent="0.25">
      <c r="A154" s="61" t="s">
        <v>8</v>
      </c>
      <c r="B154" s="10" t="s">
        <v>87</v>
      </c>
      <c r="C154" s="10" t="s">
        <v>142</v>
      </c>
      <c r="D154" s="10">
        <v>160000</v>
      </c>
      <c r="E154" s="10">
        <v>85000</v>
      </c>
      <c r="F154" s="10"/>
      <c r="G154" s="10">
        <v>-91481.58</v>
      </c>
      <c r="H154" s="10">
        <v>-175</v>
      </c>
      <c r="I154" s="10"/>
      <c r="J154" s="10"/>
      <c r="K154" s="10">
        <f t="shared" si="9"/>
        <v>-4800</v>
      </c>
      <c r="L154" s="10">
        <f t="shared" si="7"/>
        <v>63543.42</v>
      </c>
      <c r="M154" s="10"/>
      <c r="N154" s="45"/>
      <c r="O154" s="46">
        <v>1</v>
      </c>
      <c r="P154" s="47"/>
      <c r="Q154" s="48">
        <f t="shared" si="10"/>
        <v>63543.42</v>
      </c>
      <c r="R154" s="23"/>
      <c r="S154" s="23">
        <v>750</v>
      </c>
      <c r="T154" s="25">
        <v>189.87</v>
      </c>
      <c r="U154" s="23">
        <f>S154*8%+149.2</f>
        <v>209.2</v>
      </c>
      <c r="V154" s="23"/>
      <c r="W154" s="23">
        <f t="shared" si="8"/>
        <v>750</v>
      </c>
      <c r="X154" s="23"/>
      <c r="Y154" s="10"/>
      <c r="Z154" s="10"/>
      <c r="AB154" s="62" t="s">
        <v>173</v>
      </c>
    </row>
    <row r="155" spans="1:29" x14ac:dyDescent="0.25">
      <c r="A155" s="35" t="s">
        <v>8</v>
      </c>
      <c r="B155" s="2" t="s">
        <v>88</v>
      </c>
      <c r="C155" s="2" t="s">
        <v>142</v>
      </c>
      <c r="D155" s="2">
        <v>140000</v>
      </c>
      <c r="E155" s="2">
        <v>85000</v>
      </c>
      <c r="F155" s="2"/>
      <c r="G155" s="2">
        <v>-89986.81</v>
      </c>
      <c r="H155" s="2">
        <v>-195</v>
      </c>
      <c r="I155" s="2"/>
      <c r="J155" s="2"/>
      <c r="K155" s="2">
        <f t="shared" si="9"/>
        <v>-4200</v>
      </c>
      <c r="L155" s="2">
        <f t="shared" si="7"/>
        <v>45618.19</v>
      </c>
      <c r="M155" s="2"/>
      <c r="N155" s="18"/>
      <c r="O155" s="15">
        <v>1</v>
      </c>
      <c r="P155" s="4"/>
      <c r="Q155" s="5">
        <f t="shared" si="10"/>
        <v>45618.19</v>
      </c>
      <c r="R155" s="23"/>
      <c r="S155" s="21">
        <v>550</v>
      </c>
      <c r="T155" s="25">
        <v>373.41</v>
      </c>
      <c r="U155" s="21">
        <f>S155*8%+144.93</f>
        <v>188.93</v>
      </c>
      <c r="V155" s="21"/>
      <c r="W155" s="21">
        <f t="shared" si="8"/>
        <v>550</v>
      </c>
      <c r="X155" s="21"/>
      <c r="Y155" s="2"/>
      <c r="Z155" s="2"/>
      <c r="AB155" s="31" t="s">
        <v>162</v>
      </c>
    </row>
    <row r="156" spans="1:29" x14ac:dyDescent="0.25">
      <c r="A156" s="35" t="s">
        <v>8</v>
      </c>
      <c r="B156" s="2" t="s">
        <v>89</v>
      </c>
      <c r="C156" s="2" t="s">
        <v>142</v>
      </c>
      <c r="D156" s="2">
        <v>400000</v>
      </c>
      <c r="E156" s="2">
        <v>205000</v>
      </c>
      <c r="F156" s="2"/>
      <c r="G156" s="2">
        <v>-236087.5</v>
      </c>
      <c r="H156" s="2"/>
      <c r="I156" s="2"/>
      <c r="J156" s="2"/>
      <c r="K156" s="2">
        <f t="shared" si="9"/>
        <v>-12000</v>
      </c>
      <c r="L156" s="2">
        <f t="shared" si="7"/>
        <v>151912.5</v>
      </c>
      <c r="M156" s="2"/>
      <c r="N156" s="18"/>
      <c r="O156" s="15">
        <v>1</v>
      </c>
      <c r="P156" s="4"/>
      <c r="Q156" s="5">
        <f t="shared" si="10"/>
        <v>151912.5</v>
      </c>
      <c r="R156" s="23"/>
      <c r="S156" s="21">
        <v>1250</v>
      </c>
      <c r="U156" s="21">
        <f>S156*8%+213.13</f>
        <v>313.13</v>
      </c>
      <c r="V156" s="21"/>
      <c r="W156" s="21">
        <f t="shared" si="8"/>
        <v>1250</v>
      </c>
      <c r="X156" s="21"/>
      <c r="Y156" s="2"/>
      <c r="Z156" s="2"/>
      <c r="AB156" s="31" t="s">
        <v>165</v>
      </c>
    </row>
    <row r="157" spans="1:29" s="25" customFormat="1" x14ac:dyDescent="0.25">
      <c r="A157" s="61" t="s">
        <v>8</v>
      </c>
      <c r="B157" s="10" t="s">
        <v>90</v>
      </c>
      <c r="C157" s="10" t="s">
        <v>142</v>
      </c>
      <c r="D157" s="10">
        <v>150000</v>
      </c>
      <c r="E157" s="10">
        <v>85000</v>
      </c>
      <c r="F157" s="10"/>
      <c r="G157" s="10">
        <v>-98997.94</v>
      </c>
      <c r="H157" s="10">
        <v>-175</v>
      </c>
      <c r="I157" s="10"/>
      <c r="J157" s="10"/>
      <c r="K157" s="10">
        <f t="shared" si="9"/>
        <v>-4500</v>
      </c>
      <c r="L157" s="10">
        <f t="shared" si="7"/>
        <v>46327.06</v>
      </c>
      <c r="M157" s="10"/>
      <c r="N157" s="45"/>
      <c r="O157" s="46">
        <v>1</v>
      </c>
      <c r="P157" s="47"/>
      <c r="Q157" s="48">
        <f t="shared" si="10"/>
        <v>46327.06</v>
      </c>
      <c r="R157" s="23"/>
      <c r="S157" s="23">
        <v>750</v>
      </c>
      <c r="T157" s="25">
        <v>204.97</v>
      </c>
      <c r="U157" s="23">
        <f>S157*8%+177.61</f>
        <v>237.61</v>
      </c>
      <c r="V157" s="23"/>
      <c r="W157" s="23">
        <f t="shared" si="8"/>
        <v>750</v>
      </c>
      <c r="X157" s="23"/>
      <c r="Y157" s="10"/>
      <c r="Z157" s="10"/>
      <c r="AB157" s="62" t="s">
        <v>173</v>
      </c>
    </row>
    <row r="158" spans="1:29" x14ac:dyDescent="0.25">
      <c r="A158" s="67" t="s">
        <v>8</v>
      </c>
      <c r="B158" s="68" t="s">
        <v>91</v>
      </c>
      <c r="C158" s="68" t="s">
        <v>142</v>
      </c>
      <c r="D158" s="68">
        <v>580000</v>
      </c>
      <c r="E158" s="68">
        <v>350000</v>
      </c>
      <c r="F158" s="68"/>
      <c r="G158" s="68">
        <v>-350455.74</v>
      </c>
      <c r="H158" s="68"/>
      <c r="I158" s="68"/>
      <c r="J158" s="68"/>
      <c r="K158" s="68">
        <f t="shared" si="9"/>
        <v>-17400</v>
      </c>
      <c r="L158" s="68">
        <f t="shared" si="7"/>
        <v>212144.26</v>
      </c>
      <c r="M158" s="68"/>
      <c r="N158" s="69"/>
      <c r="O158" s="70">
        <v>1</v>
      </c>
      <c r="P158" s="71"/>
      <c r="Q158" s="72">
        <f t="shared" si="10"/>
        <v>212144.26</v>
      </c>
      <c r="R158" s="73"/>
      <c r="S158" s="73">
        <v>1916.66</v>
      </c>
      <c r="T158" s="74"/>
      <c r="U158" s="73">
        <f>S158*8%</f>
        <v>153.33280000000002</v>
      </c>
      <c r="V158" s="73"/>
      <c r="W158" s="73">
        <f t="shared" si="8"/>
        <v>1916.66</v>
      </c>
      <c r="X158" s="73"/>
      <c r="Y158" s="68"/>
      <c r="Z158" s="68"/>
      <c r="AA158" s="74"/>
      <c r="AB158" s="75" t="s">
        <v>159</v>
      </c>
      <c r="AC158" s="74"/>
    </row>
    <row r="159" spans="1:29" s="25" customFormat="1" x14ac:dyDescent="0.25">
      <c r="A159" s="61" t="s">
        <v>8</v>
      </c>
      <c r="B159" s="10" t="s">
        <v>92</v>
      </c>
      <c r="C159" s="10" t="s">
        <v>142</v>
      </c>
      <c r="D159" s="10">
        <v>350000</v>
      </c>
      <c r="E159" s="10">
        <v>263500</v>
      </c>
      <c r="F159" s="10"/>
      <c r="G159" s="10">
        <v>-270306.90000000002</v>
      </c>
      <c r="H159" s="10">
        <v>-175</v>
      </c>
      <c r="I159" s="10"/>
      <c r="J159" s="10"/>
      <c r="K159" s="10">
        <f t="shared" si="9"/>
        <v>-10500</v>
      </c>
      <c r="L159" s="10">
        <f t="shared" si="7"/>
        <v>69018.099999999977</v>
      </c>
      <c r="M159" s="10"/>
      <c r="N159" s="45"/>
      <c r="O159" s="46">
        <v>1</v>
      </c>
      <c r="P159" s="47"/>
      <c r="Q159" s="48">
        <f t="shared" si="10"/>
        <v>69018.099999999977</v>
      </c>
      <c r="R159" s="23"/>
      <c r="S159" s="23">
        <v>1100</v>
      </c>
      <c r="T159" s="25">
        <v>562.79999999999995</v>
      </c>
      <c r="U159" s="23">
        <f>S159*8%+369.41</f>
        <v>457.41</v>
      </c>
      <c r="V159" s="23"/>
      <c r="W159" s="23">
        <f t="shared" si="8"/>
        <v>1100</v>
      </c>
      <c r="X159" s="23"/>
      <c r="Y159" s="10"/>
      <c r="Z159" s="10"/>
      <c r="AB159" s="62" t="s">
        <v>173</v>
      </c>
    </row>
    <row r="160" spans="1:29" x14ac:dyDescent="0.25">
      <c r="A160" s="35" t="s">
        <v>8</v>
      </c>
      <c r="B160" s="2" t="s">
        <v>93</v>
      </c>
      <c r="C160" s="2" t="s">
        <v>142</v>
      </c>
      <c r="D160" s="2">
        <v>250000</v>
      </c>
      <c r="E160" s="2">
        <v>80000</v>
      </c>
      <c r="F160" s="2"/>
      <c r="G160" s="2">
        <v>-119354.69</v>
      </c>
      <c r="H160" s="2"/>
      <c r="I160" s="2">
        <v>-60000</v>
      </c>
      <c r="J160" s="2">
        <v>-30000</v>
      </c>
      <c r="K160" s="2">
        <f t="shared" si="9"/>
        <v>-7500</v>
      </c>
      <c r="L160" s="2">
        <f t="shared" si="7"/>
        <v>33145.31</v>
      </c>
      <c r="M160" s="2"/>
      <c r="N160" s="18"/>
      <c r="O160" s="15">
        <v>1</v>
      </c>
      <c r="P160" s="4"/>
      <c r="Q160" s="5">
        <f t="shared" si="10"/>
        <v>33145.31</v>
      </c>
      <c r="R160" s="23"/>
      <c r="S160" s="21">
        <v>500</v>
      </c>
      <c r="T160">
        <v>268.38</v>
      </c>
      <c r="U160" s="21">
        <f>S160*8%+161.98</f>
        <v>201.98</v>
      </c>
      <c r="V160" s="21"/>
      <c r="W160" s="21">
        <f t="shared" si="8"/>
        <v>500</v>
      </c>
      <c r="X160" s="21"/>
      <c r="Y160" s="2"/>
      <c r="Z160" s="2"/>
      <c r="AB160" s="31" t="s">
        <v>160</v>
      </c>
      <c r="AC160" t="s">
        <v>158</v>
      </c>
    </row>
    <row r="161" spans="1:29" s="25" customFormat="1" x14ac:dyDescent="0.25">
      <c r="A161" s="61" t="s">
        <v>8</v>
      </c>
      <c r="B161" s="10" t="s">
        <v>94</v>
      </c>
      <c r="C161" s="10" t="s">
        <v>142</v>
      </c>
      <c r="D161" s="10">
        <v>160000</v>
      </c>
      <c r="E161" s="10">
        <v>85000</v>
      </c>
      <c r="F161" s="10"/>
      <c r="G161" s="10">
        <v>-100400.1</v>
      </c>
      <c r="H161" s="10">
        <v>-175</v>
      </c>
      <c r="I161" s="10"/>
      <c r="J161" s="10"/>
      <c r="K161" s="10">
        <f t="shared" si="9"/>
        <v>-4800</v>
      </c>
      <c r="L161" s="10">
        <f t="shared" si="7"/>
        <v>54624.899999999994</v>
      </c>
      <c r="M161" s="10"/>
      <c r="N161" s="45"/>
      <c r="O161" s="46">
        <v>1</v>
      </c>
      <c r="P161" s="47"/>
      <c r="Q161" s="48">
        <f t="shared" si="10"/>
        <v>54624.899999999994</v>
      </c>
      <c r="R161" s="23"/>
      <c r="S161" s="23">
        <v>720</v>
      </c>
      <c r="T161" s="25">
        <v>208.81</v>
      </c>
      <c r="U161" s="23">
        <f>S161*8%+156.3</f>
        <v>213.9</v>
      </c>
      <c r="V161" s="23"/>
      <c r="W161" s="23">
        <f t="shared" si="8"/>
        <v>720</v>
      </c>
      <c r="X161" s="23"/>
      <c r="Y161" s="10"/>
      <c r="Z161" s="10"/>
      <c r="AB161" s="62" t="s">
        <v>173</v>
      </c>
    </row>
    <row r="162" spans="1:29" x14ac:dyDescent="0.25">
      <c r="A162" s="35" t="s">
        <v>8</v>
      </c>
      <c r="B162" s="2" t="s">
        <v>95</v>
      </c>
      <c r="C162" s="2" t="s">
        <v>142</v>
      </c>
      <c r="D162" s="2">
        <v>225000</v>
      </c>
      <c r="E162" s="2">
        <v>110000</v>
      </c>
      <c r="F162" s="2"/>
      <c r="G162" s="2">
        <v>-112254.36</v>
      </c>
      <c r="H162" s="2"/>
      <c r="I162" s="2">
        <v>-20000</v>
      </c>
      <c r="J162" s="2"/>
      <c r="K162" s="2">
        <f t="shared" si="9"/>
        <v>-6750</v>
      </c>
      <c r="L162" s="2">
        <f t="shared" si="7"/>
        <v>85995.64</v>
      </c>
      <c r="M162" s="2"/>
      <c r="N162" s="18"/>
      <c r="O162" s="15">
        <v>1</v>
      </c>
      <c r="P162" s="4"/>
      <c r="Q162" s="5">
        <f t="shared" si="10"/>
        <v>85995.64</v>
      </c>
      <c r="R162" s="23"/>
      <c r="S162" s="21">
        <v>750</v>
      </c>
      <c r="T162" s="25">
        <v>210.22</v>
      </c>
      <c r="U162" s="21">
        <f>S162*8%+149.2</f>
        <v>209.2</v>
      </c>
      <c r="V162" s="21"/>
      <c r="W162" s="21">
        <f t="shared" si="8"/>
        <v>750</v>
      </c>
      <c r="X162" s="21"/>
      <c r="Y162" s="2"/>
      <c r="Z162" s="2"/>
      <c r="AB162" s="31" t="s">
        <v>159</v>
      </c>
      <c r="AC162" t="s">
        <v>151</v>
      </c>
    </row>
    <row r="163" spans="1:29" s="25" customFormat="1" x14ac:dyDescent="0.25">
      <c r="A163" s="61" t="s">
        <v>8</v>
      </c>
      <c r="B163" s="10" t="s">
        <v>96</v>
      </c>
      <c r="C163" s="10" t="s">
        <v>142</v>
      </c>
      <c r="D163" s="10">
        <v>160000</v>
      </c>
      <c r="E163" s="10">
        <v>95000</v>
      </c>
      <c r="F163" s="10"/>
      <c r="G163" s="10">
        <v>-97582.71</v>
      </c>
      <c r="H163" s="10">
        <v>-175</v>
      </c>
      <c r="I163" s="10"/>
      <c r="J163" s="10"/>
      <c r="K163" s="10">
        <f t="shared" si="9"/>
        <v>-4800</v>
      </c>
      <c r="L163" s="10">
        <f t="shared" si="7"/>
        <v>57442.289999999994</v>
      </c>
      <c r="M163" s="10"/>
      <c r="N163" s="45"/>
      <c r="O163" s="46">
        <v>1</v>
      </c>
      <c r="P163" s="47"/>
      <c r="Q163" s="48">
        <f t="shared" si="10"/>
        <v>57442.289999999994</v>
      </c>
      <c r="R163" s="23"/>
      <c r="S163" s="23">
        <v>850</v>
      </c>
      <c r="T163" s="25">
        <v>202.94</v>
      </c>
      <c r="U163" s="23">
        <f>S163*8%+177.61</f>
        <v>245.61</v>
      </c>
      <c r="V163" s="23"/>
      <c r="W163" s="23">
        <f t="shared" si="8"/>
        <v>850</v>
      </c>
      <c r="X163" s="23"/>
      <c r="Y163" s="10"/>
      <c r="Z163" s="10"/>
      <c r="AB163" s="62" t="s">
        <v>173</v>
      </c>
    </row>
    <row r="164" spans="1:29" s="25" customFormat="1" x14ac:dyDescent="0.25">
      <c r="A164" s="61" t="s">
        <v>8</v>
      </c>
      <c r="B164" s="10" t="s">
        <v>97</v>
      </c>
      <c r="C164" s="10" t="s">
        <v>142</v>
      </c>
      <c r="D164" s="10">
        <v>240000</v>
      </c>
      <c r="E164" s="10">
        <v>125000</v>
      </c>
      <c r="F164" s="10"/>
      <c r="G164" s="10">
        <v>-119788.49</v>
      </c>
      <c r="H164" s="10">
        <v>-175</v>
      </c>
      <c r="I164" s="10"/>
      <c r="J164" s="10"/>
      <c r="K164" s="10">
        <f t="shared" si="9"/>
        <v>-7200</v>
      </c>
      <c r="L164" s="10">
        <f t="shared" si="7"/>
        <v>112836.51</v>
      </c>
      <c r="M164" s="10"/>
      <c r="N164" s="45"/>
      <c r="O164" s="46">
        <v>1</v>
      </c>
      <c r="P164" s="47"/>
      <c r="Q164" s="48">
        <f t="shared" si="10"/>
        <v>112836.51</v>
      </c>
      <c r="R164" s="23"/>
      <c r="S164" s="23">
        <v>840</v>
      </c>
      <c r="T164" s="25">
        <v>249.21</v>
      </c>
      <c r="U164" s="23">
        <f>S164*8%+213.13</f>
        <v>280.33</v>
      </c>
      <c r="V164" s="23"/>
      <c r="W164" s="23">
        <f t="shared" si="8"/>
        <v>840</v>
      </c>
      <c r="X164" s="23"/>
      <c r="Y164" s="10"/>
      <c r="Z164" s="10"/>
      <c r="AB164" s="62" t="s">
        <v>173</v>
      </c>
    </row>
    <row r="165" spans="1:29" s="25" customFormat="1" x14ac:dyDescent="0.25">
      <c r="A165" s="61" t="s">
        <v>8</v>
      </c>
      <c r="B165" s="10" t="s">
        <v>98</v>
      </c>
      <c r="C165" s="10" t="s">
        <v>142</v>
      </c>
      <c r="D165" s="10">
        <v>180000</v>
      </c>
      <c r="E165" s="10">
        <v>120000</v>
      </c>
      <c r="F165" s="10"/>
      <c r="G165" s="10">
        <v>-127969.41</v>
      </c>
      <c r="H165" s="10">
        <v>-175</v>
      </c>
      <c r="I165" s="10"/>
      <c r="J165" s="10"/>
      <c r="K165" s="10">
        <f t="shared" si="9"/>
        <v>-5400</v>
      </c>
      <c r="L165" s="10">
        <f t="shared" si="7"/>
        <v>46455.59</v>
      </c>
      <c r="M165" s="10"/>
      <c r="N165" s="45"/>
      <c r="O165" s="46">
        <v>1</v>
      </c>
      <c r="P165" s="47"/>
      <c r="Q165" s="48">
        <f t="shared" si="10"/>
        <v>46455.59</v>
      </c>
      <c r="R165" s="23"/>
      <c r="S165" s="23">
        <v>725</v>
      </c>
      <c r="T165" s="25">
        <v>265.75</v>
      </c>
      <c r="U165" s="23">
        <f>S165*8%+156.3</f>
        <v>214.3</v>
      </c>
      <c r="V165" s="23"/>
      <c r="W165" s="23">
        <f t="shared" si="8"/>
        <v>725</v>
      </c>
      <c r="X165" s="23"/>
      <c r="Y165" s="10"/>
      <c r="Z165" s="10"/>
      <c r="AB165" s="62" t="s">
        <v>173</v>
      </c>
    </row>
    <row r="166" spans="1:29" s="83" customFormat="1" x14ac:dyDescent="0.25">
      <c r="A166" s="76" t="s">
        <v>8</v>
      </c>
      <c r="B166" s="77" t="s">
        <v>99</v>
      </c>
      <c r="C166" s="77" t="s">
        <v>142</v>
      </c>
      <c r="D166" s="77">
        <v>250000</v>
      </c>
      <c r="E166" s="77">
        <v>118000</v>
      </c>
      <c r="F166" s="77"/>
      <c r="G166" s="77">
        <v>-126950</v>
      </c>
      <c r="H166" s="77"/>
      <c r="I166" s="77"/>
      <c r="J166" s="77">
        <v>-20000</v>
      </c>
      <c r="K166" s="77">
        <f t="shared" si="9"/>
        <v>-7500</v>
      </c>
      <c r="L166" s="77">
        <f t="shared" si="7"/>
        <v>95550</v>
      </c>
      <c r="M166" s="77"/>
      <c r="N166" s="78"/>
      <c r="O166" s="79">
        <v>1</v>
      </c>
      <c r="P166" s="80"/>
      <c r="Q166" s="81">
        <f t="shared" si="10"/>
        <v>95550</v>
      </c>
      <c r="R166" s="82"/>
      <c r="S166" s="82">
        <v>750</v>
      </c>
      <c r="T166" s="83">
        <v>374.6</v>
      </c>
      <c r="U166" s="82">
        <f>S166*8%+156.3</f>
        <v>216.3</v>
      </c>
      <c r="V166" s="82"/>
      <c r="W166" s="82">
        <f t="shared" si="8"/>
        <v>750</v>
      </c>
      <c r="X166" s="82"/>
      <c r="Y166" s="77"/>
      <c r="Z166" s="77"/>
      <c r="AB166" s="84" t="s">
        <v>205</v>
      </c>
      <c r="AC166" s="83" t="s">
        <v>153</v>
      </c>
    </row>
    <row r="167" spans="1:29" x14ac:dyDescent="0.25">
      <c r="A167" s="35" t="s">
        <v>8</v>
      </c>
      <c r="B167" s="2" t="s">
        <v>100</v>
      </c>
      <c r="C167" s="2" t="s">
        <v>142</v>
      </c>
      <c r="D167" s="2">
        <v>200000</v>
      </c>
      <c r="E167" s="2">
        <v>125000</v>
      </c>
      <c r="F167" s="2"/>
      <c r="G167" s="2">
        <v>-141492</v>
      </c>
      <c r="H167" s="2"/>
      <c r="I167" s="2"/>
      <c r="J167" s="2"/>
      <c r="K167" s="2">
        <f t="shared" si="9"/>
        <v>-6000</v>
      </c>
      <c r="L167" s="2">
        <f t="shared" si="7"/>
        <v>52508</v>
      </c>
      <c r="M167" s="2"/>
      <c r="N167" s="18"/>
      <c r="O167" s="15">
        <v>1</v>
      </c>
      <c r="P167" s="4"/>
      <c r="Q167" s="5">
        <f t="shared" si="10"/>
        <v>52508</v>
      </c>
      <c r="R167" s="23"/>
      <c r="S167" s="21">
        <v>800</v>
      </c>
      <c r="U167" s="23">
        <f>S167*8%+69.07</f>
        <v>133.07</v>
      </c>
      <c r="V167" s="21"/>
      <c r="W167" s="21">
        <f t="shared" si="8"/>
        <v>800</v>
      </c>
      <c r="X167" s="21"/>
      <c r="Y167" s="2"/>
      <c r="Z167" s="2"/>
      <c r="AB167" s="31" t="s">
        <v>168</v>
      </c>
    </row>
    <row r="168" spans="1:29" x14ac:dyDescent="0.25">
      <c r="A168" s="35" t="s">
        <v>8</v>
      </c>
      <c r="B168" s="2" t="s">
        <v>101</v>
      </c>
      <c r="C168" s="2" t="s">
        <v>142</v>
      </c>
      <c r="D168" s="2">
        <v>260000</v>
      </c>
      <c r="E168" s="2">
        <v>120000</v>
      </c>
      <c r="F168" s="2"/>
      <c r="G168" s="2">
        <v>-125321.08</v>
      </c>
      <c r="H168" s="2"/>
      <c r="I168" s="2"/>
      <c r="J168" s="2">
        <v>-50000</v>
      </c>
      <c r="K168" s="2">
        <f t="shared" si="9"/>
        <v>-7800</v>
      </c>
      <c r="L168" s="2">
        <f t="shared" si="7"/>
        <v>76878.919999999984</v>
      </c>
      <c r="M168" s="2"/>
      <c r="N168" s="18"/>
      <c r="O168" s="15">
        <v>1</v>
      </c>
      <c r="P168" s="4"/>
      <c r="Q168" s="5">
        <f t="shared" si="10"/>
        <v>76878.919999999984</v>
      </c>
      <c r="R168" s="23"/>
      <c r="S168" s="21">
        <v>795</v>
      </c>
      <c r="T168">
        <v>281.58999999999997</v>
      </c>
      <c r="U168" s="21">
        <f>S168*8%+159.14</f>
        <v>222.73999999999998</v>
      </c>
      <c r="V168" s="21"/>
      <c r="W168" s="21">
        <f t="shared" si="8"/>
        <v>795</v>
      </c>
      <c r="X168" s="21"/>
      <c r="Y168" s="2"/>
      <c r="Z168" s="2"/>
      <c r="AB168" s="31" t="s">
        <v>160</v>
      </c>
      <c r="AC168" t="s">
        <v>182</v>
      </c>
    </row>
    <row r="169" spans="1:29" s="25" customFormat="1" x14ac:dyDescent="0.25">
      <c r="A169" s="61" t="s">
        <v>8</v>
      </c>
      <c r="B169" s="10" t="s">
        <v>102</v>
      </c>
      <c r="C169" s="10" t="s">
        <v>142</v>
      </c>
      <c r="D169" s="10">
        <v>225000</v>
      </c>
      <c r="E169" s="10">
        <v>125000</v>
      </c>
      <c r="F169" s="10"/>
      <c r="G169" s="10">
        <v>-128526.39999999999</v>
      </c>
      <c r="H169" s="10">
        <v>-175</v>
      </c>
      <c r="I169" s="10"/>
      <c r="J169" s="10"/>
      <c r="K169" s="10">
        <f t="shared" si="9"/>
        <v>-6750</v>
      </c>
      <c r="L169" s="10">
        <f t="shared" si="7"/>
        <v>89548.6</v>
      </c>
      <c r="M169" s="10"/>
      <c r="N169" s="45"/>
      <c r="O169" s="46">
        <v>1</v>
      </c>
      <c r="P169" s="47"/>
      <c r="Q169" s="48">
        <f t="shared" si="10"/>
        <v>89548.6</v>
      </c>
      <c r="R169" s="23"/>
      <c r="S169" s="23">
        <v>795</v>
      </c>
      <c r="T169" s="25">
        <v>266.91000000000003</v>
      </c>
      <c r="U169" s="23">
        <f>S169*8%+156.3</f>
        <v>219.9</v>
      </c>
      <c r="V169" s="23"/>
      <c r="W169" s="23">
        <f t="shared" si="8"/>
        <v>795</v>
      </c>
      <c r="X169" s="23"/>
      <c r="Y169" s="10"/>
      <c r="Z169" s="10"/>
      <c r="AB169" s="62" t="s">
        <v>173</v>
      </c>
    </row>
    <row r="170" spans="1:29" s="25" customFormat="1" x14ac:dyDescent="0.25">
      <c r="A170" s="61" t="s">
        <v>8</v>
      </c>
      <c r="B170" s="10" t="s">
        <v>103</v>
      </c>
      <c r="C170" s="10" t="s">
        <v>142</v>
      </c>
      <c r="D170" s="10">
        <v>240000</v>
      </c>
      <c r="E170" s="10">
        <v>162000</v>
      </c>
      <c r="F170" s="10"/>
      <c r="G170" s="10">
        <v>-148360</v>
      </c>
      <c r="H170" s="10">
        <v>-250</v>
      </c>
      <c r="I170" s="10"/>
      <c r="J170" s="10"/>
      <c r="K170" s="10">
        <f t="shared" si="9"/>
        <v>-7200</v>
      </c>
      <c r="L170" s="10">
        <f t="shared" si="7"/>
        <v>84190</v>
      </c>
      <c r="M170" s="10"/>
      <c r="N170" s="45"/>
      <c r="O170" s="46">
        <v>1</v>
      </c>
      <c r="P170" s="47"/>
      <c r="Q170" s="48">
        <f t="shared" si="10"/>
        <v>84190</v>
      </c>
      <c r="R170" s="23"/>
      <c r="S170" s="23">
        <v>246.83</v>
      </c>
      <c r="T170" s="25">
        <v>308.55</v>
      </c>
      <c r="U170" s="23">
        <f>S170*8%+177.61</f>
        <v>197.35640000000001</v>
      </c>
      <c r="V170" s="23"/>
      <c r="W170" s="23">
        <f t="shared" ref="W170:W188" si="11">SUM(S170)</f>
        <v>246.83</v>
      </c>
      <c r="X170" s="23"/>
      <c r="Y170" s="10"/>
      <c r="Z170" s="10"/>
      <c r="AB170" s="62" t="s">
        <v>173</v>
      </c>
    </row>
    <row r="171" spans="1:29" s="83" customFormat="1" x14ac:dyDescent="0.25">
      <c r="A171" s="76" t="s">
        <v>8</v>
      </c>
      <c r="B171" s="77" t="s">
        <v>104</v>
      </c>
      <c r="C171" s="77" t="s">
        <v>142</v>
      </c>
      <c r="D171" s="77">
        <v>225000</v>
      </c>
      <c r="E171" s="77">
        <v>120000</v>
      </c>
      <c r="F171" s="77"/>
      <c r="G171" s="77">
        <v>-118467</v>
      </c>
      <c r="H171" s="77"/>
      <c r="I171" s="77">
        <v>-20000</v>
      </c>
      <c r="J171" s="77"/>
      <c r="K171" s="77">
        <f t="shared" ref="K171:K201" si="12">D171*-3%</f>
        <v>-6750</v>
      </c>
      <c r="L171" s="77">
        <f t="shared" si="7"/>
        <v>79783</v>
      </c>
      <c r="M171" s="77"/>
      <c r="N171" s="78"/>
      <c r="O171" s="79">
        <v>1</v>
      </c>
      <c r="P171" s="80"/>
      <c r="Q171" s="81">
        <f t="shared" si="10"/>
        <v>79783</v>
      </c>
      <c r="R171" s="82"/>
      <c r="S171" s="82">
        <v>795</v>
      </c>
      <c r="T171" s="83">
        <v>343.39</v>
      </c>
      <c r="U171" s="82">
        <f>S171*8%+170.51</f>
        <v>234.10999999999999</v>
      </c>
      <c r="V171" s="82"/>
      <c r="W171" s="82">
        <f t="shared" si="11"/>
        <v>795</v>
      </c>
      <c r="X171" s="82"/>
      <c r="Y171" s="77"/>
      <c r="Z171" s="77"/>
      <c r="AB171" s="84" t="s">
        <v>205</v>
      </c>
      <c r="AC171" s="83" t="s">
        <v>156</v>
      </c>
    </row>
    <row r="172" spans="1:29" s="83" customFormat="1" x14ac:dyDescent="0.25">
      <c r="A172" s="76" t="s">
        <v>8</v>
      </c>
      <c r="B172" s="77" t="s">
        <v>105</v>
      </c>
      <c r="C172" s="77" t="s">
        <v>142</v>
      </c>
      <c r="D172" s="77">
        <v>560000</v>
      </c>
      <c r="E172" s="77">
        <v>170000</v>
      </c>
      <c r="F172" s="77"/>
      <c r="G172" s="77">
        <v>-118257.34</v>
      </c>
      <c r="H172" s="77">
        <v>-134</v>
      </c>
      <c r="I172" s="77">
        <v>-180000</v>
      </c>
      <c r="J172" s="77"/>
      <c r="K172" s="77">
        <f t="shared" si="12"/>
        <v>-16800</v>
      </c>
      <c r="L172" s="77">
        <f t="shared" si="7"/>
        <v>244808.66000000003</v>
      </c>
      <c r="M172" s="77"/>
      <c r="N172" s="78"/>
      <c r="O172" s="79">
        <v>1</v>
      </c>
      <c r="P172" s="80"/>
      <c r="Q172" s="81">
        <f t="shared" si="10"/>
        <v>244808.66000000003</v>
      </c>
      <c r="R172" s="82"/>
      <c r="S172" s="82">
        <v>2780</v>
      </c>
      <c r="T172" s="83">
        <v>1105.22</v>
      </c>
      <c r="U172" s="82">
        <f>S172*8%+473.6+100</f>
        <v>796</v>
      </c>
      <c r="V172" s="82"/>
      <c r="W172" s="82">
        <f t="shared" si="11"/>
        <v>2780</v>
      </c>
      <c r="X172" s="82"/>
      <c r="Y172" s="77"/>
      <c r="Z172" s="77">
        <v>215283.37</v>
      </c>
      <c r="AB172" s="84" t="s">
        <v>206</v>
      </c>
      <c r="AC172" s="83" t="s">
        <v>152</v>
      </c>
    </row>
    <row r="173" spans="1:29" s="25" customFormat="1" x14ac:dyDescent="0.25">
      <c r="A173" s="61" t="s">
        <v>8</v>
      </c>
      <c r="B173" s="10" t="s">
        <v>106</v>
      </c>
      <c r="C173" s="10" t="s">
        <v>142</v>
      </c>
      <c r="D173" s="10">
        <v>195000</v>
      </c>
      <c r="E173" s="10">
        <v>120000</v>
      </c>
      <c r="F173" s="10"/>
      <c r="G173" s="10">
        <v>-123441.41</v>
      </c>
      <c r="H173" s="10">
        <v>-175</v>
      </c>
      <c r="I173" s="10"/>
      <c r="J173" s="10"/>
      <c r="K173" s="10">
        <f t="shared" si="12"/>
        <v>-5850</v>
      </c>
      <c r="L173" s="10">
        <f t="shared" si="7"/>
        <v>65533.59</v>
      </c>
      <c r="M173" s="10"/>
      <c r="N173" s="45"/>
      <c r="O173" s="46">
        <v>1</v>
      </c>
      <c r="P173" s="47"/>
      <c r="Q173" s="48">
        <f t="shared" si="10"/>
        <v>65533.59</v>
      </c>
      <c r="R173" s="23"/>
      <c r="S173" s="23">
        <v>795</v>
      </c>
      <c r="T173" s="25">
        <v>256.82</v>
      </c>
      <c r="U173" s="23">
        <f>S173*8%+170.51</f>
        <v>234.10999999999999</v>
      </c>
      <c r="V173" s="23"/>
      <c r="W173" s="23">
        <f t="shared" si="11"/>
        <v>795</v>
      </c>
      <c r="X173" s="23"/>
      <c r="Y173" s="10"/>
      <c r="Z173" s="10"/>
      <c r="AB173" s="62" t="s">
        <v>173</v>
      </c>
    </row>
    <row r="174" spans="1:29" s="25" customFormat="1" x14ac:dyDescent="0.25">
      <c r="A174" s="61" t="s">
        <v>8</v>
      </c>
      <c r="B174" s="10" t="s">
        <v>107</v>
      </c>
      <c r="C174" s="10" t="s">
        <v>142</v>
      </c>
      <c r="D174" s="10">
        <v>150000</v>
      </c>
      <c r="E174" s="10">
        <v>105000</v>
      </c>
      <c r="F174" s="10"/>
      <c r="G174" s="10">
        <v>-109120.07</v>
      </c>
      <c r="H174" s="10">
        <v>-175</v>
      </c>
      <c r="I174" s="10"/>
      <c r="J174" s="10"/>
      <c r="K174" s="10">
        <f t="shared" si="12"/>
        <v>-4500</v>
      </c>
      <c r="L174" s="10">
        <f t="shared" si="7"/>
        <v>36204.929999999993</v>
      </c>
      <c r="M174" s="10"/>
      <c r="N174" s="45"/>
      <c r="O174" s="46">
        <v>1</v>
      </c>
      <c r="P174" s="47"/>
      <c r="Q174" s="48">
        <f t="shared" si="10"/>
        <v>36204.929999999993</v>
      </c>
      <c r="R174" s="23"/>
      <c r="S174" s="23">
        <v>585</v>
      </c>
      <c r="T174" s="25">
        <v>226.98</v>
      </c>
      <c r="U174" s="23">
        <f>S174*8%+82.41</f>
        <v>129.21</v>
      </c>
      <c r="V174" s="23"/>
      <c r="W174" s="23">
        <f t="shared" si="11"/>
        <v>585</v>
      </c>
      <c r="X174" s="23"/>
      <c r="Y174" s="10"/>
      <c r="Z174" s="10"/>
      <c r="AB174" s="62" t="s">
        <v>173</v>
      </c>
    </row>
    <row r="175" spans="1:29" s="25" customFormat="1" x14ac:dyDescent="0.25">
      <c r="A175" s="61" t="s">
        <v>8</v>
      </c>
      <c r="B175" s="10" t="s">
        <v>108</v>
      </c>
      <c r="C175" s="10" t="s">
        <v>142</v>
      </c>
      <c r="D175" s="10">
        <v>160000</v>
      </c>
      <c r="E175" s="10">
        <v>110000</v>
      </c>
      <c r="F175" s="10"/>
      <c r="G175" s="10">
        <v>-95128.8</v>
      </c>
      <c r="H175" s="10">
        <v>-175</v>
      </c>
      <c r="I175" s="10"/>
      <c r="J175" s="10"/>
      <c r="K175" s="10">
        <f t="shared" si="12"/>
        <v>-4800</v>
      </c>
      <c r="L175" s="10">
        <f t="shared" si="7"/>
        <v>59896.2</v>
      </c>
      <c r="M175" s="10"/>
      <c r="N175" s="45"/>
      <c r="O175" s="46">
        <v>1</v>
      </c>
      <c r="P175" s="47"/>
      <c r="Q175" s="48">
        <f t="shared" si="10"/>
        <v>59896.2</v>
      </c>
      <c r="R175" s="23"/>
      <c r="S175" s="23">
        <v>795</v>
      </c>
      <c r="T175" s="25">
        <v>197.83</v>
      </c>
      <c r="U175" s="23">
        <f>S175*8%+167.67</f>
        <v>231.26999999999998</v>
      </c>
      <c r="V175" s="23"/>
      <c r="W175" s="23">
        <f t="shared" si="11"/>
        <v>795</v>
      </c>
      <c r="X175" s="23"/>
      <c r="Y175" s="10"/>
      <c r="Z175" s="10"/>
      <c r="AB175" s="62" t="s">
        <v>173</v>
      </c>
    </row>
    <row r="176" spans="1:29" x14ac:dyDescent="0.25">
      <c r="A176" s="35" t="s">
        <v>8</v>
      </c>
      <c r="B176" s="2" t="s">
        <v>109</v>
      </c>
      <c r="C176" s="2" t="s">
        <v>142</v>
      </c>
      <c r="D176" s="2">
        <v>265000</v>
      </c>
      <c r="E176" s="2">
        <v>100000</v>
      </c>
      <c r="F176" s="2"/>
      <c r="G176" s="2">
        <v>-121429.81</v>
      </c>
      <c r="H176" s="2"/>
      <c r="I176" s="2"/>
      <c r="J176" s="2"/>
      <c r="K176" s="2">
        <f t="shared" si="12"/>
        <v>-7950</v>
      </c>
      <c r="L176" s="2">
        <f t="shared" si="7"/>
        <v>135620.19</v>
      </c>
      <c r="M176" s="2"/>
      <c r="N176" s="18"/>
      <c r="O176" s="15">
        <v>1</v>
      </c>
      <c r="P176" s="4"/>
      <c r="Q176" s="5">
        <f t="shared" si="10"/>
        <v>135620.19</v>
      </c>
      <c r="R176" s="23"/>
      <c r="S176" s="21">
        <v>825</v>
      </c>
      <c r="T176" s="25">
        <v>197.1</v>
      </c>
      <c r="U176" s="21">
        <f>S176*8%+184.71</f>
        <v>250.71</v>
      </c>
      <c r="V176" s="21"/>
      <c r="W176" s="21">
        <f t="shared" si="11"/>
        <v>825</v>
      </c>
      <c r="X176" s="21"/>
      <c r="Y176" s="2"/>
      <c r="Z176" s="2"/>
      <c r="AB176" s="31" t="s">
        <v>159</v>
      </c>
    </row>
    <row r="177" spans="1:29" x14ac:dyDescent="0.25">
      <c r="A177" s="35" t="s">
        <v>8</v>
      </c>
      <c r="B177" s="2" t="s">
        <v>110</v>
      </c>
      <c r="C177" s="2" t="s">
        <v>142</v>
      </c>
      <c r="D177" s="2">
        <v>160000</v>
      </c>
      <c r="E177" s="2">
        <v>85000</v>
      </c>
      <c r="F177" s="2"/>
      <c r="G177" s="2">
        <v>-99925.23</v>
      </c>
      <c r="H177" s="2">
        <v>-175</v>
      </c>
      <c r="I177" s="2"/>
      <c r="J177" s="2"/>
      <c r="K177" s="2">
        <f t="shared" si="12"/>
        <v>-4800</v>
      </c>
      <c r="L177" s="2">
        <f t="shared" si="7"/>
        <v>55099.770000000004</v>
      </c>
      <c r="M177" s="2"/>
      <c r="N177" s="18"/>
      <c r="O177" s="15">
        <v>1</v>
      </c>
      <c r="P177" s="4"/>
      <c r="Q177" s="5">
        <f t="shared" si="10"/>
        <v>55099.770000000004</v>
      </c>
      <c r="R177" s="23"/>
      <c r="S177" s="21">
        <v>725</v>
      </c>
      <c r="T177">
        <v>207.8</v>
      </c>
      <c r="U177" s="21">
        <f>S177*8%+166.25</f>
        <v>224.25</v>
      </c>
      <c r="V177" s="21"/>
      <c r="W177" s="21">
        <f t="shared" si="11"/>
        <v>725</v>
      </c>
      <c r="X177" s="21"/>
      <c r="Y177" s="2"/>
      <c r="Z177" s="2"/>
      <c r="AB177" s="31" t="s">
        <v>159</v>
      </c>
    </row>
    <row r="178" spans="1:29" s="25" customFormat="1" x14ac:dyDescent="0.25">
      <c r="A178" s="61" t="s">
        <v>8</v>
      </c>
      <c r="B178" s="10" t="s">
        <v>111</v>
      </c>
      <c r="C178" s="10" t="s">
        <v>142</v>
      </c>
      <c r="D178" s="10">
        <v>250000</v>
      </c>
      <c r="E178" s="10">
        <v>150000</v>
      </c>
      <c r="F178" s="10"/>
      <c r="G178" s="10">
        <v>-119460.82</v>
      </c>
      <c r="H178" s="10">
        <v>-134</v>
      </c>
      <c r="I178" s="10">
        <v>-30000</v>
      </c>
      <c r="J178" s="10"/>
      <c r="K178" s="10">
        <f t="shared" si="12"/>
        <v>-7500</v>
      </c>
      <c r="L178" s="10">
        <f t="shared" si="7"/>
        <v>92905.18</v>
      </c>
      <c r="M178" s="10"/>
      <c r="N178" s="45"/>
      <c r="O178" s="46">
        <v>1</v>
      </c>
      <c r="P178" s="47"/>
      <c r="Q178" s="48">
        <f t="shared" si="10"/>
        <v>92905.18</v>
      </c>
      <c r="R178" s="23"/>
      <c r="S178" s="23">
        <v>850</v>
      </c>
      <c r="U178" s="23">
        <f>S178*8%+198.92</f>
        <v>266.91999999999996</v>
      </c>
      <c r="V178" s="23"/>
      <c r="W178" s="23">
        <f t="shared" si="11"/>
        <v>850</v>
      </c>
      <c r="X178" s="23"/>
      <c r="Y178" s="10"/>
      <c r="Z178" s="10"/>
      <c r="AB178" s="62" t="s">
        <v>169</v>
      </c>
      <c r="AC178" s="25" t="s">
        <v>148</v>
      </c>
    </row>
    <row r="179" spans="1:29" x14ac:dyDescent="0.25">
      <c r="A179" s="35" t="s">
        <v>8</v>
      </c>
      <c r="B179" s="2" t="s">
        <v>112</v>
      </c>
      <c r="C179" s="2" t="s">
        <v>142</v>
      </c>
      <c r="D179" s="2">
        <v>400000</v>
      </c>
      <c r="E179" s="2">
        <v>290000</v>
      </c>
      <c r="F179" s="2"/>
      <c r="G179" s="2">
        <v>-246683.03</v>
      </c>
      <c r="H179" s="2"/>
      <c r="I179" s="2"/>
      <c r="J179" s="2"/>
      <c r="K179" s="2">
        <f t="shared" si="12"/>
        <v>-12000</v>
      </c>
      <c r="L179" s="2">
        <f t="shared" si="7"/>
        <v>141316.97</v>
      </c>
      <c r="M179" s="2"/>
      <c r="N179" s="18"/>
      <c r="O179" s="15">
        <v>1</v>
      </c>
      <c r="P179" s="4"/>
      <c r="Q179" s="5">
        <f t="shared" si="10"/>
        <v>141316.97</v>
      </c>
      <c r="R179" s="23"/>
      <c r="S179" s="21">
        <v>810</v>
      </c>
      <c r="U179" s="21">
        <f>S179*8%+326.79</f>
        <v>391.59000000000003</v>
      </c>
      <c r="V179" s="21"/>
      <c r="W179" s="21">
        <f t="shared" si="11"/>
        <v>810</v>
      </c>
      <c r="X179" s="21"/>
      <c r="Y179" s="2"/>
      <c r="Z179" s="2"/>
      <c r="AB179" s="31" t="s">
        <v>160</v>
      </c>
    </row>
    <row r="180" spans="1:29" x14ac:dyDescent="0.25">
      <c r="A180" s="35" t="s">
        <v>8</v>
      </c>
      <c r="B180" s="2" t="s">
        <v>113</v>
      </c>
      <c r="C180" s="2" t="s">
        <v>142</v>
      </c>
      <c r="D180" s="2">
        <v>160000</v>
      </c>
      <c r="E180" s="2">
        <v>91000</v>
      </c>
      <c r="F180" s="2"/>
      <c r="G180" s="2">
        <v>-85504.11</v>
      </c>
      <c r="H180" s="2"/>
      <c r="I180" s="2"/>
      <c r="J180" s="2"/>
      <c r="K180" s="2">
        <f t="shared" si="12"/>
        <v>-4800</v>
      </c>
      <c r="L180" s="2">
        <f t="shared" si="7"/>
        <v>69695.89</v>
      </c>
      <c r="M180" s="2"/>
      <c r="N180" s="18"/>
      <c r="O180" s="15">
        <v>0.5</v>
      </c>
      <c r="P180" s="4"/>
      <c r="Q180" s="5">
        <f t="shared" si="10"/>
        <v>34847.945</v>
      </c>
      <c r="R180" s="23"/>
      <c r="S180" s="21">
        <v>795</v>
      </c>
      <c r="U180" s="23">
        <f>S180*8%+157.81</f>
        <v>221.41</v>
      </c>
      <c r="V180" s="21"/>
      <c r="W180" s="21">
        <f t="shared" si="11"/>
        <v>795</v>
      </c>
      <c r="X180" s="21"/>
      <c r="Y180" s="2"/>
      <c r="Z180" s="2"/>
      <c r="AB180" s="31" t="s">
        <v>159</v>
      </c>
    </row>
    <row r="181" spans="1:29" x14ac:dyDescent="0.25">
      <c r="A181" s="35" t="s">
        <v>8</v>
      </c>
      <c r="B181" s="2" t="s">
        <v>114</v>
      </c>
      <c r="C181" s="2" t="s">
        <v>142</v>
      </c>
      <c r="D181" s="2">
        <v>220000</v>
      </c>
      <c r="E181" s="2">
        <v>120000</v>
      </c>
      <c r="F181" s="2"/>
      <c r="G181" s="2">
        <v>-123531</v>
      </c>
      <c r="H181" s="2">
        <v>-175</v>
      </c>
      <c r="I181" s="2"/>
      <c r="J181" s="2"/>
      <c r="K181" s="2">
        <f t="shared" si="12"/>
        <v>-6600</v>
      </c>
      <c r="L181" s="2">
        <f t="shared" si="7"/>
        <v>89694</v>
      </c>
      <c r="M181" s="2"/>
      <c r="N181" s="18"/>
      <c r="O181" s="15">
        <v>0.5</v>
      </c>
      <c r="P181" s="4"/>
      <c r="Q181" s="5">
        <f t="shared" si="10"/>
        <v>44847</v>
      </c>
      <c r="R181" s="23"/>
      <c r="S181" s="21">
        <v>795</v>
      </c>
      <c r="T181">
        <v>256.98</v>
      </c>
      <c r="U181" s="23">
        <f>S181*8%+146.83</f>
        <v>210.43</v>
      </c>
      <c r="V181" s="21"/>
      <c r="W181" s="21">
        <f t="shared" si="11"/>
        <v>795</v>
      </c>
      <c r="X181" s="21"/>
      <c r="Y181" s="2"/>
      <c r="Z181" s="2"/>
      <c r="AB181" s="31" t="s">
        <v>159</v>
      </c>
    </row>
    <row r="182" spans="1:29" x14ac:dyDescent="0.25">
      <c r="A182" s="35" t="s">
        <v>8</v>
      </c>
      <c r="B182" s="2" t="s">
        <v>115</v>
      </c>
      <c r="C182" s="2" t="s">
        <v>142</v>
      </c>
      <c r="D182" s="2">
        <v>155000</v>
      </c>
      <c r="E182" s="2">
        <v>85500</v>
      </c>
      <c r="F182" s="2"/>
      <c r="G182" s="2">
        <v>-103228</v>
      </c>
      <c r="H182" s="2">
        <v>-175</v>
      </c>
      <c r="I182" s="2"/>
      <c r="J182" s="2"/>
      <c r="K182" s="2">
        <f t="shared" si="12"/>
        <v>-4650</v>
      </c>
      <c r="L182" s="2">
        <f t="shared" si="7"/>
        <v>46947</v>
      </c>
      <c r="M182" s="2"/>
      <c r="N182" s="18"/>
      <c r="O182" s="15">
        <v>0.5</v>
      </c>
      <c r="P182" s="4"/>
      <c r="Q182" s="5">
        <f t="shared" si="10"/>
        <v>23473.5</v>
      </c>
      <c r="R182" s="23"/>
      <c r="S182" s="21">
        <v>750</v>
      </c>
      <c r="T182">
        <v>214.76</v>
      </c>
      <c r="U182" s="23">
        <f>S182*8%+189.38</f>
        <v>249.38</v>
      </c>
      <c r="V182" s="21"/>
      <c r="W182" s="21">
        <f t="shared" si="11"/>
        <v>750</v>
      </c>
      <c r="X182" s="21"/>
      <c r="Y182" s="2"/>
      <c r="Z182" s="2"/>
      <c r="AB182" s="31" t="s">
        <v>159</v>
      </c>
    </row>
    <row r="183" spans="1:29" x14ac:dyDescent="0.25">
      <c r="A183" s="35" t="s">
        <v>8</v>
      </c>
      <c r="B183" s="2" t="s">
        <v>116</v>
      </c>
      <c r="C183" s="2" t="s">
        <v>142</v>
      </c>
      <c r="D183" s="2">
        <v>220000</v>
      </c>
      <c r="E183" s="2">
        <v>130000</v>
      </c>
      <c r="F183" s="2"/>
      <c r="G183" s="2">
        <v>-126492.59</v>
      </c>
      <c r="H183" s="2">
        <v>-175</v>
      </c>
      <c r="I183" s="2"/>
      <c r="J183" s="2"/>
      <c r="K183" s="2">
        <f t="shared" si="12"/>
        <v>-6600</v>
      </c>
      <c r="L183" s="2">
        <f t="shared" si="7"/>
        <v>86732.41</v>
      </c>
      <c r="M183" s="2"/>
      <c r="N183" s="18"/>
      <c r="O183" s="15">
        <v>0.5</v>
      </c>
      <c r="P183" s="4"/>
      <c r="Q183" s="5">
        <f t="shared" si="10"/>
        <v>43366.205000000002</v>
      </c>
      <c r="R183" s="23"/>
      <c r="S183" s="21">
        <v>795</v>
      </c>
      <c r="T183">
        <v>236.92</v>
      </c>
      <c r="U183" s="23">
        <f>S183*8%+161.83</f>
        <v>225.43</v>
      </c>
      <c r="V183" s="21"/>
      <c r="W183" s="21">
        <f t="shared" si="11"/>
        <v>795</v>
      </c>
      <c r="X183" s="21"/>
      <c r="Y183" s="2"/>
      <c r="Z183" s="2"/>
      <c r="AB183" s="31" t="s">
        <v>160</v>
      </c>
    </row>
    <row r="184" spans="1:29" x14ac:dyDescent="0.25">
      <c r="A184" s="35" t="s">
        <v>8</v>
      </c>
      <c r="B184" s="2" t="s">
        <v>117</v>
      </c>
      <c r="C184" s="2" t="s">
        <v>142</v>
      </c>
      <c r="D184" s="2">
        <v>195000</v>
      </c>
      <c r="E184" s="2">
        <v>124950</v>
      </c>
      <c r="F184" s="2"/>
      <c r="G184" s="2">
        <v>-106808.15</v>
      </c>
      <c r="H184" s="2"/>
      <c r="I184" s="2"/>
      <c r="J184" s="2"/>
      <c r="K184" s="2">
        <f t="shared" si="12"/>
        <v>-5850</v>
      </c>
      <c r="L184" s="2">
        <f t="shared" si="7"/>
        <v>82341.850000000006</v>
      </c>
      <c r="M184" s="2"/>
      <c r="N184" s="18"/>
      <c r="O184" s="15">
        <v>0.5</v>
      </c>
      <c r="P184" s="4"/>
      <c r="Q184" s="5">
        <f t="shared" si="10"/>
        <v>41170.925000000003</v>
      </c>
      <c r="R184" s="23"/>
      <c r="S184" s="21">
        <v>795</v>
      </c>
      <c r="U184" s="23">
        <f>S184*8%+161.83</f>
        <v>225.43</v>
      </c>
      <c r="V184" s="21"/>
      <c r="W184" s="21">
        <f t="shared" si="11"/>
        <v>795</v>
      </c>
      <c r="X184" s="21"/>
      <c r="Y184" s="2"/>
      <c r="Z184" s="2"/>
      <c r="AB184" s="31" t="s">
        <v>159</v>
      </c>
    </row>
    <row r="185" spans="1:29" x14ac:dyDescent="0.25">
      <c r="A185" s="35" t="s">
        <v>8</v>
      </c>
      <c r="B185" s="2" t="s">
        <v>172</v>
      </c>
      <c r="C185" s="2" t="s">
        <v>142</v>
      </c>
      <c r="D185" s="2">
        <v>160000</v>
      </c>
      <c r="E185" s="2">
        <v>89000</v>
      </c>
      <c r="F185" s="2"/>
      <c r="G185" s="2">
        <v>-110816.99</v>
      </c>
      <c r="H185" s="2">
        <v>-175</v>
      </c>
      <c r="I185" s="2"/>
      <c r="J185" s="2"/>
      <c r="K185" s="2">
        <f t="shared" si="12"/>
        <v>-4800</v>
      </c>
      <c r="L185" s="2">
        <f t="shared" si="7"/>
        <v>44208.009999999995</v>
      </c>
      <c r="M185" s="2"/>
      <c r="N185" s="18"/>
      <c r="O185" s="15">
        <v>0.5</v>
      </c>
      <c r="P185" s="4"/>
      <c r="Q185" s="5">
        <f t="shared" si="10"/>
        <v>22104.004999999997</v>
      </c>
      <c r="R185" s="23"/>
      <c r="S185" s="21">
        <v>750</v>
      </c>
      <c r="T185">
        <v>175.19</v>
      </c>
      <c r="U185" s="32">
        <f t="shared" ref="U185" si="13">S185*8%</f>
        <v>60</v>
      </c>
      <c r="V185" s="21"/>
      <c r="W185" s="21">
        <f t="shared" si="11"/>
        <v>750</v>
      </c>
      <c r="X185" s="21"/>
      <c r="Y185" s="2"/>
      <c r="Z185" s="2"/>
      <c r="AB185" s="31" t="s">
        <v>159</v>
      </c>
    </row>
    <row r="186" spans="1:29" x14ac:dyDescent="0.25">
      <c r="A186" s="35" t="s">
        <v>8</v>
      </c>
      <c r="B186" s="2" t="s">
        <v>118</v>
      </c>
      <c r="C186" s="2" t="s">
        <v>142</v>
      </c>
      <c r="D186" s="2">
        <v>240000</v>
      </c>
      <c r="E186" s="2">
        <v>120000</v>
      </c>
      <c r="F186" s="2"/>
      <c r="G186" s="2">
        <v>-124065</v>
      </c>
      <c r="H186" s="2"/>
      <c r="I186" s="2"/>
      <c r="J186" s="2"/>
      <c r="K186" s="2">
        <f t="shared" si="12"/>
        <v>-7200</v>
      </c>
      <c r="L186" s="2">
        <f t="shared" si="7"/>
        <v>108735</v>
      </c>
      <c r="M186" s="2"/>
      <c r="N186" s="18"/>
      <c r="O186" s="15">
        <v>0.5</v>
      </c>
      <c r="P186" s="4"/>
      <c r="Q186" s="5">
        <f t="shared" si="10"/>
        <v>54367.5</v>
      </c>
      <c r="R186" s="23"/>
      <c r="S186" s="21">
        <v>795</v>
      </c>
      <c r="T186">
        <v>278.83</v>
      </c>
      <c r="U186" s="23">
        <f>S186*8%+157.81</f>
        <v>221.41</v>
      </c>
      <c r="V186" s="21"/>
      <c r="W186" s="21">
        <f t="shared" si="11"/>
        <v>795</v>
      </c>
      <c r="X186" s="21"/>
      <c r="Y186" s="2"/>
      <c r="Z186" s="2"/>
      <c r="AB186" s="31" t="s">
        <v>160</v>
      </c>
    </row>
    <row r="187" spans="1:29" x14ac:dyDescent="0.25">
      <c r="A187" s="35" t="s">
        <v>8</v>
      </c>
      <c r="B187" s="2" t="s">
        <v>119</v>
      </c>
      <c r="C187" s="2" t="s">
        <v>142</v>
      </c>
      <c r="D187" s="2">
        <v>185000</v>
      </c>
      <c r="E187" s="2">
        <v>110250</v>
      </c>
      <c r="F187" s="2"/>
      <c r="G187" s="2">
        <v>-102131</v>
      </c>
      <c r="H187" s="2"/>
      <c r="I187" s="2"/>
      <c r="J187" s="2"/>
      <c r="K187" s="2">
        <f t="shared" si="12"/>
        <v>-5550</v>
      </c>
      <c r="L187" s="2">
        <f t="shared" si="7"/>
        <v>77319</v>
      </c>
      <c r="M187" s="2"/>
      <c r="N187" s="18"/>
      <c r="O187" s="15">
        <v>0.5</v>
      </c>
      <c r="P187" s="4"/>
      <c r="Q187" s="5">
        <f t="shared" si="10"/>
        <v>38659.5</v>
      </c>
      <c r="R187" s="23"/>
      <c r="S187" s="21">
        <v>1245</v>
      </c>
      <c r="U187" s="32">
        <f>S187*8%+92.63</f>
        <v>192.23000000000002</v>
      </c>
      <c r="V187" s="21"/>
      <c r="W187" s="21">
        <f t="shared" si="11"/>
        <v>1245</v>
      </c>
      <c r="X187" s="21"/>
      <c r="Y187" s="2"/>
      <c r="Z187" s="2"/>
      <c r="AB187" s="31" t="s">
        <v>160</v>
      </c>
    </row>
    <row r="188" spans="1:29" x14ac:dyDescent="0.25">
      <c r="A188" s="35" t="s">
        <v>8</v>
      </c>
      <c r="B188" s="2" t="s">
        <v>120</v>
      </c>
      <c r="C188" s="2" t="s">
        <v>142</v>
      </c>
      <c r="D188" s="2">
        <v>222000</v>
      </c>
      <c r="E188" s="2">
        <v>125000</v>
      </c>
      <c r="F188" s="2"/>
      <c r="G188" s="2">
        <v>-125317</v>
      </c>
      <c r="H188" s="2">
        <v>-175</v>
      </c>
      <c r="I188" s="2"/>
      <c r="J188" s="2"/>
      <c r="K188" s="2">
        <f t="shared" si="12"/>
        <v>-6660</v>
      </c>
      <c r="L188" s="2">
        <f t="shared" si="7"/>
        <v>89848</v>
      </c>
      <c r="M188" s="2"/>
      <c r="N188" s="18"/>
      <c r="O188" s="15">
        <v>0.5</v>
      </c>
      <c r="P188" s="4"/>
      <c r="Q188" s="5">
        <f t="shared" si="10"/>
        <v>44924</v>
      </c>
      <c r="R188" s="23"/>
      <c r="S188" s="21">
        <v>1300</v>
      </c>
      <c r="T188">
        <v>260.7</v>
      </c>
      <c r="U188" s="32">
        <f>S188*8%+529.12+164.67</f>
        <v>797.79</v>
      </c>
      <c r="V188" s="21"/>
      <c r="W188" s="21">
        <f t="shared" si="11"/>
        <v>1300</v>
      </c>
      <c r="X188" s="21"/>
      <c r="Y188" s="2"/>
      <c r="Z188" s="2"/>
      <c r="AB188" s="31" t="s">
        <v>159</v>
      </c>
    </row>
    <row r="189" spans="1:29" s="56" customFormat="1" x14ac:dyDescent="0.25">
      <c r="A189" s="35" t="s">
        <v>8</v>
      </c>
      <c r="B189" s="50" t="s">
        <v>121</v>
      </c>
      <c r="C189" s="50" t="s">
        <v>175</v>
      </c>
      <c r="D189" s="50">
        <v>55000</v>
      </c>
      <c r="E189" s="50">
        <v>86500</v>
      </c>
      <c r="F189" s="50"/>
      <c r="G189" s="50">
        <v>-51843.89</v>
      </c>
      <c r="H189" s="50"/>
      <c r="I189" s="50"/>
      <c r="J189" s="50"/>
      <c r="K189" s="50"/>
      <c r="L189" s="58">
        <f t="shared" ref="L189:L201" si="14">D189+F189+G189+H189+I189+J189+K189</f>
        <v>3156.1100000000006</v>
      </c>
      <c r="M189" s="50"/>
      <c r="N189" s="51"/>
      <c r="O189" s="52">
        <v>0.33329999999999999</v>
      </c>
      <c r="P189" s="53"/>
      <c r="Q189" s="54">
        <f t="shared" si="10"/>
        <v>1051.9314630000001</v>
      </c>
      <c r="R189" s="55"/>
      <c r="S189" s="55"/>
      <c r="U189" s="55">
        <v>230.04</v>
      </c>
      <c r="V189" s="55"/>
      <c r="W189" s="55"/>
      <c r="X189" s="55"/>
      <c r="Y189" s="50"/>
      <c r="Z189" s="50"/>
      <c r="AB189" s="57" t="s">
        <v>160</v>
      </c>
    </row>
    <row r="190" spans="1:29" s="56" customFormat="1" x14ac:dyDescent="0.25">
      <c r="A190" s="35" t="s">
        <v>8</v>
      </c>
      <c r="B190" s="50" t="s">
        <v>122</v>
      </c>
      <c r="C190" s="50" t="s">
        <v>175</v>
      </c>
      <c r="D190" s="50">
        <v>190000</v>
      </c>
      <c r="E190" s="50">
        <v>102000</v>
      </c>
      <c r="F190" s="50"/>
      <c r="G190" s="50">
        <v>-124066</v>
      </c>
      <c r="H190" s="50">
        <v>-175</v>
      </c>
      <c r="I190" s="50"/>
      <c r="J190" s="50"/>
      <c r="K190" s="50">
        <f t="shared" si="12"/>
        <v>-5700</v>
      </c>
      <c r="L190" s="50">
        <f t="shared" si="14"/>
        <v>60059</v>
      </c>
      <c r="M190" s="50"/>
      <c r="N190" s="51"/>
      <c r="O190" s="52">
        <v>0.5</v>
      </c>
      <c r="P190" s="53"/>
      <c r="Q190" s="54">
        <f t="shared" si="10"/>
        <v>30029.5</v>
      </c>
      <c r="R190" s="55"/>
      <c r="S190" s="55"/>
      <c r="U190" s="55">
        <v>160.56</v>
      </c>
      <c r="V190" s="55"/>
      <c r="W190" s="55"/>
      <c r="X190" s="55"/>
      <c r="Y190" s="50"/>
      <c r="Z190" s="50"/>
      <c r="AB190" s="57" t="s">
        <v>159</v>
      </c>
    </row>
    <row r="191" spans="1:29" x14ac:dyDescent="0.25">
      <c r="A191" s="1"/>
      <c r="B191" s="2"/>
      <c r="C191" s="2"/>
      <c r="D191" s="2"/>
      <c r="E191" s="2"/>
      <c r="F191" s="2"/>
      <c r="G191" s="2"/>
      <c r="H191" s="2"/>
      <c r="I191" s="2"/>
      <c r="J191" s="2"/>
      <c r="K191" s="2">
        <f t="shared" si="12"/>
        <v>0</v>
      </c>
      <c r="L191" s="2">
        <f t="shared" si="14"/>
        <v>0</v>
      </c>
      <c r="M191" s="2"/>
      <c r="N191" s="18"/>
      <c r="O191" s="15"/>
      <c r="P191" s="4"/>
      <c r="Q191" s="5">
        <f t="shared" si="10"/>
        <v>0</v>
      </c>
      <c r="R191" s="23"/>
      <c r="S191" s="21"/>
      <c r="U191" s="21"/>
      <c r="V191" s="21"/>
      <c r="W191" s="21">
        <f t="shared" ref="W191:W201" si="15">SUM(S191:U191)</f>
        <v>0</v>
      </c>
      <c r="X191" s="21"/>
      <c r="Y191" s="2"/>
      <c r="Z191" s="2"/>
    </row>
    <row r="192" spans="1:29" x14ac:dyDescent="0.25">
      <c r="A192" s="1"/>
      <c r="B192" s="2"/>
      <c r="C192" s="2"/>
      <c r="D192" s="2"/>
      <c r="E192" s="2"/>
      <c r="F192" s="2"/>
      <c r="G192" s="2"/>
      <c r="H192" s="2"/>
      <c r="I192" s="2"/>
      <c r="J192" s="2"/>
      <c r="K192" s="2">
        <f t="shared" si="12"/>
        <v>0</v>
      </c>
      <c r="L192" s="2">
        <f t="shared" si="14"/>
        <v>0</v>
      </c>
      <c r="M192" s="2"/>
      <c r="N192" s="18"/>
      <c r="O192" s="15"/>
      <c r="P192" s="4"/>
      <c r="Q192" s="5">
        <f t="shared" si="10"/>
        <v>0</v>
      </c>
      <c r="R192" s="23"/>
      <c r="S192" s="21"/>
      <c r="U192" s="21"/>
      <c r="V192" s="21"/>
      <c r="W192" s="21">
        <f t="shared" si="15"/>
        <v>0</v>
      </c>
      <c r="X192" s="21"/>
      <c r="Y192" s="2"/>
      <c r="Z192" s="2"/>
    </row>
    <row r="193" spans="1:26" x14ac:dyDescent="0.25">
      <c r="A193" s="1"/>
      <c r="B193" s="2"/>
      <c r="C193" s="2"/>
      <c r="D193" s="2"/>
      <c r="E193" s="2"/>
      <c r="F193" s="2"/>
      <c r="G193" s="2"/>
      <c r="H193" s="2"/>
      <c r="I193" s="2"/>
      <c r="J193" s="2"/>
      <c r="K193" s="2">
        <f t="shared" si="12"/>
        <v>0</v>
      </c>
      <c r="L193" s="2">
        <f t="shared" si="14"/>
        <v>0</v>
      </c>
      <c r="M193" s="2"/>
      <c r="N193" s="18"/>
      <c r="O193" s="15"/>
      <c r="P193" s="4"/>
      <c r="Q193" s="5">
        <f t="shared" si="10"/>
        <v>0</v>
      </c>
      <c r="R193" s="23"/>
      <c r="S193" s="21"/>
      <c r="U193" s="21"/>
      <c r="V193" s="21"/>
      <c r="W193" s="21">
        <f t="shared" si="15"/>
        <v>0</v>
      </c>
      <c r="X193" s="21"/>
      <c r="Y193" s="2"/>
      <c r="Z193" s="2"/>
    </row>
    <row r="194" spans="1:26" x14ac:dyDescent="0.25">
      <c r="A194" s="1"/>
      <c r="B194" s="2"/>
      <c r="C194" s="2"/>
      <c r="D194" s="2"/>
      <c r="E194" s="2"/>
      <c r="F194" s="2"/>
      <c r="G194" s="2"/>
      <c r="H194" s="2"/>
      <c r="I194" s="2"/>
      <c r="J194" s="2"/>
      <c r="K194" s="2">
        <f t="shared" si="12"/>
        <v>0</v>
      </c>
      <c r="L194" s="2">
        <f t="shared" si="14"/>
        <v>0</v>
      </c>
      <c r="M194" s="2"/>
      <c r="N194" s="18"/>
      <c r="O194" s="15"/>
      <c r="P194" s="4"/>
      <c r="Q194" s="5">
        <f t="shared" si="10"/>
        <v>0</v>
      </c>
      <c r="R194" s="23"/>
      <c r="S194" s="21"/>
      <c r="U194" s="21"/>
      <c r="V194" s="21"/>
      <c r="W194" s="21">
        <f t="shared" si="15"/>
        <v>0</v>
      </c>
      <c r="X194" s="21"/>
      <c r="Y194" s="2"/>
      <c r="Z194" s="2"/>
    </row>
    <row r="195" spans="1:26" x14ac:dyDescent="0.25">
      <c r="A195" s="1"/>
      <c r="B195" s="2"/>
      <c r="C195" s="2"/>
      <c r="D195" s="2"/>
      <c r="E195" s="2"/>
      <c r="F195" s="2"/>
      <c r="G195" s="2"/>
      <c r="H195" s="2"/>
      <c r="I195" s="2"/>
      <c r="J195" s="2"/>
      <c r="K195" s="2">
        <f t="shared" si="12"/>
        <v>0</v>
      </c>
      <c r="L195" s="2">
        <f t="shared" si="14"/>
        <v>0</v>
      </c>
      <c r="M195" s="2"/>
      <c r="N195" s="18"/>
      <c r="O195" s="15"/>
      <c r="P195" s="4"/>
      <c r="Q195" s="5">
        <f t="shared" si="10"/>
        <v>0</v>
      </c>
      <c r="R195" s="23"/>
      <c r="S195" s="21"/>
      <c r="U195" s="21"/>
      <c r="V195" s="21"/>
      <c r="W195" s="21">
        <f t="shared" si="15"/>
        <v>0</v>
      </c>
      <c r="X195" s="21"/>
      <c r="Y195" s="2"/>
      <c r="Z195" s="2"/>
    </row>
    <row r="196" spans="1:26" x14ac:dyDescent="0.25">
      <c r="A196" s="1"/>
      <c r="B196" s="2"/>
      <c r="C196" s="2"/>
      <c r="D196" s="2"/>
      <c r="E196" s="2"/>
      <c r="F196" s="2"/>
      <c r="G196" s="2"/>
      <c r="H196" s="2"/>
      <c r="I196" s="2"/>
      <c r="J196" s="2"/>
      <c r="K196" s="2">
        <f t="shared" si="12"/>
        <v>0</v>
      </c>
      <c r="L196" s="2">
        <f t="shared" si="14"/>
        <v>0</v>
      </c>
      <c r="M196" s="2"/>
      <c r="N196" s="18"/>
      <c r="O196" s="15"/>
      <c r="P196" s="4"/>
      <c r="Q196" s="5">
        <f t="shared" si="10"/>
        <v>0</v>
      </c>
      <c r="R196" s="23"/>
      <c r="S196" s="21"/>
      <c r="U196" s="21"/>
      <c r="V196" s="21"/>
      <c r="W196" s="21">
        <f t="shared" si="15"/>
        <v>0</v>
      </c>
      <c r="X196" s="21"/>
      <c r="Y196" s="2"/>
      <c r="Z196" s="2"/>
    </row>
    <row r="197" spans="1:26" x14ac:dyDescent="0.25">
      <c r="A197" s="1"/>
      <c r="B197" s="2"/>
      <c r="C197" s="2"/>
      <c r="D197" s="2"/>
      <c r="E197" s="2"/>
      <c r="F197" s="2"/>
      <c r="G197" s="2"/>
      <c r="H197" s="2"/>
      <c r="I197" s="2"/>
      <c r="J197" s="2"/>
      <c r="K197" s="2">
        <f t="shared" si="12"/>
        <v>0</v>
      </c>
      <c r="L197" s="2">
        <f t="shared" si="14"/>
        <v>0</v>
      </c>
      <c r="M197" s="2"/>
      <c r="N197" s="18"/>
      <c r="O197" s="15"/>
      <c r="P197" s="4"/>
      <c r="Q197" s="5">
        <f t="shared" si="10"/>
        <v>0</v>
      </c>
      <c r="R197" s="23"/>
      <c r="S197" s="21"/>
      <c r="T197" s="21"/>
      <c r="U197" s="21"/>
      <c r="V197" s="21"/>
      <c r="W197" s="21">
        <f t="shared" si="15"/>
        <v>0</v>
      </c>
      <c r="X197" s="21"/>
      <c r="Y197" s="2"/>
      <c r="Z197" s="2"/>
    </row>
    <row r="198" spans="1:26" x14ac:dyDescent="0.25">
      <c r="A198" s="1"/>
      <c r="B198" s="2"/>
      <c r="C198" s="2"/>
      <c r="D198" s="2"/>
      <c r="E198" s="2"/>
      <c r="F198" s="2"/>
      <c r="G198" s="2"/>
      <c r="H198" s="2"/>
      <c r="I198" s="2"/>
      <c r="J198" s="2"/>
      <c r="K198" s="2">
        <f t="shared" si="12"/>
        <v>0</v>
      </c>
      <c r="L198" s="2">
        <f t="shared" si="14"/>
        <v>0</v>
      </c>
      <c r="M198" s="2"/>
      <c r="N198" s="18"/>
      <c r="O198" s="15"/>
      <c r="P198" s="4"/>
      <c r="Q198" s="5">
        <f t="shared" si="10"/>
        <v>0</v>
      </c>
      <c r="R198" s="23"/>
      <c r="S198" s="21"/>
      <c r="T198" s="21"/>
      <c r="U198" s="21"/>
      <c r="V198" s="21"/>
      <c r="W198" s="21">
        <f t="shared" si="15"/>
        <v>0</v>
      </c>
      <c r="X198" s="21"/>
      <c r="Y198" s="2"/>
      <c r="Z198" s="2"/>
    </row>
    <row r="199" spans="1:26" x14ac:dyDescent="0.25">
      <c r="A199" s="1"/>
      <c r="B199" s="2"/>
      <c r="C199" s="2"/>
      <c r="D199" s="2"/>
      <c r="E199" s="2"/>
      <c r="F199" s="2"/>
      <c r="G199" s="2"/>
      <c r="H199" s="2"/>
      <c r="I199" s="2"/>
      <c r="J199" s="2"/>
      <c r="K199" s="2">
        <f t="shared" si="12"/>
        <v>0</v>
      </c>
      <c r="L199" s="2">
        <f t="shared" si="14"/>
        <v>0</v>
      </c>
      <c r="M199" s="2"/>
      <c r="N199" s="18"/>
      <c r="O199" s="15"/>
      <c r="P199" s="4"/>
      <c r="Q199" s="5">
        <f t="shared" si="10"/>
        <v>0</v>
      </c>
      <c r="R199" s="23"/>
      <c r="S199" s="21"/>
      <c r="T199" s="21"/>
      <c r="U199" s="21"/>
      <c r="V199" s="21"/>
      <c r="W199" s="21">
        <f t="shared" si="15"/>
        <v>0</v>
      </c>
      <c r="X199" s="21"/>
      <c r="Y199" s="2"/>
      <c r="Z199" s="2"/>
    </row>
    <row r="200" spans="1:26" x14ac:dyDescent="0.25">
      <c r="A200" s="1"/>
      <c r="B200" s="2"/>
      <c r="C200" s="2"/>
      <c r="D200" s="2"/>
      <c r="E200" s="2"/>
      <c r="F200" s="2"/>
      <c r="G200" s="2"/>
      <c r="H200" s="2"/>
      <c r="I200" s="2"/>
      <c r="J200" s="2"/>
      <c r="K200" s="2">
        <f t="shared" si="12"/>
        <v>0</v>
      </c>
      <c r="L200" s="2">
        <f t="shared" si="14"/>
        <v>0</v>
      </c>
      <c r="M200" s="2"/>
      <c r="N200" s="18"/>
      <c r="O200" s="15"/>
      <c r="P200" s="4"/>
      <c r="Q200" s="5">
        <f t="shared" si="10"/>
        <v>0</v>
      </c>
      <c r="R200" s="23"/>
      <c r="S200" s="21"/>
      <c r="T200" s="21"/>
      <c r="U200" s="21"/>
      <c r="V200" s="21"/>
      <c r="W200" s="21">
        <f t="shared" si="15"/>
        <v>0</v>
      </c>
      <c r="X200" s="21"/>
      <c r="Y200" s="2"/>
      <c r="Z200" s="2"/>
    </row>
    <row r="201" spans="1:26" x14ac:dyDescent="0.25">
      <c r="A201" s="1"/>
      <c r="B201" s="2"/>
      <c r="C201" s="2"/>
      <c r="D201" s="2"/>
      <c r="E201" s="2"/>
      <c r="F201" s="2"/>
      <c r="G201" s="2"/>
      <c r="H201" s="2"/>
      <c r="I201" s="2"/>
      <c r="J201" s="2"/>
      <c r="K201" s="2">
        <f t="shared" si="12"/>
        <v>0</v>
      </c>
      <c r="L201" s="2">
        <f t="shared" si="14"/>
        <v>0</v>
      </c>
      <c r="M201" s="2"/>
      <c r="N201" s="18"/>
      <c r="O201" s="15"/>
      <c r="P201" s="4"/>
      <c r="Q201" s="5">
        <f t="shared" si="10"/>
        <v>0</v>
      </c>
      <c r="R201" s="23"/>
      <c r="S201" s="21"/>
      <c r="T201" s="21"/>
      <c r="U201" s="21"/>
      <c r="V201" s="21"/>
      <c r="W201" s="21">
        <f t="shared" si="15"/>
        <v>0</v>
      </c>
      <c r="X201" s="21"/>
      <c r="Y201" s="2"/>
      <c r="Z201" s="2"/>
    </row>
    <row r="202" spans="1:26" ht="16.5" thickBot="1" x14ac:dyDescent="0.3">
      <c r="A202" s="1"/>
      <c r="B202" s="2"/>
      <c r="C202" s="2"/>
      <c r="D202" s="2"/>
      <c r="E202" s="2"/>
      <c r="F202" s="2"/>
      <c r="G202" s="2"/>
      <c r="H202" s="2"/>
      <c r="I202" s="2"/>
      <c r="J202" s="2"/>
      <c r="K202" s="2"/>
      <c r="L202" s="2"/>
      <c r="M202" s="2"/>
      <c r="N202" s="18"/>
      <c r="O202" s="15"/>
      <c r="P202" s="4"/>
      <c r="Q202" s="5"/>
      <c r="R202" s="23"/>
      <c r="S202" s="21"/>
      <c r="T202" s="21"/>
      <c r="U202" s="21"/>
      <c r="V202" s="21"/>
      <c r="W202" s="21"/>
      <c r="X202" s="21"/>
      <c r="Y202" s="2"/>
      <c r="Z202" s="2"/>
    </row>
    <row r="203" spans="1:26" ht="16.5" thickBot="1" x14ac:dyDescent="0.3">
      <c r="A203" s="1"/>
      <c r="B203" s="6" t="s">
        <v>123</v>
      </c>
      <c r="C203" s="6"/>
      <c r="D203" s="6">
        <f>SUM(D6:D187)</f>
        <v>32337995</v>
      </c>
      <c r="E203" s="6"/>
      <c r="F203" s="6">
        <v>0</v>
      </c>
      <c r="G203" s="6">
        <f t="shared" ref="G203:L203" si="16">SUM(G6:G202)</f>
        <v>-17411671.43</v>
      </c>
      <c r="H203" s="6">
        <f t="shared" si="16"/>
        <v>-16255</v>
      </c>
      <c r="I203" s="6">
        <f t="shared" si="16"/>
        <v>-890740</v>
      </c>
      <c r="J203" s="6">
        <f t="shared" si="16"/>
        <v>-5549266.5800000001</v>
      </c>
      <c r="K203" s="6">
        <f t="shared" si="16"/>
        <v>-949664.7</v>
      </c>
      <c r="L203" s="27">
        <f t="shared" si="16"/>
        <v>7953023.2199999988</v>
      </c>
      <c r="M203" s="16"/>
      <c r="N203" s="6"/>
      <c r="O203" s="6"/>
      <c r="P203" s="28">
        <f>SUM(P6:P202)</f>
        <v>-2951027.04</v>
      </c>
      <c r="Q203" s="29">
        <f>SUM(Q6:Q202)</f>
        <v>8466239.4164629988</v>
      </c>
      <c r="R203" s="24"/>
      <c r="S203" s="16">
        <f>SUM(S6:S202)</f>
        <v>199995.40000000002</v>
      </c>
      <c r="T203" s="16">
        <f>SUM(T6:T202)</f>
        <v>52071.000000000022</v>
      </c>
      <c r="U203" s="16">
        <f>SUM(U6:U202)</f>
        <v>38289.944800000005</v>
      </c>
      <c r="V203" s="7">
        <f>SUM(V6:V201)</f>
        <v>1281.23</v>
      </c>
      <c r="W203" s="7">
        <f>SUM(W6:W202)</f>
        <v>99765.57</v>
      </c>
      <c r="X203" s="16"/>
      <c r="Y203" s="6"/>
      <c r="Z203" s="6"/>
    </row>
    <row r="204" spans="1:26" x14ac:dyDescent="0.25">
      <c r="A204" s="1"/>
      <c r="B204" s="2"/>
      <c r="C204" s="2"/>
      <c r="D204" s="2"/>
      <c r="E204" s="2"/>
      <c r="F204" s="2"/>
      <c r="G204" s="2"/>
      <c r="H204" s="2"/>
      <c r="I204" s="2"/>
      <c r="J204" s="2"/>
      <c r="K204" s="2"/>
      <c r="L204" s="2"/>
      <c r="M204" s="2"/>
      <c r="N204" s="18"/>
      <c r="O204" s="15"/>
      <c r="P204" s="2"/>
      <c r="Q204" s="2"/>
      <c r="R204" s="10"/>
      <c r="S204" s="2"/>
      <c r="T204" s="2"/>
      <c r="U204" s="2"/>
      <c r="V204" s="2"/>
      <c r="W204" s="2"/>
      <c r="X204" s="2"/>
      <c r="Y204" s="2"/>
      <c r="Z204" s="2"/>
    </row>
  </sheetData>
  <mergeCells count="4">
    <mergeCell ref="N4:O4"/>
    <mergeCell ref="V4:W4"/>
    <mergeCell ref="A1:AC1"/>
    <mergeCell ref="A2:AC2"/>
  </mergeCells>
  <phoneticPr fontId="12" type="noConversion"/>
  <pageMargins left="0.75000000000000011" right="0.75000000000000011" top="1" bottom="1" header="0.5" footer="0.5"/>
  <pageSetup paperSize="8" scale="15"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QEB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Lazarides</dc:creator>
  <cp:lastModifiedBy>Michael Radnor</cp:lastModifiedBy>
  <cp:lastPrinted>2018-10-02T08:39:53Z</cp:lastPrinted>
  <dcterms:created xsi:type="dcterms:W3CDTF">2017-03-16T09:05:09Z</dcterms:created>
  <dcterms:modified xsi:type="dcterms:W3CDTF">2018-10-10T11:36:47Z</dcterms:modified>
</cp:coreProperties>
</file>