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Budget\2019\"/>
    </mc:Choice>
  </mc:AlternateContent>
  <xr:revisionPtr revIDLastSave="0" documentId="8_{BDC15B84-32AF-4FFB-B2EC-DC0D79301412}" xr6:coauthVersionLast="40" xr6:coauthVersionMax="40" xr10:uidLastSave="{00000000-0000-0000-0000-000000000000}"/>
  <bookViews>
    <workbookView xWindow="-120" yWindow="-120" windowWidth="29040" windowHeight="15840" tabRatio="637" xr2:uid="{00000000-000D-0000-FFFF-FFFF00000000}"/>
  </bookViews>
  <sheets>
    <sheet name="2019 YTD Cash Summary" sheetId="72" r:id="rId1"/>
    <sheet name="2019 Budget Year Report" sheetId="71" r:id="rId2"/>
    <sheet name="2019 Fire Operations Report" sheetId="70" r:id="rId3"/>
    <sheet name="Bank Acct Summary" sheetId="69" r:id="rId4"/>
    <sheet name="Cash Asset Summary Chart" sheetId="68" r:id="rId5"/>
  </sheets>
  <definedNames>
    <definedName name="_xlnm.Print_Area" localSheetId="1">'2019 Budget Year Report'!$A$2:$R$57</definedName>
    <definedName name="_xlnm.Print_Area" localSheetId="2">'2019 Fire Operations Report'!$A$1:$I$52</definedName>
    <definedName name="_xlnm.Print_Area" localSheetId="0">'2019 YTD Cash Summary'!$A$1:$R$61</definedName>
    <definedName name="_xlnm.Print_Area" localSheetId="3">'Bank Acct Summary'!$A$1:$O$174</definedName>
    <definedName name="_xlnm.Print_Titles" localSheetId="1">'2019 Budget Year Report'!$A:$A,'2019 Budget Year Report'!$1:$2</definedName>
    <definedName name="_xlnm.Print_Titles" localSheetId="0">'2019 YTD Cash Summary'!$A:$A</definedName>
    <definedName name="_xlnm.Print_Titles" localSheetId="3">'Bank Acct Summary'!$1:$1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1" i="69" l="1"/>
  <c r="O24" i="71"/>
  <c r="O23" i="71"/>
  <c r="O29" i="71"/>
  <c r="O30" i="71"/>
  <c r="B14" i="70"/>
  <c r="B4" i="70"/>
  <c r="B16" i="70" l="1"/>
  <c r="B29" i="72" l="1"/>
  <c r="B11" i="70"/>
  <c r="Q36" i="72"/>
  <c r="M36" i="72"/>
  <c r="I36" i="72"/>
  <c r="E36" i="72"/>
  <c r="R36" i="72" s="1"/>
  <c r="Q29" i="72"/>
  <c r="M29" i="72"/>
  <c r="I29" i="72"/>
  <c r="E29" i="72"/>
  <c r="R29" i="72" s="1"/>
  <c r="Q26" i="72"/>
  <c r="M26" i="72"/>
  <c r="I26" i="72"/>
  <c r="E26" i="72"/>
  <c r="R26" i="72" s="1"/>
  <c r="Q22" i="72"/>
  <c r="M22" i="72"/>
  <c r="I22" i="72"/>
  <c r="E22" i="72"/>
  <c r="R22" i="72" s="1"/>
  <c r="Q19" i="72"/>
  <c r="M19" i="72"/>
  <c r="I19" i="72"/>
  <c r="E19" i="72"/>
  <c r="R19" i="72" s="1"/>
  <c r="B6" i="70" l="1"/>
  <c r="C5" i="69"/>
  <c r="P45" i="72" l="1"/>
  <c r="O45" i="72"/>
  <c r="N45" i="72"/>
  <c r="P32" i="72"/>
  <c r="O32" i="72"/>
  <c r="P8" i="72"/>
  <c r="P13" i="72" s="1"/>
  <c r="O8" i="72"/>
  <c r="O13" i="72" s="1"/>
  <c r="L45" i="72"/>
  <c r="K45" i="72"/>
  <c r="J45" i="72"/>
  <c r="L8" i="72"/>
  <c r="L13" i="72" s="1"/>
  <c r="K8" i="72"/>
  <c r="K13" i="72" s="1"/>
  <c r="J8" i="72"/>
  <c r="J13" i="72" s="1"/>
  <c r="H45" i="72"/>
  <c r="G45" i="72"/>
  <c r="F45" i="72"/>
  <c r="H8" i="72"/>
  <c r="H13" i="72" s="1"/>
  <c r="G8" i="72"/>
  <c r="G13" i="72" s="1"/>
  <c r="F8" i="72"/>
  <c r="F13" i="72" s="1"/>
  <c r="D45" i="72"/>
  <c r="D8" i="72"/>
  <c r="D13" i="72" s="1"/>
  <c r="C45" i="72"/>
  <c r="C8" i="72"/>
  <c r="C13" i="72" s="1"/>
  <c r="R38" i="71"/>
  <c r="Q38" i="71"/>
  <c r="R30" i="71"/>
  <c r="Q30" i="71"/>
  <c r="R23" i="71"/>
  <c r="Q23" i="71"/>
  <c r="N17" i="71"/>
  <c r="M17" i="71"/>
  <c r="L16" i="72" s="1"/>
  <c r="L32" i="72" s="1"/>
  <c r="L17" i="71"/>
  <c r="K16" i="72" s="1"/>
  <c r="K32" i="72" s="1"/>
  <c r="K17" i="71"/>
  <c r="J16" i="72" s="1"/>
  <c r="J32" i="72" s="1"/>
  <c r="N9" i="71"/>
  <c r="M9" i="71"/>
  <c r="L9" i="71"/>
  <c r="K9" i="71"/>
  <c r="J9" i="71"/>
  <c r="I9" i="71"/>
  <c r="H9" i="71"/>
  <c r="G9" i="71"/>
  <c r="F9" i="71"/>
  <c r="E9" i="71"/>
  <c r="D9" i="71"/>
  <c r="N123" i="69"/>
  <c r="M123" i="69"/>
  <c r="L123" i="69"/>
  <c r="K123" i="69"/>
  <c r="J123" i="69"/>
  <c r="I123" i="69"/>
  <c r="H123" i="69"/>
  <c r="G123" i="69"/>
  <c r="F123" i="69"/>
  <c r="E123" i="69"/>
  <c r="D123" i="69"/>
  <c r="C123" i="69"/>
  <c r="C83" i="69"/>
  <c r="C115" i="69"/>
  <c r="C43" i="69"/>
  <c r="C29" i="69"/>
  <c r="C73" i="69"/>
  <c r="C72" i="69"/>
  <c r="C71" i="69"/>
  <c r="C64" i="69"/>
  <c r="C105" i="69"/>
  <c r="N121" i="69"/>
  <c r="M121" i="69"/>
  <c r="L121" i="69"/>
  <c r="K121" i="69"/>
  <c r="J121" i="69"/>
  <c r="I121" i="69"/>
  <c r="H121" i="69"/>
  <c r="G121" i="69"/>
  <c r="F121" i="69"/>
  <c r="E121" i="69"/>
  <c r="I115" i="69"/>
  <c r="J110" i="69" s="1"/>
  <c r="J115" i="69" s="1"/>
  <c r="K110" i="69" s="1"/>
  <c r="K115" i="69" s="1"/>
  <c r="L110" i="69" s="1"/>
  <c r="L115" i="69" s="1"/>
  <c r="M110" i="69" s="1"/>
  <c r="M115" i="69" s="1"/>
  <c r="N110" i="69" s="1"/>
  <c r="N115" i="69" s="1"/>
  <c r="I110" i="69"/>
  <c r="N107" i="69"/>
  <c r="M107" i="69"/>
  <c r="L107" i="69"/>
  <c r="K107" i="69"/>
  <c r="J107" i="69"/>
  <c r="I107" i="69"/>
  <c r="H107" i="69"/>
  <c r="G107" i="69"/>
  <c r="F107" i="69"/>
  <c r="E107" i="69"/>
  <c r="N99" i="69"/>
  <c r="M99" i="69"/>
  <c r="L99" i="69"/>
  <c r="K99" i="69"/>
  <c r="J99" i="69"/>
  <c r="I99" i="69"/>
  <c r="H99" i="69"/>
  <c r="G99" i="69"/>
  <c r="F99" i="69"/>
  <c r="E99" i="69"/>
  <c r="N91" i="69"/>
  <c r="M91" i="69"/>
  <c r="L91" i="69"/>
  <c r="K91" i="69"/>
  <c r="J91" i="69"/>
  <c r="I91" i="69"/>
  <c r="H91" i="69"/>
  <c r="G91" i="69"/>
  <c r="F91" i="69"/>
  <c r="E91" i="69"/>
  <c r="N84" i="69"/>
  <c r="M84" i="69"/>
  <c r="L84" i="69"/>
  <c r="K84" i="69"/>
  <c r="J84" i="69"/>
  <c r="I84" i="69"/>
  <c r="H84" i="69"/>
  <c r="G84" i="69"/>
  <c r="F84" i="69"/>
  <c r="E84" i="69"/>
  <c r="O47" i="72" l="1"/>
  <c r="O54" i="72" s="1"/>
  <c r="P47" i="72"/>
  <c r="P54" i="72" s="1"/>
  <c r="P56" i="72" s="1"/>
  <c r="K47" i="72"/>
  <c r="K54" i="72" s="1"/>
  <c r="L47" i="72"/>
  <c r="L54" i="72" s="1"/>
  <c r="L56" i="72" s="1"/>
  <c r="J47" i="72"/>
  <c r="J54" i="72" s="1"/>
  <c r="J56" i="72" s="1"/>
  <c r="O56" i="72"/>
  <c r="K56" i="72"/>
  <c r="N75" i="69"/>
  <c r="M75" i="69"/>
  <c r="L75" i="69"/>
  <c r="K75" i="69"/>
  <c r="J75" i="69"/>
  <c r="I75" i="69"/>
  <c r="H75" i="69"/>
  <c r="G75" i="69"/>
  <c r="F75" i="69"/>
  <c r="E75" i="69"/>
  <c r="D75" i="69"/>
  <c r="N67" i="69"/>
  <c r="M67" i="69"/>
  <c r="L67" i="69"/>
  <c r="K67" i="69"/>
  <c r="J67" i="69"/>
  <c r="I67" i="69"/>
  <c r="H67" i="69"/>
  <c r="G67" i="69"/>
  <c r="F67" i="69"/>
  <c r="E67" i="69"/>
  <c r="D67" i="69"/>
  <c r="F55" i="69"/>
  <c r="F59" i="69" s="1"/>
  <c r="G55" i="69" s="1"/>
  <c r="G59" i="69" s="1"/>
  <c r="H55" i="69" s="1"/>
  <c r="H59" i="69" s="1"/>
  <c r="E55" i="69"/>
  <c r="E59" i="69" s="1"/>
  <c r="E47" i="69"/>
  <c r="E52" i="69" s="1"/>
  <c r="F47" i="69" s="1"/>
  <c r="F52" i="69" s="1"/>
  <c r="G47" i="69" s="1"/>
  <c r="G52" i="69" s="1"/>
  <c r="H47" i="69" s="1"/>
  <c r="H52" i="69" s="1"/>
  <c r="I47" i="69" s="1"/>
  <c r="I52" i="69" s="1"/>
  <c r="D47" i="69"/>
  <c r="N44" i="69"/>
  <c r="M44" i="69"/>
  <c r="L44" i="69"/>
  <c r="K44" i="69"/>
  <c r="J44" i="69"/>
  <c r="I44" i="69"/>
  <c r="H44" i="69"/>
  <c r="G44" i="69"/>
  <c r="F44" i="69"/>
  <c r="E44" i="69"/>
  <c r="E38" i="69"/>
  <c r="F33" i="69" s="1"/>
  <c r="F38" i="69" s="1"/>
  <c r="G33" i="69" s="1"/>
  <c r="G38" i="69" s="1"/>
  <c r="H33" i="69" s="1"/>
  <c r="H38" i="69" s="1"/>
  <c r="I33" i="69" s="1"/>
  <c r="I38" i="69" s="1"/>
  <c r="J33" i="69" s="1"/>
  <c r="J38" i="69" s="1"/>
  <c r="K33" i="69" s="1"/>
  <c r="K38" i="69" s="1"/>
  <c r="L33" i="69" s="1"/>
  <c r="L38" i="69" s="1"/>
  <c r="M33" i="69" s="1"/>
  <c r="M38" i="69" s="1"/>
  <c r="N33" i="69" s="1"/>
  <c r="N38" i="69" s="1"/>
  <c r="E33" i="69"/>
  <c r="N30" i="69"/>
  <c r="M30" i="69"/>
  <c r="L30" i="69"/>
  <c r="K30" i="69"/>
  <c r="J30" i="69"/>
  <c r="I30" i="69"/>
  <c r="H30" i="69"/>
  <c r="G30" i="69"/>
  <c r="F30" i="69"/>
  <c r="E30" i="69"/>
  <c r="N23" i="69"/>
  <c r="M23" i="69"/>
  <c r="L23" i="69"/>
  <c r="K23" i="69"/>
  <c r="J23" i="69"/>
  <c r="I23" i="69"/>
  <c r="H23" i="69"/>
  <c r="G23" i="69"/>
  <c r="F23" i="69"/>
  <c r="E23" i="69"/>
  <c r="N15" i="69"/>
  <c r="M15" i="69"/>
  <c r="L15" i="69"/>
  <c r="K15" i="69"/>
  <c r="J15" i="69"/>
  <c r="I15" i="69"/>
  <c r="H15" i="69"/>
  <c r="G15" i="69"/>
  <c r="F15" i="69"/>
  <c r="E15" i="69"/>
  <c r="N3" i="69"/>
  <c r="N6" i="69" s="1"/>
  <c r="M3" i="69"/>
  <c r="M6" i="69" s="1"/>
  <c r="L3" i="69"/>
  <c r="L6" i="69" s="1"/>
  <c r="K3" i="69"/>
  <c r="K6" i="69" s="1"/>
  <c r="J3" i="69"/>
  <c r="J6" i="69" s="1"/>
  <c r="I3" i="69"/>
  <c r="I6" i="69" s="1"/>
  <c r="H3" i="69"/>
  <c r="H6" i="69" s="1"/>
  <c r="G3" i="69"/>
  <c r="G6" i="69" s="1"/>
  <c r="F3" i="69"/>
  <c r="F6" i="69" s="1"/>
  <c r="E3" i="69"/>
  <c r="E6" i="69" s="1"/>
  <c r="D3" i="69"/>
  <c r="D6" i="69" s="1"/>
  <c r="C174" i="69" l="1"/>
  <c r="C107" i="69" l="1"/>
  <c r="D107" i="69"/>
  <c r="I25" i="70" l="1"/>
  <c r="J17" i="71" s="1"/>
  <c r="I6" i="72" l="1"/>
  <c r="Q131" i="69" l="1"/>
  <c r="Q42" i="72" l="1"/>
  <c r="M42" i="72"/>
  <c r="I42" i="72"/>
  <c r="E42" i="72"/>
  <c r="Q41" i="72"/>
  <c r="M41" i="72"/>
  <c r="I41" i="72"/>
  <c r="E41" i="72"/>
  <c r="R42" i="72" l="1"/>
  <c r="R41" i="72"/>
  <c r="O5" i="69"/>
  <c r="C23" i="69" l="1"/>
  <c r="D23" i="69" s="1"/>
  <c r="M59" i="69"/>
  <c r="N55" i="69" s="1"/>
  <c r="N59" i="69" s="1"/>
  <c r="L59" i="69"/>
  <c r="J59" i="69"/>
  <c r="K55" i="69" s="1"/>
  <c r="K59" i="69" s="1"/>
  <c r="I59" i="69"/>
  <c r="M52" i="69"/>
  <c r="N47" i="69" s="1"/>
  <c r="N52" i="69" s="1"/>
  <c r="L52" i="69"/>
  <c r="J52" i="69"/>
  <c r="K47" i="69" s="1"/>
  <c r="K52" i="69" s="1"/>
  <c r="O44" i="71" l="1"/>
  <c r="Q44" i="71" s="1"/>
  <c r="R43" i="71"/>
  <c r="Q43" i="71"/>
  <c r="R29" i="71"/>
  <c r="Q29" i="71"/>
  <c r="Q24" i="71"/>
  <c r="C1" i="70"/>
  <c r="D1" i="70" s="1"/>
  <c r="E1" i="70" s="1"/>
  <c r="F1" i="70" s="1"/>
  <c r="G1" i="70" s="1"/>
  <c r="H1" i="70" s="1"/>
  <c r="I1" i="70" s="1"/>
  <c r="B28" i="70" s="1"/>
  <c r="C28" i="70" s="1"/>
  <c r="D28" i="70" s="1"/>
  <c r="E28" i="70" s="1"/>
  <c r="D1" i="71"/>
  <c r="E1" i="71" s="1"/>
  <c r="F1" i="71" s="1"/>
  <c r="G1" i="71" s="1"/>
  <c r="H1" i="71" s="1"/>
  <c r="I1" i="71" s="1"/>
  <c r="J1" i="71" s="1"/>
  <c r="K1" i="71" s="1"/>
  <c r="L1" i="71" s="1"/>
  <c r="M1" i="71" s="1"/>
  <c r="N34" i="71"/>
  <c r="K34" i="71"/>
  <c r="J34" i="71"/>
  <c r="N14" i="71"/>
  <c r="L14" i="71"/>
  <c r="K14" i="71"/>
  <c r="J14" i="71"/>
  <c r="I14" i="71"/>
  <c r="H14" i="71"/>
  <c r="G14" i="71"/>
  <c r="F14" i="71"/>
  <c r="E14" i="71"/>
  <c r="C1" i="72"/>
  <c r="D1" i="72" s="1"/>
  <c r="F1" i="72" s="1"/>
  <c r="G1" i="72" s="1"/>
  <c r="H1" i="72" s="1"/>
  <c r="J1" i="72" s="1"/>
  <c r="K1" i="72" s="1"/>
  <c r="L1" i="72" s="1"/>
  <c r="N1" i="72" s="1"/>
  <c r="O1" i="72" s="1"/>
  <c r="P1" i="72" s="1"/>
  <c r="D1" i="69"/>
  <c r="E1" i="69" s="1"/>
  <c r="F1" i="69" s="1"/>
  <c r="G1" i="69" s="1"/>
  <c r="H1" i="69" s="1"/>
  <c r="I1" i="69" s="1"/>
  <c r="J1" i="69" s="1"/>
  <c r="K1" i="69" s="1"/>
  <c r="L1" i="69" s="1"/>
  <c r="M1" i="69" s="1"/>
  <c r="N1" i="69" s="1"/>
  <c r="M14" i="71" l="1"/>
  <c r="R44" i="71"/>
  <c r="J47" i="71"/>
  <c r="J54" i="71" s="1"/>
  <c r="J56" i="71" s="1"/>
  <c r="N47" i="71"/>
  <c r="N54" i="71" s="1"/>
  <c r="N56" i="71" s="1"/>
  <c r="K47" i="71"/>
  <c r="K54" i="71" l="1"/>
  <c r="K56" i="71" s="1"/>
  <c r="C75" i="69"/>
  <c r="C67" i="69"/>
  <c r="C99" i="69"/>
  <c r="D99" i="69" s="1"/>
  <c r="C91" i="69"/>
  <c r="D91" i="69" s="1"/>
  <c r="C84" i="69"/>
  <c r="D84" i="69" s="1"/>
  <c r="E136" i="69" l="1"/>
  <c r="E139" i="69" s="1"/>
  <c r="D136" i="69"/>
  <c r="D139" i="69" s="1"/>
  <c r="C136" i="69"/>
  <c r="C139" i="69" s="1"/>
  <c r="F136" i="69" l="1"/>
  <c r="F139" i="69" s="1"/>
  <c r="Q28" i="72"/>
  <c r="G136" i="69" l="1"/>
  <c r="G139" i="69" s="1"/>
  <c r="H136" i="69" l="1"/>
  <c r="H139" i="69" s="1"/>
  <c r="M28" i="72"/>
  <c r="I136" i="69" l="1"/>
  <c r="I139" i="69" s="1"/>
  <c r="C52" i="69"/>
  <c r="C59" i="69"/>
  <c r="D55" i="69" s="1"/>
  <c r="J136" i="69" l="1"/>
  <c r="J139" i="69" s="1"/>
  <c r="I28" i="72"/>
  <c r="K136" i="69" l="1"/>
  <c r="K139" i="69" s="1"/>
  <c r="O52" i="71"/>
  <c r="Q52" i="71" s="1"/>
  <c r="O26" i="71"/>
  <c r="Q50" i="72"/>
  <c r="M50" i="72"/>
  <c r="I50" i="72"/>
  <c r="E50" i="72"/>
  <c r="L136" i="69" l="1"/>
  <c r="L139" i="69" s="1"/>
  <c r="Q26" i="71"/>
  <c r="R26" i="71"/>
  <c r="R50" i="72"/>
  <c r="N136" i="69" l="1"/>
  <c r="N139" i="69" s="1"/>
  <c r="M136" i="69"/>
  <c r="M139" i="69" s="1"/>
  <c r="E28" i="72"/>
  <c r="R28" i="72" s="1"/>
  <c r="B25" i="70" l="1"/>
  <c r="C17" i="71" s="1"/>
  <c r="B16" i="72" s="1"/>
  <c r="Q27" i="72" l="1"/>
  <c r="M27" i="72"/>
  <c r="I27" i="72"/>
  <c r="E27" i="72"/>
  <c r="R27" i="72" l="1"/>
  <c r="P14" i="71"/>
  <c r="O3" i="71" l="1"/>
  <c r="Q3" i="71" s="1"/>
  <c r="O4" i="71"/>
  <c r="Q4" i="71" s="1"/>
  <c r="O5" i="71"/>
  <c r="Q5" i="71" s="1"/>
  <c r="O6" i="71"/>
  <c r="Q6" i="71" s="1"/>
  <c r="O7" i="71"/>
  <c r="Q7" i="71" s="1"/>
  <c r="O8" i="71"/>
  <c r="O10" i="71"/>
  <c r="Q10" i="71" s="1"/>
  <c r="O11" i="71"/>
  <c r="O12" i="71"/>
  <c r="D14" i="71"/>
  <c r="O18" i="71"/>
  <c r="Q18" i="71" s="1"/>
  <c r="O19" i="71"/>
  <c r="O20" i="71"/>
  <c r="Q20" i="71" s="1"/>
  <c r="O21" i="71"/>
  <c r="Q21" i="71" s="1"/>
  <c r="O22" i="71"/>
  <c r="Q22" i="71" s="1"/>
  <c r="O25" i="71"/>
  <c r="Q25" i="71" s="1"/>
  <c r="O27" i="71"/>
  <c r="O28" i="71"/>
  <c r="Q28" i="71" s="1"/>
  <c r="O31" i="71"/>
  <c r="Q31" i="71" s="1"/>
  <c r="C34" i="71"/>
  <c r="P34" i="71"/>
  <c r="O37" i="71"/>
  <c r="O39" i="71"/>
  <c r="R39" i="71" s="1"/>
  <c r="O42" i="71"/>
  <c r="R42" i="71" s="1"/>
  <c r="O45" i="71"/>
  <c r="O50" i="71"/>
  <c r="R50" i="71" s="1"/>
  <c r="O51" i="71"/>
  <c r="R51" i="71" s="1"/>
  <c r="C25" i="70"/>
  <c r="D17" i="71" s="1"/>
  <c r="C16" i="72" s="1"/>
  <c r="C32" i="72" s="1"/>
  <c r="C47" i="72" s="1"/>
  <c r="C54" i="72" s="1"/>
  <c r="C56" i="72" s="1"/>
  <c r="D25" i="70"/>
  <c r="E17" i="71" s="1"/>
  <c r="D16" i="72" s="1"/>
  <c r="D32" i="72" s="1"/>
  <c r="D47" i="72" s="1"/>
  <c r="D54" i="72" s="1"/>
  <c r="D56" i="72" s="1"/>
  <c r="E25" i="70"/>
  <c r="F25" i="70"/>
  <c r="G25" i="70"/>
  <c r="H25" i="70"/>
  <c r="I17" i="71" s="1"/>
  <c r="H16" i="72" s="1"/>
  <c r="H32" i="72" s="1"/>
  <c r="H47" i="72" s="1"/>
  <c r="H54" i="72" s="1"/>
  <c r="H56" i="72" s="1"/>
  <c r="F31" i="70"/>
  <c r="H31" i="70" s="1"/>
  <c r="F32" i="70"/>
  <c r="I32" i="70" s="1"/>
  <c r="F33" i="70"/>
  <c r="H33" i="70" s="1"/>
  <c r="F34" i="70"/>
  <c r="H34" i="70" s="1"/>
  <c r="F35" i="70"/>
  <c r="H35" i="70" s="1"/>
  <c r="F36" i="70"/>
  <c r="H36" i="70" s="1"/>
  <c r="F37" i="70"/>
  <c r="H37" i="70" s="1"/>
  <c r="F38" i="70"/>
  <c r="H38" i="70" s="1"/>
  <c r="F39" i="70"/>
  <c r="I39" i="70" s="1"/>
  <c r="F40" i="70"/>
  <c r="H40" i="70" s="1"/>
  <c r="F41" i="70"/>
  <c r="H41" i="70" s="1"/>
  <c r="F42" i="70"/>
  <c r="I42" i="70" s="1"/>
  <c r="F43" i="70"/>
  <c r="H43" i="70" s="1"/>
  <c r="F44" i="70"/>
  <c r="H44" i="70" s="1"/>
  <c r="F45" i="70"/>
  <c r="H45" i="70" s="1"/>
  <c r="F46" i="70"/>
  <c r="I46" i="70" s="1"/>
  <c r="F47" i="70"/>
  <c r="I47" i="70" s="1"/>
  <c r="F48" i="70"/>
  <c r="I48" i="70" s="1"/>
  <c r="F49" i="70"/>
  <c r="H49" i="70" s="1"/>
  <c r="F50" i="70"/>
  <c r="H50" i="70" s="1"/>
  <c r="B52" i="70"/>
  <c r="C52" i="70"/>
  <c r="D52" i="70"/>
  <c r="E52" i="70"/>
  <c r="G52" i="70"/>
  <c r="E3" i="72"/>
  <c r="I3" i="72"/>
  <c r="M3" i="72"/>
  <c r="Q3" i="72"/>
  <c r="E4" i="72"/>
  <c r="I4" i="72"/>
  <c r="M4" i="72"/>
  <c r="Q4" i="72"/>
  <c r="E5" i="72"/>
  <c r="I5" i="72"/>
  <c r="M5" i="72"/>
  <c r="Q5" i="72"/>
  <c r="E6" i="72"/>
  <c r="M6" i="72"/>
  <c r="Q6" i="72"/>
  <c r="E7" i="72"/>
  <c r="I7" i="72"/>
  <c r="M7" i="72"/>
  <c r="Q7" i="72"/>
  <c r="M8" i="72"/>
  <c r="E9" i="72"/>
  <c r="I9" i="72"/>
  <c r="M9" i="72"/>
  <c r="Q9" i="72"/>
  <c r="E10" i="72"/>
  <c r="I10" i="72"/>
  <c r="M10" i="72"/>
  <c r="Q10" i="72"/>
  <c r="E11" i="72"/>
  <c r="I11" i="72"/>
  <c r="M11" i="72"/>
  <c r="Q11" i="72"/>
  <c r="E17" i="72"/>
  <c r="I17" i="72"/>
  <c r="M17" i="72"/>
  <c r="Q17" i="72"/>
  <c r="E18" i="72"/>
  <c r="I18" i="72"/>
  <c r="M18" i="72"/>
  <c r="Q18" i="72"/>
  <c r="E20" i="72"/>
  <c r="I20" i="72"/>
  <c r="M20" i="72"/>
  <c r="Q20" i="72"/>
  <c r="E21" i="72"/>
  <c r="I21" i="72"/>
  <c r="M21" i="72"/>
  <c r="Q21" i="72"/>
  <c r="E23" i="72"/>
  <c r="I23" i="72"/>
  <c r="M23" i="72"/>
  <c r="Q23" i="72"/>
  <c r="E24" i="72"/>
  <c r="I24" i="72"/>
  <c r="M24" i="72"/>
  <c r="Q24" i="72"/>
  <c r="E25" i="72"/>
  <c r="I25" i="72"/>
  <c r="M25" i="72"/>
  <c r="Q25" i="72"/>
  <c r="E30" i="72"/>
  <c r="I30" i="72"/>
  <c r="M30" i="72"/>
  <c r="Q30" i="72"/>
  <c r="B32" i="72"/>
  <c r="E35" i="72"/>
  <c r="I35" i="72"/>
  <c r="M35" i="72"/>
  <c r="Q35" i="72"/>
  <c r="E37" i="72"/>
  <c r="I37" i="72"/>
  <c r="M37" i="72"/>
  <c r="Q37" i="72"/>
  <c r="E40" i="72"/>
  <c r="I40" i="72"/>
  <c r="M40" i="72"/>
  <c r="Q40" i="72"/>
  <c r="E43" i="72"/>
  <c r="I43" i="72"/>
  <c r="M43" i="72"/>
  <c r="Q43" i="72"/>
  <c r="B45" i="72"/>
  <c r="E51" i="72"/>
  <c r="I51" i="72"/>
  <c r="M51" i="72"/>
  <c r="Q51" i="72"/>
  <c r="E52" i="72"/>
  <c r="I52" i="72"/>
  <c r="M52" i="72"/>
  <c r="Q52" i="72"/>
  <c r="C3" i="69"/>
  <c r="O4" i="69"/>
  <c r="I8" i="72"/>
  <c r="C15" i="69"/>
  <c r="C30" i="69"/>
  <c r="C38" i="69"/>
  <c r="D33" i="69" s="1"/>
  <c r="C44" i="69"/>
  <c r="C121" i="69"/>
  <c r="F17" i="71" l="1"/>
  <c r="F34" i="71" s="1"/>
  <c r="F47" i="71" s="1"/>
  <c r="F54" i="71" s="1"/>
  <c r="F56" i="71" s="1"/>
  <c r="H17" i="71"/>
  <c r="G16" i="72" s="1"/>
  <c r="G32" i="72" s="1"/>
  <c r="G47" i="72" s="1"/>
  <c r="G54" i="72" s="1"/>
  <c r="G56" i="72" s="1"/>
  <c r="G17" i="71"/>
  <c r="F16" i="72" s="1"/>
  <c r="F32" i="72" s="1"/>
  <c r="F47" i="72" s="1"/>
  <c r="F54" i="72" s="1"/>
  <c r="F56" i="72" s="1"/>
  <c r="L34" i="71"/>
  <c r="L47" i="71" s="1"/>
  <c r="L54" i="71" s="1"/>
  <c r="L56" i="71" s="1"/>
  <c r="M34" i="71"/>
  <c r="M47" i="71" s="1"/>
  <c r="M54" i="71" s="1"/>
  <c r="M56" i="71" s="1"/>
  <c r="I34" i="71"/>
  <c r="I47" i="71" s="1"/>
  <c r="I54" i="71" s="1"/>
  <c r="I56" i="71" s="1"/>
  <c r="C47" i="71"/>
  <c r="C54" i="71" s="1"/>
  <c r="D34" i="71"/>
  <c r="C6" i="69"/>
  <c r="C9" i="71" s="1"/>
  <c r="O9" i="71" s="1"/>
  <c r="Q9" i="71" s="1"/>
  <c r="E34" i="71"/>
  <c r="E47" i="71" s="1"/>
  <c r="E54" i="71" s="1"/>
  <c r="E56" i="71" s="1"/>
  <c r="O3" i="69"/>
  <c r="O6" i="69" s="1"/>
  <c r="N8" i="72" s="1"/>
  <c r="D115" i="69"/>
  <c r="D52" i="69"/>
  <c r="D38" i="69"/>
  <c r="D121" i="69"/>
  <c r="D59" i="69"/>
  <c r="D44" i="69"/>
  <c r="D15" i="69"/>
  <c r="H47" i="70"/>
  <c r="Q27" i="71"/>
  <c r="R4" i="71"/>
  <c r="Q19" i="71"/>
  <c r="R19" i="71"/>
  <c r="P47" i="71"/>
  <c r="P54" i="71" s="1"/>
  <c r="B47" i="72"/>
  <c r="B54" i="72" s="1"/>
  <c r="Q37" i="71"/>
  <c r="R37" i="71"/>
  <c r="Q12" i="71"/>
  <c r="Q11" i="71"/>
  <c r="H46" i="70"/>
  <c r="R17" i="72"/>
  <c r="I43" i="70"/>
  <c r="H32" i="70"/>
  <c r="I31" i="70"/>
  <c r="Q45" i="71"/>
  <c r="H42" i="70"/>
  <c r="I36" i="70"/>
  <c r="C147" i="69"/>
  <c r="C149" i="69" s="1"/>
  <c r="C130" i="69"/>
  <c r="C133" i="69" s="1"/>
  <c r="Q51" i="71"/>
  <c r="Q50" i="71"/>
  <c r="Q42" i="71"/>
  <c r="R25" i="71"/>
  <c r="R20" i="71"/>
  <c r="R7" i="71"/>
  <c r="Q8" i="71"/>
  <c r="E45" i="72"/>
  <c r="Q45" i="72"/>
  <c r="R43" i="72"/>
  <c r="R35" i="72"/>
  <c r="R52" i="72"/>
  <c r="I45" i="72"/>
  <c r="R10" i="72"/>
  <c r="R6" i="72"/>
  <c r="R51" i="72"/>
  <c r="R24" i="72"/>
  <c r="R23" i="72"/>
  <c r="R30" i="72"/>
  <c r="R18" i="72"/>
  <c r="R9" i="72"/>
  <c r="R5" i="72"/>
  <c r="I49" i="70"/>
  <c r="H48" i="70"/>
  <c r="H39" i="70"/>
  <c r="I34" i="70"/>
  <c r="Q39" i="71"/>
  <c r="R31" i="71"/>
  <c r="R22" i="71"/>
  <c r="R21" i="71"/>
  <c r="R18" i="71"/>
  <c r="R6" i="71"/>
  <c r="R5" i="71"/>
  <c r="R3" i="71"/>
  <c r="R40" i="72"/>
  <c r="R25" i="72"/>
  <c r="R21" i="72"/>
  <c r="R20" i="72"/>
  <c r="R11" i="72"/>
  <c r="R7" i="72"/>
  <c r="R4" i="72"/>
  <c r="R3" i="72"/>
  <c r="I45" i="70"/>
  <c r="I44" i="70"/>
  <c r="I41" i="70"/>
  <c r="I40" i="70"/>
  <c r="I38" i="70"/>
  <c r="I37" i="70"/>
  <c r="I35" i="70"/>
  <c r="I33" i="70"/>
  <c r="C142" i="69"/>
  <c r="C144" i="69" s="1"/>
  <c r="D30" i="69"/>
  <c r="R37" i="72"/>
  <c r="M13" i="72"/>
  <c r="I13" i="72"/>
  <c r="F52" i="70"/>
  <c r="I52" i="70" s="1"/>
  <c r="M45" i="72"/>
  <c r="I50" i="70"/>
  <c r="H34" i="71" l="1"/>
  <c r="H47" i="71" s="1"/>
  <c r="H54" i="71" s="1"/>
  <c r="H56" i="71" s="1"/>
  <c r="I16" i="72"/>
  <c r="I32" i="72" s="1"/>
  <c r="I47" i="72" s="1"/>
  <c r="I54" i="72" s="1"/>
  <c r="G34" i="71"/>
  <c r="G47" i="71" s="1"/>
  <c r="G54" i="71" s="1"/>
  <c r="G56" i="71" s="1"/>
  <c r="N13" i="72"/>
  <c r="Q8" i="72"/>
  <c r="Q13" i="72" s="1"/>
  <c r="O17" i="71"/>
  <c r="M56" i="72"/>
  <c r="M16" i="72"/>
  <c r="M32" i="72" s="1"/>
  <c r="M47" i="72" s="1"/>
  <c r="M54" i="72" s="1"/>
  <c r="R9" i="71"/>
  <c r="B8" i="72"/>
  <c r="E8" i="72" s="1"/>
  <c r="D47" i="71"/>
  <c r="D54" i="71" s="1"/>
  <c r="D56" i="71" s="1"/>
  <c r="O14" i="71"/>
  <c r="Q14" i="71" s="1"/>
  <c r="D142" i="69"/>
  <c r="D144" i="69" s="1"/>
  <c r="E110" i="69"/>
  <c r="E115" i="69" s="1"/>
  <c r="F110" i="69" s="1"/>
  <c r="F115" i="69" s="1"/>
  <c r="G110" i="69" s="1"/>
  <c r="G115" i="69" s="1"/>
  <c r="H110" i="69" s="1"/>
  <c r="H115" i="69" s="1"/>
  <c r="E130" i="69"/>
  <c r="C14" i="71"/>
  <c r="C56" i="71" s="1"/>
  <c r="E16" i="72"/>
  <c r="E32" i="72" s="1"/>
  <c r="E47" i="72" s="1"/>
  <c r="E54" i="72" s="1"/>
  <c r="D147" i="69"/>
  <c r="D149" i="69" s="1"/>
  <c r="D130" i="69"/>
  <c r="D133" i="69" s="1"/>
  <c r="B61" i="72"/>
  <c r="P56" i="71"/>
  <c r="H52" i="70"/>
  <c r="R45" i="72"/>
  <c r="B13" i="72" l="1"/>
  <c r="B56" i="72" s="1"/>
  <c r="B66" i="72" s="1"/>
  <c r="B68" i="72" s="1"/>
  <c r="O34" i="71"/>
  <c r="R34" i="71" s="1"/>
  <c r="N16" i="72"/>
  <c r="R17" i="71"/>
  <c r="Q17" i="71"/>
  <c r="G130" i="69"/>
  <c r="R14" i="71"/>
  <c r="F130" i="69"/>
  <c r="E142" i="69"/>
  <c r="E144" i="69" s="1"/>
  <c r="F142" i="69"/>
  <c r="F144" i="69" s="1"/>
  <c r="E147" i="69"/>
  <c r="E149" i="69" s="1"/>
  <c r="C66" i="72"/>
  <c r="E133" i="69"/>
  <c r="C61" i="72"/>
  <c r="R8" i="72"/>
  <c r="R13" i="72" s="1"/>
  <c r="E13" i="72"/>
  <c r="Q34" i="71" l="1"/>
  <c r="O47" i="71"/>
  <c r="O54" i="71" s="1"/>
  <c r="O56" i="71" s="1"/>
  <c r="Q56" i="71" s="1"/>
  <c r="N32" i="72"/>
  <c r="N47" i="72" s="1"/>
  <c r="N54" i="72" s="1"/>
  <c r="N56" i="72" s="1"/>
  <c r="Q16" i="72"/>
  <c r="H130" i="69"/>
  <c r="C68" i="72"/>
  <c r="G142" i="69"/>
  <c r="G144" i="69" s="1"/>
  <c r="F147" i="69"/>
  <c r="F149" i="69" s="1"/>
  <c r="F133" i="69"/>
  <c r="D61" i="72"/>
  <c r="F60" i="72" s="1"/>
  <c r="F66" i="72" s="1"/>
  <c r="D60" i="72"/>
  <c r="D66" i="72" s="1"/>
  <c r="R47" i="71" l="1"/>
  <c r="R54" i="71"/>
  <c r="Q47" i="71"/>
  <c r="Q54" i="71" s="1"/>
  <c r="Q32" i="72"/>
  <c r="Q47" i="72" s="1"/>
  <c r="Q54" i="72" s="1"/>
  <c r="R16" i="72"/>
  <c r="R32" i="72" s="1"/>
  <c r="R47" i="72" s="1"/>
  <c r="R54" i="72" s="1"/>
  <c r="R56" i="72" s="1"/>
  <c r="R66" i="72" s="1"/>
  <c r="R68" i="72" s="1"/>
  <c r="J130" i="69"/>
  <c r="I130" i="69"/>
  <c r="G147" i="69"/>
  <c r="G149" i="69" s="1"/>
  <c r="H142" i="69"/>
  <c r="H144" i="69" s="1"/>
  <c r="D68" i="72"/>
  <c r="F61" i="72"/>
  <c r="G60" i="72" s="1"/>
  <c r="G66" i="72" s="1"/>
  <c r="K130" i="69" l="1"/>
  <c r="G133" i="69"/>
  <c r="H147" i="69"/>
  <c r="H149" i="69" s="1"/>
  <c r="I142" i="69"/>
  <c r="I144" i="69" s="1"/>
  <c r="F68" i="72"/>
  <c r="L130" i="69" l="1"/>
  <c r="G61" i="72"/>
  <c r="G68" i="72" s="1"/>
  <c r="I147" i="69"/>
  <c r="I149" i="69" s="1"/>
  <c r="J142" i="69"/>
  <c r="J144" i="69" s="1"/>
  <c r="M130" i="69" l="1"/>
  <c r="H60" i="72"/>
  <c r="H66" i="72" s="1"/>
  <c r="K142" i="69"/>
  <c r="K144" i="69" s="1"/>
  <c r="J147" i="69"/>
  <c r="J149" i="69" s="1"/>
  <c r="N130" i="69" l="1"/>
  <c r="L142" i="69"/>
  <c r="L144" i="69" s="1"/>
  <c r="K147" i="69"/>
  <c r="K149" i="69" s="1"/>
  <c r="M142" i="69" l="1"/>
  <c r="M144" i="69" s="1"/>
  <c r="N142" i="69"/>
  <c r="N144" i="69" s="1"/>
  <c r="L147" i="69"/>
  <c r="L149" i="69" s="1"/>
  <c r="M147" i="69" l="1"/>
  <c r="M149" i="69" s="1"/>
  <c r="N147" i="69"/>
  <c r="N149" i="69" s="1"/>
  <c r="H61" i="72" l="1"/>
  <c r="H68" i="72" s="1"/>
  <c r="H133" i="69"/>
  <c r="I133" i="69" l="1"/>
  <c r="J61" i="72"/>
  <c r="K60" i="72" s="1"/>
  <c r="K66" i="72" s="1"/>
  <c r="J133" i="69"/>
  <c r="K133" i="69"/>
  <c r="J60" i="72"/>
  <c r="J66" i="72" s="1"/>
  <c r="K61" i="72" l="1"/>
  <c r="L60" i="72" s="1"/>
  <c r="L66" i="72" s="1"/>
  <c r="L133" i="69"/>
  <c r="L61" i="72"/>
  <c r="N60" i="72" s="1"/>
  <c r="N66" i="72" s="1"/>
  <c r="J68" i="72"/>
  <c r="N133" i="69" l="1"/>
  <c r="K68" i="72"/>
  <c r="L68" i="72"/>
  <c r="M133" i="69"/>
  <c r="N61" i="72"/>
  <c r="P61" i="72" l="1"/>
  <c r="O61" i="72"/>
  <c r="P60" i="72" s="1"/>
  <c r="P66" i="72" s="1"/>
  <c r="O60" i="72"/>
  <c r="O66" i="72" s="1"/>
  <c r="N68" i="72"/>
  <c r="P68" i="72" l="1"/>
  <c r="O68" i="72"/>
  <c r="O70" i="72" s="1"/>
</calcChain>
</file>

<file path=xl/sharedStrings.xml><?xml version="1.0" encoding="utf-8"?>
<sst xmlns="http://schemas.openxmlformats.org/spreadsheetml/2006/main" count="351" uniqueCount="190">
  <si>
    <t>Income</t>
  </si>
  <si>
    <t>Total Income</t>
  </si>
  <si>
    <t>CASH POSITION CHANGE</t>
  </si>
  <si>
    <t>Opening Balance</t>
  </si>
  <si>
    <t>Closing Balance</t>
  </si>
  <si>
    <t>Tax Penalty &amp; Interest</t>
  </si>
  <si>
    <t>Tax Prep &amp; Publishing</t>
  </si>
  <si>
    <t>Legal Fees</t>
  </si>
  <si>
    <t>Audit Fees</t>
  </si>
  <si>
    <t>Tax Revenue (MM Acct)</t>
  </si>
  <si>
    <t>YTD % of Budget</t>
  </si>
  <si>
    <t>Revenue</t>
  </si>
  <si>
    <t>Bank Interest</t>
  </si>
  <si>
    <t>Tax Preparation/ Publishing</t>
  </si>
  <si>
    <t>Audit Fee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</si>
  <si>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</si>
  <si>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</si>
  <si>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</si>
  <si>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</si>
  <si>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</si>
  <si>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</si>
  <si>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</si>
  <si>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</si>
  <si>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</si>
  <si>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</si>
  <si>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</si>
  <si>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</si>
  <si>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</si>
  <si>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</si>
  <si>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</si>
  <si>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2006</t>
  </si>
  <si>
    <t>(Harris Co. Tax Collection Fees)</t>
  </si>
  <si>
    <t>(Harris County Fee)</t>
  </si>
  <si>
    <t>2007</t>
  </si>
  <si>
    <t>Interest</t>
  </si>
  <si>
    <t>Deposits</t>
  </si>
  <si>
    <t>Description</t>
  </si>
  <si>
    <t>Interest Income</t>
  </si>
  <si>
    <t>Amegy Bank - MM Acct</t>
  </si>
  <si>
    <t>Total</t>
  </si>
  <si>
    <t>2008</t>
  </si>
  <si>
    <t>Bank Interest (See Summary)</t>
  </si>
  <si>
    <t>Cash Assets:</t>
  </si>
  <si>
    <t>2009</t>
  </si>
  <si>
    <t>HCAD Charges</t>
  </si>
  <si>
    <t>Financing Expenditures</t>
  </si>
  <si>
    <t>Operating Expenditures</t>
  </si>
  <si>
    <t>Total Budget Year Revenue</t>
  </si>
  <si>
    <t>Excess/(Deficiency) of Revenue less Expenditures</t>
  </si>
  <si>
    <t>Other Financing Sources</t>
  </si>
  <si>
    <t>Oper. Expend. (HCESD#11)</t>
  </si>
  <si>
    <t>ESD #29 Expenditures</t>
  </si>
  <si>
    <t>Total Cash Assets</t>
  </si>
  <si>
    <t>Total Current Cash Assets</t>
  </si>
  <si>
    <t>Total Operating Expenditures</t>
  </si>
  <si>
    <t>Total Expenditures</t>
  </si>
  <si>
    <t>2010</t>
  </si>
  <si>
    <t>Transferred From MMA Account</t>
  </si>
  <si>
    <t>Bank Charges/Misc.</t>
  </si>
  <si>
    <t>CESD Fire Operations Expense</t>
  </si>
  <si>
    <t>YTD Budget Remaining</t>
  </si>
  <si>
    <t>Commuications</t>
  </si>
  <si>
    <t>Computer Network</t>
  </si>
  <si>
    <t>Payroll</t>
  </si>
  <si>
    <t>Equipment</t>
  </si>
  <si>
    <t>Insurance</t>
  </si>
  <si>
    <t>Maintenance</t>
  </si>
  <si>
    <t>Medical Supplies</t>
  </si>
  <si>
    <t>Medical Physicals</t>
  </si>
  <si>
    <t>Supplies</t>
  </si>
  <si>
    <t>Subscriptions/Dues</t>
  </si>
  <si>
    <t>Training</t>
  </si>
  <si>
    <t>Utilities</t>
  </si>
  <si>
    <t>Fire Gear</t>
  </si>
  <si>
    <t>Uniforms</t>
  </si>
  <si>
    <t>Public Relations</t>
  </si>
  <si>
    <t>Fuel</t>
  </si>
  <si>
    <t>Transfer To Other Accounts</t>
  </si>
  <si>
    <t>Amegy Bank MM Acct. #***470</t>
  </si>
  <si>
    <t>Amegy Bank Oper. Acct. #***372</t>
  </si>
  <si>
    <t>Amegy Bank Pay. Acct. #***600</t>
  </si>
  <si>
    <t>Amegy Bank Stat. Acct. #***678</t>
  </si>
  <si>
    <t>Amegy Bank Don. Acct. #***635</t>
  </si>
  <si>
    <t>Bank Charges</t>
  </si>
  <si>
    <t>Total Net Expenditures</t>
  </si>
  <si>
    <t>CESD Fire Operations Expenses</t>
  </si>
  <si>
    <t>Event Hosting</t>
  </si>
  <si>
    <t>Traffic Preemption Payments</t>
  </si>
  <si>
    <t>2011</t>
  </si>
  <si>
    <t>Donations and Contributions</t>
  </si>
  <si>
    <t>Total Operating</t>
  </si>
  <si>
    <t>Fire Gear Maintenance</t>
  </si>
  <si>
    <t>Recognition</t>
  </si>
  <si>
    <t>2012</t>
  </si>
  <si>
    <t>Election Expense</t>
  </si>
  <si>
    <t>Principal &amp; Interest (HCESD#11)</t>
  </si>
  <si>
    <t>2013</t>
  </si>
  <si>
    <t>Other Income</t>
  </si>
  <si>
    <t>Alarm Overage Fees</t>
  </si>
  <si>
    <t>Petty Cash Account</t>
  </si>
  <si>
    <t>Amegy Bank ST Acct. #***193</t>
  </si>
  <si>
    <t>Wells Fargo Loan Acct. #***149</t>
  </si>
  <si>
    <t>Transfer From Other Accounts</t>
  </si>
  <si>
    <t xml:space="preserve">CD Interest </t>
  </si>
  <si>
    <t>Trustmark CD Acct. #***847</t>
  </si>
  <si>
    <t>Capital Expenditures</t>
  </si>
  <si>
    <t>Sales Tax Revenue</t>
  </si>
  <si>
    <t>(Texas Comptroller Fee)</t>
  </si>
  <si>
    <t>Delinguent Tax Revenue</t>
  </si>
  <si>
    <t>2014</t>
  </si>
  <si>
    <t>.</t>
  </si>
  <si>
    <t>Surplus (Deficit) Collateral</t>
  </si>
  <si>
    <t>Amegy Bank</t>
  </si>
  <si>
    <t>Total Demand Deposits</t>
  </si>
  <si>
    <t>FDIC Insurance &amp; Pledged Collateral</t>
  </si>
  <si>
    <t>Wells Fargo Bank</t>
  </si>
  <si>
    <t>Trust Mark Bank</t>
  </si>
  <si>
    <t>FDIC Insurance</t>
  </si>
  <si>
    <t>Pledged Securities</t>
  </si>
  <si>
    <t>2015</t>
  </si>
  <si>
    <t>Sales Tax Audit Charges</t>
  </si>
  <si>
    <t>Sales Tax Audit Fees</t>
  </si>
  <si>
    <t>Human Resources Consulting</t>
  </si>
  <si>
    <t>2016</t>
  </si>
  <si>
    <t>2nd Quarter</t>
  </si>
  <si>
    <t>3rd Quarter</t>
  </si>
  <si>
    <t>1st Quarter</t>
  </si>
  <si>
    <t>ISO Consulting</t>
  </si>
  <si>
    <t>Donations &amp; Contributions</t>
  </si>
  <si>
    <t>Loan Proceeds for Truck Purchase</t>
  </si>
  <si>
    <t>Fire Marshall Services</t>
  </si>
  <si>
    <t>2017</t>
  </si>
  <si>
    <t>LL</t>
  </si>
  <si>
    <r>
      <t>(1)</t>
    </r>
    <r>
      <rPr>
        <sz val="8"/>
        <color indexed="10"/>
        <rFont val="Arial"/>
        <family val="2"/>
      </rPr>
      <t>Budget year 2017 tax revenue collected in 2016: Nov. $29.409.62; Dec. $393,910.26.</t>
    </r>
  </si>
  <si>
    <t>Fire Operations  Expenses</t>
  </si>
  <si>
    <t>Human Resource Consulting</t>
  </si>
  <si>
    <t>Analysis Fee</t>
  </si>
  <si>
    <t>NSF Fee</t>
  </si>
  <si>
    <r>
      <t xml:space="preserve">Cash Assets: </t>
    </r>
    <r>
      <rPr>
        <sz val="10"/>
        <rFont val="Arial"/>
        <family val="2"/>
      </rPr>
      <t>(See Bank Summary)</t>
    </r>
  </si>
  <si>
    <t>Transfer To/ From Other Accounts</t>
  </si>
  <si>
    <t>4th Quarter</t>
  </si>
  <si>
    <t>2018 Total</t>
  </si>
  <si>
    <t>2018</t>
  </si>
  <si>
    <t>Election Expenses</t>
  </si>
  <si>
    <t>Administrative/Bookkeeping Services</t>
  </si>
  <si>
    <t>Architect Fees</t>
  </si>
  <si>
    <t>Principal &amp; Interest (Pumper Trucks)</t>
  </si>
  <si>
    <t>Principal &amp; Interest (Tower Truck)</t>
  </si>
  <si>
    <t>Principal &amp; Interest (Station 11)</t>
  </si>
  <si>
    <t>Principal &amp; Interest (Station 12)</t>
  </si>
  <si>
    <t>Change From 2017</t>
  </si>
  <si>
    <t>2018 Month End Demand Deposit/Collateral Report</t>
  </si>
  <si>
    <t>2003 - 2018 Month End Cash Asset Comparison</t>
  </si>
  <si>
    <t>Thermal Inaging Equipment</t>
  </si>
  <si>
    <t>Principal &amp; Interest (HCESD # 11)</t>
  </si>
  <si>
    <t>Transfer (To)/From Other Accounts</t>
  </si>
  <si>
    <t>Total Capital &amp; Financing</t>
  </si>
  <si>
    <t>Loan proceeds for Station Construction</t>
  </si>
  <si>
    <t>BancorpSouth Construction Acct # ****912</t>
  </si>
  <si>
    <t>BancorpSouth Sales Tax (MM) Acct. #***215</t>
  </si>
  <si>
    <t>BancorpSouth HCAD (MM) Acct. #***215</t>
  </si>
  <si>
    <t>BancorpSouth Oper. Acct. #***6245</t>
  </si>
  <si>
    <t>BancorpSouth Pay. Acct. #***613</t>
  </si>
  <si>
    <t>BancorpSouth Station Acct. #***712</t>
  </si>
  <si>
    <t>BancorpSouth - MM Acct</t>
  </si>
  <si>
    <t>Nov-Dec 2018</t>
  </si>
  <si>
    <t>2019 YTD Totals</t>
  </si>
  <si>
    <t>2019 Approved Budget</t>
  </si>
  <si>
    <t>2019 Budget</t>
  </si>
  <si>
    <t>CA</t>
  </si>
  <si>
    <t>OP</t>
  </si>
  <si>
    <t>CD</t>
  </si>
  <si>
    <t>A-PT</t>
  </si>
  <si>
    <t>B-ST</t>
  </si>
  <si>
    <t>B-PT</t>
  </si>
  <si>
    <t>OQ</t>
  </si>
  <si>
    <t>OR</t>
  </si>
  <si>
    <t>OU</t>
  </si>
  <si>
    <t>OT</t>
  </si>
  <si>
    <t>OW</t>
  </si>
  <si>
    <t>OX</t>
  </si>
  <si>
    <t>OY</t>
  </si>
  <si>
    <t>BancorpSouth</t>
  </si>
  <si>
    <t>Legistrative Action</t>
  </si>
  <si>
    <t>Commissioner Ed, Training, Travel</t>
  </si>
  <si>
    <t>Projected</t>
  </si>
  <si>
    <t>FLSO Tahoe</t>
  </si>
  <si>
    <r>
      <t>2018 Budget Year Tax Revenue</t>
    </r>
    <r>
      <rPr>
        <b/>
        <vertAlign val="superscript"/>
        <sz val="10"/>
        <rFont val="Arial"/>
        <family val="2"/>
      </rPr>
      <t xml:space="preserve"> (1)</t>
    </r>
  </si>
  <si>
    <t>Architect Services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</si>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</sst>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vertAlign val="superscript"/>
      <sz val="8"/>
      <color indexed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u/>
      <sz val="10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7" fontId="2" fillId="0" borderId="0" xfId="0" applyNumberFormat="1" applyFont="1" applyAlignment="1">
      <alignment wrapText="1"/>
    </xf>
    <xf numFmtId="7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7" fontId="2" fillId="3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5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7" fontId="2" fillId="3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7" fontId="8" fillId="0" borderId="0" xfId="0" applyNumberFormat="1" applyFont="1" applyAlignment="1">
      <alignment horizontal="left" vertical="top" wrapText="1"/>
    </xf>
    <xf numFmtId="7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horizontal="righ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7" fontId="2" fillId="0" borderId="0" xfId="0" applyNumberFormat="1" applyFont="1" applyAlignment="1">
      <alignment vertical="top" wrapText="1"/>
    </xf>
    <xf numFmtId="5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7" fontId="2" fillId="0" borderId="0" xfId="0" applyNumberFormat="1" applyFont="1" applyAlignment="1">
      <alignment horizontal="right" vertical="top" wrapText="1"/>
    </xf>
    <xf numFmtId="7" fontId="5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7" fontId="3" fillId="0" borderId="0" xfId="0" applyNumberFormat="1" applyFont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7" fontId="0" fillId="0" borderId="0" xfId="0" applyNumberFormat="1"/>
    <xf numFmtId="0" fontId="8" fillId="0" borderId="0" xfId="0" applyFont="1"/>
    <xf numFmtId="7" fontId="0" fillId="0" borderId="1" xfId="0" applyNumberFormat="1" applyBorder="1"/>
    <xf numFmtId="0" fontId="8" fillId="0" borderId="1" xfId="0" applyFont="1" applyBorder="1" applyAlignment="1">
      <alignment horizontal="right" vertical="top" wrapText="1"/>
    </xf>
    <xf numFmtId="7" fontId="8" fillId="0" borderId="1" xfId="0" applyNumberFormat="1" applyFont="1" applyBorder="1"/>
    <xf numFmtId="0" fontId="3" fillId="0" borderId="0" xfId="0" applyFont="1"/>
    <xf numFmtId="0" fontId="8" fillId="0" borderId="1" xfId="0" applyFont="1" applyBorder="1" applyAlignment="1">
      <alignment vertical="top" wrapText="1"/>
    </xf>
    <xf numFmtId="7" fontId="0" fillId="2" borderId="1" xfId="0" applyNumberFormat="1" applyFill="1" applyBorder="1"/>
    <xf numFmtId="7" fontId="8" fillId="0" borderId="0" xfId="0" applyNumberFormat="1" applyFont="1"/>
    <xf numFmtId="7" fontId="2" fillId="0" borderId="1" xfId="0" applyNumberFormat="1" applyFont="1" applyBorder="1"/>
    <xf numFmtId="0" fontId="8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5" fontId="4" fillId="0" borderId="0" xfId="0" applyNumberFormat="1" applyFont="1" applyAlignment="1">
      <alignment wrapText="1"/>
    </xf>
    <xf numFmtId="5" fontId="4" fillId="0" borderId="0" xfId="0" applyNumberFormat="1" applyFont="1" applyAlignment="1">
      <alignment vertical="top" wrapText="1"/>
    </xf>
    <xf numFmtId="0" fontId="3" fillId="8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top" wrapText="1"/>
    </xf>
    <xf numFmtId="7" fontId="8" fillId="2" borderId="3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7" fontId="2" fillId="0" borderId="1" xfId="0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vertical="top"/>
    </xf>
    <xf numFmtId="7" fontId="4" fillId="0" borderId="0" xfId="0" applyNumberFormat="1" applyFont="1" applyAlignment="1">
      <alignment vertical="top" wrapText="1"/>
    </xf>
    <xf numFmtId="10" fontId="5" fillId="2" borderId="1" xfId="0" applyNumberFormat="1" applyFont="1" applyFill="1" applyBorder="1" applyAlignment="1">
      <alignment wrapText="1"/>
    </xf>
    <xf numFmtId="10" fontId="2" fillId="8" borderId="1" xfId="0" applyNumberFormat="1" applyFont="1" applyFill="1" applyBorder="1" applyAlignment="1">
      <alignment vertical="top" wrapText="1"/>
    </xf>
    <xf numFmtId="0" fontId="2" fillId="0" borderId="1" xfId="0" applyFont="1" applyBorder="1"/>
    <xf numFmtId="0" fontId="12" fillId="0" borderId="0" xfId="0" applyFont="1" applyAlignment="1">
      <alignment vertical="top" wrapText="1"/>
    </xf>
    <xf numFmtId="43" fontId="2" fillId="0" borderId="1" xfId="0" applyNumberFormat="1" applyFon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43" fontId="2" fillId="8" borderId="1" xfId="0" applyNumberFormat="1" applyFont="1" applyFill="1" applyBorder="1" applyAlignment="1">
      <alignment vertical="top" wrapText="1"/>
    </xf>
    <xf numFmtId="43" fontId="5" fillId="5" borderId="1" xfId="0" applyNumberFormat="1" applyFont="1" applyFill="1" applyBorder="1" applyAlignment="1">
      <alignment vertical="top" wrapText="1"/>
    </xf>
    <xf numFmtId="43" fontId="5" fillId="6" borderId="1" xfId="0" applyNumberFormat="1" applyFont="1" applyFill="1" applyBorder="1" applyAlignment="1">
      <alignment vertical="top" wrapText="1"/>
    </xf>
    <xf numFmtId="43" fontId="2" fillId="0" borderId="1" xfId="0" applyNumberFormat="1" applyFont="1" applyBorder="1" applyAlignment="1">
      <alignment wrapText="1"/>
    </xf>
    <xf numFmtId="44" fontId="2" fillId="8" borderId="1" xfId="0" applyNumberFormat="1" applyFont="1" applyFill="1" applyBorder="1" applyAlignment="1">
      <alignment vertical="top" wrapText="1"/>
    </xf>
    <xf numFmtId="44" fontId="5" fillId="5" borderId="1" xfId="0" applyNumberFormat="1" applyFont="1" applyFill="1" applyBorder="1" applyAlignment="1">
      <alignment vertical="top" wrapText="1"/>
    </xf>
    <xf numFmtId="44" fontId="5" fillId="6" borderId="1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8" fillId="0" borderId="0" xfId="0" applyFont="1" applyAlignment="1">
      <alignment vertical="top"/>
    </xf>
    <xf numFmtId="7" fontId="4" fillId="0" borderId="0" xfId="0" applyNumberFormat="1" applyFont="1" applyAlignment="1">
      <alignment wrapText="1"/>
    </xf>
    <xf numFmtId="44" fontId="4" fillId="6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44" fontId="3" fillId="8" borderId="0" xfId="0" applyNumberFormat="1" applyFont="1" applyFill="1" applyAlignment="1">
      <alignment vertical="top" wrapText="1"/>
    </xf>
    <xf numFmtId="44" fontId="4" fillId="5" borderId="0" xfId="0" applyNumberFormat="1" applyFont="1" applyFill="1" applyAlignment="1">
      <alignment vertical="top" wrapText="1"/>
    </xf>
    <xf numFmtId="44" fontId="4" fillId="6" borderId="0" xfId="0" applyNumberFormat="1" applyFont="1" applyFill="1" applyAlignment="1">
      <alignment vertical="top" wrapText="1"/>
    </xf>
    <xf numFmtId="44" fontId="4" fillId="0" borderId="0" xfId="0" applyNumberFormat="1" applyFont="1" applyAlignment="1">
      <alignment wrapText="1"/>
    </xf>
    <xf numFmtId="44" fontId="4" fillId="0" borderId="0" xfId="0" applyNumberFormat="1" applyFont="1" applyAlignment="1">
      <alignment vertical="top" wrapText="1"/>
    </xf>
    <xf numFmtId="44" fontId="2" fillId="8" borderId="1" xfId="1" applyFont="1" applyFill="1" applyBorder="1" applyAlignment="1">
      <alignment vertical="top" wrapText="1"/>
    </xf>
    <xf numFmtId="43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165" fontId="4" fillId="8" borderId="0" xfId="0" applyNumberFormat="1" applyFont="1" applyFill="1" applyAlignment="1">
      <alignment vertical="top" wrapText="1"/>
    </xf>
    <xf numFmtId="4" fontId="0" fillId="0" borderId="0" xfId="0" applyNumberFormat="1"/>
    <xf numFmtId="0" fontId="0" fillId="2" borderId="0" xfId="0" applyFill="1"/>
    <xf numFmtId="164" fontId="4" fillId="0" borderId="0" xfId="0" applyNumberFormat="1" applyFont="1" applyAlignment="1">
      <alignment wrapText="1"/>
    </xf>
    <xf numFmtId="44" fontId="2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left"/>
    </xf>
    <xf numFmtId="44" fontId="0" fillId="0" borderId="1" xfId="1" applyFont="1" applyBorder="1"/>
    <xf numFmtId="44" fontId="8" fillId="0" borderId="1" xfId="0" applyNumberFormat="1" applyFont="1" applyBorder="1"/>
    <xf numFmtId="0" fontId="8" fillId="0" borderId="0" xfId="0" applyFont="1" applyAlignment="1">
      <alignment horizontal="left"/>
    </xf>
    <xf numFmtId="44" fontId="8" fillId="0" borderId="0" xfId="0" applyNumberFormat="1" applyFont="1"/>
    <xf numFmtId="44" fontId="2" fillId="0" borderId="1" xfId="1" applyFont="1" applyBorder="1" applyAlignment="1">
      <alignment vertical="top" wrapText="1"/>
    </xf>
    <xf numFmtId="44" fontId="3" fillId="5" borderId="0" xfId="0" applyNumberFormat="1" applyFont="1" applyFill="1" applyAlignment="1">
      <alignment vertical="top" wrapText="1"/>
    </xf>
    <xf numFmtId="7" fontId="2" fillId="0" borderId="1" xfId="0" applyNumberFormat="1" applyFont="1" applyBorder="1" applyAlignment="1">
      <alignment vertical="top" wrapText="1"/>
    </xf>
    <xf numFmtId="8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43" fontId="15" fillId="0" borderId="0" xfId="0" applyNumberFormat="1" applyFont="1"/>
    <xf numFmtId="0" fontId="1" fillId="0" borderId="1" xfId="0" applyFont="1" applyBorder="1" applyAlignment="1">
      <alignment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top" wrapText="1"/>
    </xf>
    <xf numFmtId="17" fontId="18" fillId="4" borderId="1" xfId="0" applyNumberFormat="1" applyFont="1" applyFill="1" applyBorder="1" applyAlignment="1">
      <alignment horizontal="center" vertical="top" wrapText="1"/>
    </xf>
    <xf numFmtId="17" fontId="18" fillId="5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7" fontId="17" fillId="0" borderId="0" xfId="0" applyNumberFormat="1" applyFont="1" applyAlignment="1">
      <alignment horizontal="right" vertical="top" wrapText="1"/>
    </xf>
    <xf numFmtId="7" fontId="17" fillId="0" borderId="1" xfId="0" applyNumberFormat="1" applyFont="1" applyBorder="1" applyAlignment="1">
      <alignment horizontal="right" vertical="top" wrapText="1"/>
    </xf>
    <xf numFmtId="7" fontId="17" fillId="0" borderId="6" xfId="0" applyNumberFormat="1" applyFont="1" applyBorder="1" applyAlignment="1">
      <alignment horizontal="right" vertical="top" wrapText="1"/>
    </xf>
    <xf numFmtId="17" fontId="18" fillId="0" borderId="0" xfId="0" applyNumberFormat="1" applyFont="1" applyAlignment="1">
      <alignment horizontal="center" vertical="top" wrapText="1"/>
    </xf>
    <xf numFmtId="7" fontId="17" fillId="0" borderId="7" xfId="0" applyNumberFormat="1" applyFont="1" applyBorder="1" applyAlignment="1">
      <alignment horizontal="right" vertical="top" wrapText="1"/>
    </xf>
    <xf numFmtId="7" fontId="17" fillId="5" borderId="1" xfId="0" applyNumberFormat="1" applyFont="1" applyFill="1" applyBorder="1" applyAlignment="1">
      <alignment horizontal="right" vertical="top" wrapText="1"/>
    </xf>
    <xf numFmtId="7" fontId="17" fillId="2" borderId="1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7" fontId="17" fillId="0" borderId="2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7" fontId="17" fillId="0" borderId="0" xfId="0" applyNumberFormat="1" applyFont="1" applyAlignment="1">
      <alignment vertical="top" wrapText="1"/>
    </xf>
    <xf numFmtId="0" fontId="20" fillId="0" borderId="0" xfId="0" applyFont="1"/>
    <xf numFmtId="7" fontId="17" fillId="5" borderId="2" xfId="0" applyNumberFormat="1" applyFont="1" applyFill="1" applyBorder="1" applyAlignment="1">
      <alignment horizontal="right" vertical="top" wrapText="1"/>
    </xf>
    <xf numFmtId="0" fontId="19" fillId="0" borderId="0" xfId="0" applyFont="1" applyAlignment="1">
      <alignment vertical="top"/>
    </xf>
    <xf numFmtId="0" fontId="18" fillId="2" borderId="0" xfId="0" applyFont="1" applyFill="1" applyAlignment="1">
      <alignment horizontal="right" vertical="top" wrapText="1"/>
    </xf>
    <xf numFmtId="7" fontId="18" fillId="2" borderId="1" xfId="0" applyNumberFormat="1" applyFont="1" applyFill="1" applyBorder="1" applyAlignment="1">
      <alignment horizontal="right" vertical="top" wrapText="1"/>
    </xf>
    <xf numFmtId="7" fontId="18" fillId="0" borderId="0" xfId="0" applyNumberFormat="1" applyFont="1" applyAlignment="1">
      <alignment horizontal="right" vertical="top" wrapText="1"/>
    </xf>
    <xf numFmtId="0" fontId="18" fillId="6" borderId="3" xfId="0" applyFont="1" applyFill="1" applyBorder="1" applyAlignment="1">
      <alignment horizontal="right" vertical="top" wrapText="1"/>
    </xf>
    <xf numFmtId="7" fontId="17" fillId="6" borderId="1" xfId="0" applyNumberFormat="1" applyFont="1" applyFill="1" applyBorder="1" applyAlignment="1">
      <alignment horizontal="right" vertical="top" wrapText="1"/>
    </xf>
    <xf numFmtId="0" fontId="18" fillId="9" borderId="3" xfId="0" applyFont="1" applyFill="1" applyBorder="1" applyAlignment="1">
      <alignment horizontal="right" vertical="top" wrapText="1"/>
    </xf>
    <xf numFmtId="7" fontId="17" fillId="9" borderId="5" xfId="0" applyNumberFormat="1" applyFont="1" applyFill="1" applyBorder="1" applyAlignment="1">
      <alignment horizontal="right" vertical="top" wrapText="1"/>
    </xf>
    <xf numFmtId="43" fontId="1" fillId="0" borderId="1" xfId="0" applyNumberFormat="1" applyFont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7" fontId="1" fillId="0" borderId="0" xfId="0" applyNumberFormat="1" applyFont="1" applyAlignment="1">
      <alignment horizontal="right" vertical="top" wrapText="1"/>
    </xf>
    <xf numFmtId="43" fontId="1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center" vertical="top" wrapText="1"/>
    </xf>
    <xf numFmtId="7" fontId="2" fillId="0" borderId="1" xfId="0" applyNumberFormat="1" applyFont="1" applyBorder="1" applyAlignment="1">
      <alignment wrapText="1"/>
    </xf>
    <xf numFmtId="7" fontId="8" fillId="10" borderId="1" xfId="0" applyNumberFormat="1" applyFont="1" applyFill="1" applyBorder="1"/>
    <xf numFmtId="14" fontId="0" fillId="0" borderId="0" xfId="0" applyNumberFormat="1"/>
    <xf numFmtId="2" fontId="0" fillId="0" borderId="0" xfId="0" applyNumberFormat="1"/>
    <xf numFmtId="7" fontId="2" fillId="0" borderId="8" xfId="0" applyNumberFormat="1" applyFont="1" applyBorder="1" applyAlignment="1">
      <alignment wrapText="1"/>
    </xf>
    <xf numFmtId="44" fontId="2" fillId="0" borderId="1" xfId="0" applyNumberFormat="1" applyFont="1" applyBorder="1"/>
    <xf numFmtId="44" fontId="5" fillId="5" borderId="1" xfId="0" applyNumberFormat="1" applyFont="1" applyFill="1" applyBorder="1" applyAlignment="1">
      <alignment horizontal="right" vertical="top" wrapText="1"/>
    </xf>
    <xf numFmtId="43" fontId="5" fillId="5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wrapText="1"/>
    </xf>
    <xf numFmtId="44" fontId="2" fillId="8" borderId="1" xfId="1" applyFont="1" applyFill="1" applyBorder="1" applyAlignment="1">
      <alignment horizontal="right" vertical="top" wrapText="1"/>
    </xf>
    <xf numFmtId="43" fontId="5" fillId="6" borderId="1" xfId="0" applyNumberFormat="1" applyFont="1" applyFill="1" applyBorder="1" applyAlignment="1">
      <alignment horizontal="right" vertical="top" wrapText="1"/>
    </xf>
    <xf numFmtId="44" fontId="5" fillId="6" borderId="1" xfId="0" applyNumberFormat="1" applyFont="1" applyFill="1" applyBorder="1" applyAlignment="1">
      <alignment horizontal="right" vertical="top" wrapText="1"/>
    </xf>
    <xf numFmtId="43" fontId="5" fillId="5" borderId="1" xfId="0" applyNumberFormat="1" applyFont="1" applyFill="1" applyBorder="1" applyAlignment="1">
      <alignment horizontal="right" wrapText="1"/>
    </xf>
    <xf numFmtId="43" fontId="5" fillId="6" borderId="1" xfId="0" applyNumberFormat="1" applyFont="1" applyFill="1" applyBorder="1" applyAlignment="1">
      <alignment horizontal="right" wrapText="1"/>
    </xf>
    <xf numFmtId="5" fontId="5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HCESD #29 
Cash Asset Comparison Chart 2014 - 2019</a:t>
            </a:r>
          </a:p>
        </c:rich>
      </c:tx>
      <c:layout>
        <c:manualLayout>
          <c:xMode val="edge"/>
          <c:yMode val="edge"/>
          <c:x val="0.24208334717653965"/>
          <c:y val="1.26859142607174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631837159593"/>
          <c:y val="0.17539095748624642"/>
          <c:w val="0.75429184549356221"/>
          <c:h val="0.7037285169862241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val>
            <c:numRef>
              <c:f>'Bank Acct Summary'!$C$166:$N$166</c:f>
              <c:numCache>
                <c:formatCode>"$"#,##0.00_);\("$"#,##0.00\)</c:formatCode>
                <c:ptCount val="12"/>
                <c:pt idx="0">
                  <c:v>1971094.38</c:v>
                </c:pt>
                <c:pt idx="1">
                  <c:v>2638458.2000000002</c:v>
                </c:pt>
                <c:pt idx="2">
                  <c:v>2593266.2799999998</c:v>
                </c:pt>
                <c:pt idx="3">
                  <c:v>2524029.86</c:v>
                </c:pt>
                <c:pt idx="4">
                  <c:v>2429491.83</c:v>
                </c:pt>
                <c:pt idx="5">
                  <c:v>2374197.39</c:v>
                </c:pt>
                <c:pt idx="6">
                  <c:v>1968976.27</c:v>
                </c:pt>
                <c:pt idx="7">
                  <c:v>1904657.43</c:v>
                </c:pt>
                <c:pt idx="8">
                  <c:v>1720656.11</c:v>
                </c:pt>
                <c:pt idx="9">
                  <c:v>1599841.23</c:v>
                </c:pt>
                <c:pt idx="10">
                  <c:v>1626290.19</c:v>
                </c:pt>
                <c:pt idx="11">
                  <c:v>2170026.1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4-401E-AFC7-42C037083802}"/>
            </c:ext>
          </c:extLst>
        </c:ser>
        <c:ser>
          <c:idx val="2"/>
          <c:order val="1"/>
          <c:tx>
            <c:v>2015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'Bank Acct Summary'!$C$167:$N$167</c:f>
              <c:numCache>
                <c:formatCode>"$"#,##0.00_);\("$"#,##0.00\)</c:formatCode>
                <c:ptCount val="12"/>
                <c:pt idx="0">
                  <c:v>2645434.9500000002</c:v>
                </c:pt>
                <c:pt idx="1">
                  <c:v>3377080.75</c:v>
                </c:pt>
                <c:pt idx="2">
                  <c:v>3343428.18</c:v>
                </c:pt>
                <c:pt idx="3">
                  <c:v>3241640.83</c:v>
                </c:pt>
                <c:pt idx="4">
                  <c:v>3190840.55</c:v>
                </c:pt>
                <c:pt idx="5">
                  <c:v>3226311.02</c:v>
                </c:pt>
                <c:pt idx="6">
                  <c:v>3145966.52</c:v>
                </c:pt>
                <c:pt idx="7">
                  <c:v>2828137.44</c:v>
                </c:pt>
                <c:pt idx="8">
                  <c:v>2758003.96</c:v>
                </c:pt>
                <c:pt idx="9">
                  <c:v>2663266.48</c:v>
                </c:pt>
                <c:pt idx="10">
                  <c:v>2679132.2599999998</c:v>
                </c:pt>
                <c:pt idx="11">
                  <c:v>2927138.26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4-401E-AFC7-42C037083802}"/>
            </c:ext>
          </c:extLst>
        </c:ser>
        <c:ser>
          <c:idx val="9"/>
          <c:order val="2"/>
          <c:tx>
            <c:v>2016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'Bank Acct Summary'!$C$168:$N$168</c:f>
              <c:numCache>
                <c:formatCode>"$"#,##0.00_);\("$"#,##0.00\)</c:formatCode>
                <c:ptCount val="12"/>
                <c:pt idx="0">
                  <c:v>3794748.34</c:v>
                </c:pt>
                <c:pt idx="1">
                  <c:v>4528706.87</c:v>
                </c:pt>
                <c:pt idx="2">
                  <c:v>3283965.8</c:v>
                </c:pt>
                <c:pt idx="3">
                  <c:v>3232710.04</c:v>
                </c:pt>
                <c:pt idx="4">
                  <c:v>3182370.3</c:v>
                </c:pt>
                <c:pt idx="5">
                  <c:v>3154808.23</c:v>
                </c:pt>
                <c:pt idx="6">
                  <c:v>2683930.1800000002</c:v>
                </c:pt>
                <c:pt idx="7">
                  <c:v>2689008.68</c:v>
                </c:pt>
                <c:pt idx="8">
                  <c:v>2574196.1</c:v>
                </c:pt>
                <c:pt idx="9">
                  <c:v>2523304.62</c:v>
                </c:pt>
                <c:pt idx="10">
                  <c:v>2488519.8199999998</c:v>
                </c:pt>
                <c:pt idx="11">
                  <c:v>2805915.99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4-401E-AFC7-42C037083802}"/>
            </c:ext>
          </c:extLst>
        </c:ser>
        <c:ser>
          <c:idx val="0"/>
          <c:order val="3"/>
          <c:tx>
            <c:v>2017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'Bank Acct Summary'!$C$169:$N$169</c:f>
              <c:numCache>
                <c:formatCode>"$"#,##0.00_);\("$"#,##0.00\)</c:formatCode>
                <c:ptCount val="12"/>
                <c:pt idx="0">
                  <c:v>3842583.68</c:v>
                </c:pt>
                <c:pt idx="1">
                  <c:v>4303863.6100000003</c:v>
                </c:pt>
                <c:pt idx="2">
                  <c:v>3767231.7</c:v>
                </c:pt>
                <c:pt idx="3">
                  <c:v>3730690.77</c:v>
                </c:pt>
                <c:pt idx="4">
                  <c:v>3694576.11</c:v>
                </c:pt>
                <c:pt idx="5">
                  <c:v>3680994.04</c:v>
                </c:pt>
                <c:pt idx="6">
                  <c:v>3256150.5999999996</c:v>
                </c:pt>
                <c:pt idx="7">
                  <c:v>3173539.83</c:v>
                </c:pt>
                <c:pt idx="8">
                  <c:v>3060295.83</c:v>
                </c:pt>
                <c:pt idx="9">
                  <c:v>3089233.36</c:v>
                </c:pt>
                <c:pt idx="10">
                  <c:v>3083951.78</c:v>
                </c:pt>
                <c:pt idx="11">
                  <c:v>3842583.68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6-46CD-A2F2-68E2AC04A7D7}"/>
            </c:ext>
          </c:extLst>
        </c:ser>
        <c:ser>
          <c:idx val="3"/>
          <c:order val="4"/>
          <c:tx>
            <c:v>2018</c:v>
          </c:tx>
          <c:marker>
            <c:symbol val="none"/>
          </c:marker>
          <c:val>
            <c:numRef>
              <c:f>'Bank Acct Summary'!$C$170:$N$170</c:f>
              <c:numCache>
                <c:formatCode>"$"#,##0.00_);\("$"#,##0.00\)</c:formatCode>
                <c:ptCount val="12"/>
                <c:pt idx="0">
                  <c:v>4728932.8299999991</c:v>
                </c:pt>
                <c:pt idx="1">
                  <c:v>5465845.3499999987</c:v>
                </c:pt>
                <c:pt idx="2">
                  <c:v>5293711.0299999984</c:v>
                </c:pt>
                <c:pt idx="3">
                  <c:v>5251185.42</c:v>
                </c:pt>
                <c:pt idx="4">
                  <c:v>5241860.6500000004</c:v>
                </c:pt>
                <c:pt idx="5">
                  <c:v>5156957.0500000007</c:v>
                </c:pt>
                <c:pt idx="6">
                  <c:v>5104935.8000000007</c:v>
                </c:pt>
                <c:pt idx="7">
                  <c:v>4531228.97</c:v>
                </c:pt>
                <c:pt idx="8">
                  <c:v>8276581.9999999991</c:v>
                </c:pt>
                <c:pt idx="9">
                  <c:v>8231594.7499999991</c:v>
                </c:pt>
                <c:pt idx="10">
                  <c:v>8353246.3199999994</c:v>
                </c:pt>
                <c:pt idx="11">
                  <c:v>8989298.3399999999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BC-42DC-80E2-0B6D4666A229}"/>
            </c:ext>
          </c:extLst>
        </c:ser>
        <c:ser>
          <c:idx val="4"/>
          <c:order val="5"/>
          <c:tx>
            <c:v>2019</c:v>
          </c:tx>
          <c:marker>
            <c:symbol val="none"/>
          </c:marker>
          <c:val>
            <c:numRef>
              <c:f>'Bank Acct Summary'!$C$171:$N$171</c:f>
              <c:numCache>
                <c:formatCode>"$"#,##0.00_);\("$"#,##0.00\)</c:formatCode>
                <c:ptCount val="12"/>
                <c:pt idx="0">
                  <c:v>9579588.0600000005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E-43B5-B3FF-C4970ACC2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45920"/>
        <c:axId val="117748480"/>
      </c:lineChart>
      <c:catAx>
        <c:axId val="11774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570815450643779"/>
              <c:y val="0.9139633286318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8480"/>
        <c:crosses val="autoZero"/>
        <c:auto val="1"/>
        <c:lblAlgn val="ctr"/>
        <c:lblOffset val="100"/>
        <c:noMultiLvlLbl val="0"/>
      </c:catAx>
      <c:valAx>
        <c:axId val="11774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District Cash Assets</a:t>
                </a:r>
              </a:p>
            </c:rich>
          </c:tx>
          <c:layout>
            <c:manualLayout>
              <c:xMode val="edge"/>
              <c:yMode val="edge"/>
              <c:x val="3.2188841201716738E-3"/>
              <c:y val="0.4076163610719322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5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5" right="0.5" top="0.25" bottom="0.75" header="0.5" footer="0.5"/>
  <pageSetup orientation="landscape" r:id="rId1"/>
  <headerFooter alignWithMargins="0">
    <oddFooter>&amp;L&amp;8&amp;F
&amp;A&amp;C&amp;9&amp;P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28.5703125" style="112" customWidth="1"/>
    <col min="2" max="2" width="17.5703125" style="124" customWidth="1"/>
    <col min="3" max="3" width="16.85546875" style="124" customWidth="1"/>
    <col min="4" max="4" width="19.28515625" style="124" customWidth="1"/>
    <col min="5" max="9" width="15.5703125" style="124" customWidth="1"/>
    <col min="10" max="10" width="16.5703125" style="124" customWidth="1"/>
    <col min="11" max="17" width="15.5703125" style="124" customWidth="1"/>
    <col min="18" max="18" width="17.28515625" style="124" customWidth="1"/>
    <col min="19" max="19" width="9.140625" style="112"/>
    <col min="20" max="20" width="11.5703125" style="112" bestFit="1" customWidth="1"/>
    <col min="21" max="21" width="12.140625" style="112" bestFit="1" customWidth="1"/>
    <col min="22" max="16384" width="9.140625" style="112"/>
  </cols>
  <sheetData>
    <row r="1" spans="1:20" ht="12.75" customHeight="1" x14ac:dyDescent="0.2">
      <c r="B1" s="113">
        <v>43480</v>
      </c>
      <c r="C1" s="113">
        <f>+B1+30</f>
        <v>43510</v>
      </c>
      <c r="D1" s="113">
        <f>+C1+30</f>
        <v>43540</v>
      </c>
      <c r="E1" s="114" t="s">
        <v>126</v>
      </c>
      <c r="F1" s="113">
        <f>+D1+30</f>
        <v>43570</v>
      </c>
      <c r="G1" s="113">
        <f>+F1+30</f>
        <v>43600</v>
      </c>
      <c r="H1" s="113">
        <f>+G1+30</f>
        <v>43630</v>
      </c>
      <c r="I1" s="114" t="s">
        <v>124</v>
      </c>
      <c r="J1" s="113">
        <f>+H1+30</f>
        <v>43660</v>
      </c>
      <c r="K1" s="113">
        <f>+J1+30</f>
        <v>43690</v>
      </c>
      <c r="L1" s="113">
        <f>+K1+30</f>
        <v>43720</v>
      </c>
      <c r="M1" s="114" t="s">
        <v>125</v>
      </c>
      <c r="N1" s="113">
        <f>+L1+30</f>
        <v>43750</v>
      </c>
      <c r="O1" s="113">
        <f>+N1+30</f>
        <v>43780</v>
      </c>
      <c r="P1" s="113">
        <f>+O1+30</f>
        <v>43810</v>
      </c>
      <c r="Q1" s="114" t="s">
        <v>140</v>
      </c>
      <c r="R1" s="115" t="s">
        <v>141</v>
      </c>
    </row>
    <row r="2" spans="1:20" x14ac:dyDescent="0.2">
      <c r="A2" s="116" t="s">
        <v>0</v>
      </c>
      <c r="B2" s="117"/>
      <c r="C2" s="117"/>
      <c r="D2" s="117"/>
      <c r="E2" s="118"/>
      <c r="F2" s="117"/>
      <c r="G2" s="117"/>
      <c r="H2" s="117"/>
      <c r="I2" s="118"/>
      <c r="J2" s="117"/>
      <c r="K2" s="117"/>
      <c r="L2" s="117"/>
      <c r="M2" s="119"/>
      <c r="N2" s="120"/>
      <c r="O2" s="120"/>
      <c r="P2" s="120"/>
      <c r="Q2" s="121"/>
      <c r="R2" s="118"/>
    </row>
    <row r="3" spans="1:20" x14ac:dyDescent="0.2">
      <c r="A3" s="112" t="s">
        <v>9</v>
      </c>
      <c r="B3" s="140">
        <v>773702.94</v>
      </c>
      <c r="C3" s="140">
        <v>0</v>
      </c>
      <c r="D3" s="140">
        <v>0</v>
      </c>
      <c r="E3" s="122">
        <f t="shared" ref="E3:E11" si="0">SUM(B3:D3)</f>
        <v>773702.94</v>
      </c>
      <c r="F3" s="140">
        <v>0</v>
      </c>
      <c r="G3" s="140">
        <v>0</v>
      </c>
      <c r="H3" s="140">
        <v>0</v>
      </c>
      <c r="I3" s="122">
        <f t="shared" ref="I3:I11" si="1">SUM(F3:H3)</f>
        <v>0</v>
      </c>
      <c r="J3" s="140">
        <v>0</v>
      </c>
      <c r="K3" s="140">
        <v>0</v>
      </c>
      <c r="L3" s="140">
        <v>0</v>
      </c>
      <c r="M3" s="122">
        <f t="shared" ref="M3:M11" si="2">SUM(J3:L3)</f>
        <v>0</v>
      </c>
      <c r="N3" s="140">
        <v>0</v>
      </c>
      <c r="O3" s="140">
        <v>0</v>
      </c>
      <c r="P3" s="140">
        <v>0</v>
      </c>
      <c r="Q3" s="122">
        <f t="shared" ref="Q3:Q11" si="3">SUM(N3:P3)</f>
        <v>0</v>
      </c>
      <c r="R3" s="123">
        <f t="shared" ref="R3:R11" si="4">E3+I3+M3+Q3</f>
        <v>773702.94</v>
      </c>
    </row>
    <row r="4" spans="1:20" x14ac:dyDescent="0.2">
      <c r="A4" s="124" t="s">
        <v>31</v>
      </c>
      <c r="B4" s="141">
        <v>748.24</v>
      </c>
      <c r="C4" s="141">
        <v>0</v>
      </c>
      <c r="D4" s="141">
        <v>0</v>
      </c>
      <c r="E4" s="122">
        <f t="shared" si="0"/>
        <v>748.24</v>
      </c>
      <c r="F4" s="141">
        <v>0</v>
      </c>
      <c r="G4" s="141">
        <v>0</v>
      </c>
      <c r="H4" s="141">
        <v>0</v>
      </c>
      <c r="I4" s="122">
        <f t="shared" si="1"/>
        <v>0</v>
      </c>
      <c r="J4" s="141">
        <v>0</v>
      </c>
      <c r="K4" s="141">
        <v>0</v>
      </c>
      <c r="L4" s="141">
        <v>0</v>
      </c>
      <c r="M4" s="122">
        <f t="shared" si="2"/>
        <v>0</v>
      </c>
      <c r="N4" s="141">
        <v>0</v>
      </c>
      <c r="O4" s="141">
        <v>0</v>
      </c>
      <c r="P4" s="141">
        <v>0</v>
      </c>
      <c r="Q4" s="122">
        <f t="shared" si="3"/>
        <v>0</v>
      </c>
      <c r="R4" s="123">
        <f t="shared" si="4"/>
        <v>748.24</v>
      </c>
    </row>
    <row r="5" spans="1:20" x14ac:dyDescent="0.2">
      <c r="A5" s="112" t="s">
        <v>5</v>
      </c>
      <c r="B5" s="140">
        <v>0</v>
      </c>
      <c r="C5" s="140">
        <v>0</v>
      </c>
      <c r="D5" s="140">
        <v>0</v>
      </c>
      <c r="E5" s="122">
        <f t="shared" si="0"/>
        <v>0</v>
      </c>
      <c r="F5" s="140">
        <v>0</v>
      </c>
      <c r="G5" s="140">
        <v>0</v>
      </c>
      <c r="H5" s="140">
        <v>0</v>
      </c>
      <c r="I5" s="122">
        <f t="shared" si="1"/>
        <v>0</v>
      </c>
      <c r="J5" s="140">
        <v>0</v>
      </c>
      <c r="K5" s="140">
        <v>0</v>
      </c>
      <c r="L5" s="140">
        <v>0</v>
      </c>
      <c r="M5" s="122">
        <f t="shared" si="2"/>
        <v>0</v>
      </c>
      <c r="N5" s="140">
        <v>0</v>
      </c>
      <c r="O5" s="140">
        <v>0</v>
      </c>
      <c r="P5" s="140">
        <v>0</v>
      </c>
      <c r="Q5" s="122">
        <f>SUM(N5:P5)</f>
        <v>0</v>
      </c>
      <c r="R5" s="123">
        <f t="shared" si="4"/>
        <v>0</v>
      </c>
    </row>
    <row r="6" spans="1:20" x14ac:dyDescent="0.2">
      <c r="A6" s="112" t="s">
        <v>106</v>
      </c>
      <c r="B6" s="140">
        <v>268350.48</v>
      </c>
      <c r="C6" s="140">
        <v>0</v>
      </c>
      <c r="D6" s="140">
        <v>0</v>
      </c>
      <c r="E6" s="122">
        <f t="shared" si="0"/>
        <v>268350.48</v>
      </c>
      <c r="F6" s="140">
        <v>0</v>
      </c>
      <c r="G6" s="140">
        <v>0</v>
      </c>
      <c r="H6" s="140">
        <v>0</v>
      </c>
      <c r="I6" s="122">
        <f t="shared" si="1"/>
        <v>0</v>
      </c>
      <c r="J6" s="140">
        <v>0</v>
      </c>
      <c r="K6" s="140">
        <v>0</v>
      </c>
      <c r="L6" s="140">
        <v>0</v>
      </c>
      <c r="M6" s="122">
        <f t="shared" si="2"/>
        <v>0</v>
      </c>
      <c r="N6" s="140">
        <v>0</v>
      </c>
      <c r="O6" s="140">
        <v>0</v>
      </c>
      <c r="P6" s="140">
        <v>0</v>
      </c>
      <c r="Q6" s="122">
        <f t="shared" si="3"/>
        <v>0</v>
      </c>
      <c r="R6" s="123">
        <f t="shared" si="4"/>
        <v>268350.48</v>
      </c>
    </row>
    <row r="7" spans="1:20" x14ac:dyDescent="0.2">
      <c r="A7" s="124" t="s">
        <v>107</v>
      </c>
      <c r="B7" s="140">
        <v>0</v>
      </c>
      <c r="C7" s="140">
        <v>0</v>
      </c>
      <c r="D7" s="140">
        <v>0</v>
      </c>
      <c r="E7" s="122">
        <f t="shared" si="0"/>
        <v>0</v>
      </c>
      <c r="F7" s="140">
        <v>0</v>
      </c>
      <c r="G7" s="140">
        <v>0</v>
      </c>
      <c r="H7" s="140">
        <v>0</v>
      </c>
      <c r="I7" s="122">
        <f t="shared" si="1"/>
        <v>0</v>
      </c>
      <c r="J7" s="140">
        <v>0</v>
      </c>
      <c r="K7" s="140">
        <v>0</v>
      </c>
      <c r="L7" s="140">
        <v>0</v>
      </c>
      <c r="M7" s="122">
        <f t="shared" si="2"/>
        <v>0</v>
      </c>
      <c r="N7" s="140">
        <v>0</v>
      </c>
      <c r="O7" s="140">
        <v>0</v>
      </c>
      <c r="P7" s="140">
        <v>0</v>
      </c>
      <c r="Q7" s="122">
        <f t="shared" si="3"/>
        <v>0</v>
      </c>
      <c r="R7" s="123">
        <f t="shared" si="4"/>
        <v>0</v>
      </c>
    </row>
    <row r="8" spans="1:20" x14ac:dyDescent="0.2">
      <c r="A8" s="112" t="s">
        <v>41</v>
      </c>
      <c r="B8" s="140">
        <f>'Bank Acct Summary'!C6</f>
        <v>13436.740000000002</v>
      </c>
      <c r="C8" s="140">
        <f>'Bank Acct Summary'!D6</f>
        <v>0</v>
      </c>
      <c r="D8" s="140">
        <f>'Bank Acct Summary'!E6</f>
        <v>0</v>
      </c>
      <c r="E8" s="122">
        <f t="shared" si="0"/>
        <v>13436.740000000002</v>
      </c>
      <c r="F8" s="140">
        <f>'Bank Acct Summary'!G6</f>
        <v>0</v>
      </c>
      <c r="G8" s="140">
        <f>'Bank Acct Summary'!H6</f>
        <v>0</v>
      </c>
      <c r="H8" s="140">
        <f>'Bank Acct Summary'!I6</f>
        <v>0</v>
      </c>
      <c r="I8" s="122">
        <f t="shared" si="1"/>
        <v>0</v>
      </c>
      <c r="J8" s="140">
        <f>'Bank Acct Summary'!K6</f>
        <v>0</v>
      </c>
      <c r="K8" s="140">
        <f>'Bank Acct Summary'!L6</f>
        <v>0</v>
      </c>
      <c r="L8" s="140">
        <f>'Bank Acct Summary'!M6</f>
        <v>0</v>
      </c>
      <c r="M8" s="122">
        <f t="shared" si="2"/>
        <v>0</v>
      </c>
      <c r="N8" s="140">
        <f>'Bank Acct Summary'!O6</f>
        <v>13436.740000000002</v>
      </c>
      <c r="O8" s="140">
        <f>'Bank Acct Summary'!P6</f>
        <v>0</v>
      </c>
      <c r="P8" s="140">
        <f>'Bank Acct Summary'!Q6</f>
        <v>0</v>
      </c>
      <c r="Q8" s="122">
        <f t="shared" si="3"/>
        <v>13436.740000000002</v>
      </c>
      <c r="R8" s="123">
        <f t="shared" si="4"/>
        <v>26873.480000000003</v>
      </c>
    </row>
    <row r="9" spans="1:20" x14ac:dyDescent="0.2">
      <c r="A9" s="112" t="s">
        <v>89</v>
      </c>
      <c r="B9" s="140">
        <v>0</v>
      </c>
      <c r="C9" s="140">
        <v>0</v>
      </c>
      <c r="D9" s="140">
        <v>0</v>
      </c>
      <c r="E9" s="122">
        <f t="shared" si="0"/>
        <v>0</v>
      </c>
      <c r="F9" s="140">
        <v>0</v>
      </c>
      <c r="G9" s="140">
        <v>0</v>
      </c>
      <c r="H9" s="140">
        <v>0</v>
      </c>
      <c r="I9" s="122">
        <f t="shared" si="1"/>
        <v>0</v>
      </c>
      <c r="J9" s="140">
        <v>0</v>
      </c>
      <c r="K9" s="140">
        <v>0</v>
      </c>
      <c r="L9" s="140">
        <v>0</v>
      </c>
      <c r="M9" s="122">
        <f t="shared" si="2"/>
        <v>0</v>
      </c>
      <c r="N9" s="140">
        <v>0</v>
      </c>
      <c r="O9" s="140">
        <v>0</v>
      </c>
      <c r="P9" s="140">
        <v>0</v>
      </c>
      <c r="Q9" s="122">
        <f t="shared" si="3"/>
        <v>0</v>
      </c>
      <c r="R9" s="123">
        <f t="shared" si="4"/>
        <v>0</v>
      </c>
    </row>
    <row r="10" spans="1:20" x14ac:dyDescent="0.2">
      <c r="A10" s="112" t="s">
        <v>98</v>
      </c>
      <c r="B10" s="140">
        <v>0</v>
      </c>
      <c r="C10" s="140">
        <v>0</v>
      </c>
      <c r="D10" s="140">
        <v>0</v>
      </c>
      <c r="E10" s="122">
        <f t="shared" si="0"/>
        <v>0</v>
      </c>
      <c r="F10" s="140">
        <v>0</v>
      </c>
      <c r="G10" s="140">
        <v>0</v>
      </c>
      <c r="H10" s="140">
        <v>0</v>
      </c>
      <c r="I10" s="122">
        <f t="shared" si="1"/>
        <v>0</v>
      </c>
      <c r="J10" s="140">
        <v>0</v>
      </c>
      <c r="K10" s="140">
        <v>0</v>
      </c>
      <c r="L10" s="140">
        <v>0</v>
      </c>
      <c r="M10" s="122">
        <f t="shared" si="2"/>
        <v>0</v>
      </c>
      <c r="N10" s="140">
        <v>0</v>
      </c>
      <c r="O10" s="140">
        <v>0</v>
      </c>
      <c r="P10" s="140">
        <v>0</v>
      </c>
      <c r="Q10" s="122">
        <f>SUM(N10:P10)</f>
        <v>0</v>
      </c>
      <c r="R10" s="123">
        <f t="shared" si="4"/>
        <v>0</v>
      </c>
    </row>
    <row r="11" spans="1:20" x14ac:dyDescent="0.2">
      <c r="A11" s="112" t="s">
        <v>97</v>
      </c>
      <c r="B11" s="140">
        <v>0</v>
      </c>
      <c r="C11" s="140">
        <v>0</v>
      </c>
      <c r="D11" s="140">
        <v>0</v>
      </c>
      <c r="E11" s="122">
        <f t="shared" si="0"/>
        <v>0</v>
      </c>
      <c r="F11" s="140">
        <v>0</v>
      </c>
      <c r="G11" s="140">
        <v>0</v>
      </c>
      <c r="H11" s="140">
        <v>0</v>
      </c>
      <c r="I11" s="122">
        <f t="shared" si="1"/>
        <v>0</v>
      </c>
      <c r="J11" s="140">
        <v>0</v>
      </c>
      <c r="K11" s="140">
        <v>0</v>
      </c>
      <c r="L11" s="140">
        <v>0</v>
      </c>
      <c r="M11" s="122">
        <f t="shared" si="2"/>
        <v>0</v>
      </c>
      <c r="N11" s="140">
        <v>0</v>
      </c>
      <c r="O11" s="140">
        <v>0</v>
      </c>
      <c r="P11" s="140">
        <v>0</v>
      </c>
      <c r="Q11" s="122">
        <f t="shared" si="3"/>
        <v>0</v>
      </c>
      <c r="R11" s="123">
        <f t="shared" si="4"/>
        <v>0</v>
      </c>
    </row>
    <row r="12" spans="1:20" x14ac:dyDescent="0.2">
      <c r="B12" s="140"/>
      <c r="C12" s="140"/>
      <c r="D12" s="140"/>
      <c r="E12" s="125"/>
      <c r="F12" s="140"/>
      <c r="G12" s="140"/>
      <c r="H12" s="140"/>
      <c r="I12" s="125"/>
      <c r="J12" s="140"/>
      <c r="K12" s="140"/>
      <c r="L12" s="140"/>
      <c r="M12" s="125"/>
      <c r="N12" s="140"/>
      <c r="O12" s="140"/>
      <c r="P12" s="140"/>
      <c r="Q12" s="125"/>
      <c r="R12" s="125"/>
    </row>
    <row r="13" spans="1:20" x14ac:dyDescent="0.2">
      <c r="A13" s="126" t="s">
        <v>1</v>
      </c>
      <c r="B13" s="140">
        <f>SUM(B3:B11)</f>
        <v>1056238.3999999999</v>
      </c>
      <c r="C13" s="140">
        <f>SUM(C3:C11)</f>
        <v>0</v>
      </c>
      <c r="D13" s="140">
        <f>SUM(D3:D11)</f>
        <v>0</v>
      </c>
      <c r="E13" s="122">
        <f>SUM(E3:E12)</f>
        <v>1056238.3999999999</v>
      </c>
      <c r="F13" s="140">
        <f t="shared" ref="F13:H13" si="5">SUM(F3:F11)</f>
        <v>0</v>
      </c>
      <c r="G13" s="140">
        <f t="shared" si="5"/>
        <v>0</v>
      </c>
      <c r="H13" s="140">
        <f t="shared" si="5"/>
        <v>0</v>
      </c>
      <c r="I13" s="122">
        <f>SUM(I3:I12)</f>
        <v>0</v>
      </c>
      <c r="J13" s="140">
        <f t="shared" ref="J13:L13" si="6">SUM(J3:J11)</f>
        <v>0</v>
      </c>
      <c r="K13" s="140">
        <f t="shared" si="6"/>
        <v>0</v>
      </c>
      <c r="L13" s="140">
        <f t="shared" si="6"/>
        <v>0</v>
      </c>
      <c r="M13" s="122">
        <f>SUM(M3:M12)</f>
        <v>0</v>
      </c>
      <c r="N13" s="140">
        <f t="shared" ref="N13:P13" si="7">SUM(N3:N11)</f>
        <v>13436.740000000002</v>
      </c>
      <c r="O13" s="140">
        <f t="shared" si="7"/>
        <v>0</v>
      </c>
      <c r="P13" s="140">
        <f t="shared" si="7"/>
        <v>0</v>
      </c>
      <c r="Q13" s="122">
        <f>SUM(Q3:Q12)</f>
        <v>13436.740000000002</v>
      </c>
      <c r="R13" s="123">
        <f>SUM(R3:R12)</f>
        <v>1069675.1399999999</v>
      </c>
      <c r="T13" s="127"/>
    </row>
    <row r="14" spans="1:20" ht="9" customHeight="1" x14ac:dyDescent="0.2">
      <c r="A14" s="126"/>
      <c r="B14" s="140"/>
      <c r="C14" s="140"/>
      <c r="D14" s="140"/>
      <c r="E14" s="117"/>
      <c r="F14" s="140"/>
      <c r="G14" s="140"/>
      <c r="H14" s="140"/>
      <c r="I14" s="117"/>
      <c r="J14" s="140"/>
      <c r="K14" s="140"/>
      <c r="L14" s="140"/>
      <c r="M14" s="117"/>
      <c r="N14" s="140"/>
      <c r="O14" s="140"/>
      <c r="P14" s="140"/>
      <c r="Q14" s="117"/>
      <c r="R14" s="117"/>
    </row>
    <row r="15" spans="1:20" x14ac:dyDescent="0.2">
      <c r="A15" s="116" t="s">
        <v>46</v>
      </c>
      <c r="B15" s="140"/>
      <c r="C15" s="140"/>
      <c r="D15" s="140"/>
      <c r="E15" s="117"/>
      <c r="F15" s="140"/>
      <c r="G15" s="140"/>
      <c r="H15" s="140"/>
      <c r="I15" s="117"/>
      <c r="J15" s="140"/>
      <c r="K15" s="140"/>
      <c r="L15" s="140"/>
      <c r="M15" s="117"/>
      <c r="N15" s="140"/>
      <c r="O15" s="140"/>
      <c r="P15" s="140"/>
      <c r="Q15" s="117"/>
      <c r="R15" s="117"/>
    </row>
    <row r="16" spans="1:20" ht="13.5" customHeight="1" x14ac:dyDescent="0.2">
      <c r="A16" s="112" t="s">
        <v>59</v>
      </c>
      <c r="B16" s="140">
        <f>+'2019 Budget Year Report'!C17</f>
        <v>280524.84999999998</v>
      </c>
      <c r="C16" s="140">
        <f>+'2019 Budget Year Report'!D17</f>
        <v>0</v>
      </c>
      <c r="D16" s="140">
        <f>+'2019 Budget Year Report'!E17</f>
        <v>0</v>
      </c>
      <c r="E16" s="122">
        <f t="shared" ref="E16:E30" si="8">SUM(B16:D16)</f>
        <v>280524.84999999998</v>
      </c>
      <c r="F16" s="140">
        <f>+'2019 Budget Year Report'!G17</f>
        <v>0</v>
      </c>
      <c r="G16" s="140">
        <f>+'2019 Budget Year Report'!H17</f>
        <v>0</v>
      </c>
      <c r="H16" s="140">
        <f>+'2019 Budget Year Report'!I17</f>
        <v>0</v>
      </c>
      <c r="I16" s="122">
        <f t="shared" ref="I16:I30" si="9">SUM(F16:H16)</f>
        <v>0</v>
      </c>
      <c r="J16" s="140">
        <f>+'2019 Budget Year Report'!K17</f>
        <v>0</v>
      </c>
      <c r="K16" s="140">
        <f>+'2019 Budget Year Report'!L17</f>
        <v>0</v>
      </c>
      <c r="L16" s="140">
        <f>+'2019 Budget Year Report'!M17</f>
        <v>0</v>
      </c>
      <c r="M16" s="122">
        <f t="shared" ref="M16:M30" si="10">SUM(J16:L16)</f>
        <v>0</v>
      </c>
      <c r="N16" s="140">
        <f>+'2019 Budget Year Report'!O17</f>
        <v>280524.84999999998</v>
      </c>
      <c r="O16" s="140">
        <v>0</v>
      </c>
      <c r="P16" s="140">
        <v>0</v>
      </c>
      <c r="Q16" s="122">
        <f t="shared" ref="Q16:Q30" si="11">SUM(N16:P16)</f>
        <v>280524.84999999998</v>
      </c>
      <c r="R16" s="123">
        <f t="shared" ref="R16:R30" si="12">E16+I16+M16+Q16</f>
        <v>561049.69999999995</v>
      </c>
    </row>
    <row r="17" spans="1:18" x14ac:dyDescent="0.2">
      <c r="A17" s="112" t="s">
        <v>44</v>
      </c>
      <c r="B17" s="140">
        <v>0</v>
      </c>
      <c r="C17" s="140">
        <v>0</v>
      </c>
      <c r="D17" s="140">
        <v>0</v>
      </c>
      <c r="E17" s="122">
        <f t="shared" si="8"/>
        <v>0</v>
      </c>
      <c r="F17" s="140">
        <v>0</v>
      </c>
      <c r="G17" s="140">
        <v>0</v>
      </c>
      <c r="H17" s="140">
        <v>0</v>
      </c>
      <c r="I17" s="122">
        <f t="shared" si="9"/>
        <v>0</v>
      </c>
      <c r="J17" s="140">
        <v>0</v>
      </c>
      <c r="K17" s="140">
        <v>0</v>
      </c>
      <c r="L17" s="140">
        <v>0</v>
      </c>
      <c r="M17" s="122">
        <f t="shared" si="10"/>
        <v>0</v>
      </c>
      <c r="N17" s="140">
        <v>0</v>
      </c>
      <c r="O17" s="140">
        <v>0</v>
      </c>
      <c r="P17" s="140">
        <v>0</v>
      </c>
      <c r="Q17" s="122">
        <f t="shared" si="11"/>
        <v>0</v>
      </c>
      <c r="R17" s="123">
        <f t="shared" si="12"/>
        <v>0</v>
      </c>
    </row>
    <row r="18" spans="1:18" x14ac:dyDescent="0.2">
      <c r="A18" s="112" t="s">
        <v>6</v>
      </c>
      <c r="B18" s="140">
        <v>67.3</v>
      </c>
      <c r="C18" s="140">
        <v>0</v>
      </c>
      <c r="D18" s="140">
        <v>0</v>
      </c>
      <c r="E18" s="122">
        <f t="shared" si="8"/>
        <v>67.3</v>
      </c>
      <c r="F18" s="140">
        <v>0</v>
      </c>
      <c r="G18" s="140">
        <v>0</v>
      </c>
      <c r="H18" s="140">
        <v>0</v>
      </c>
      <c r="I18" s="122">
        <f t="shared" si="9"/>
        <v>0</v>
      </c>
      <c r="J18" s="140">
        <v>0</v>
      </c>
      <c r="K18" s="140">
        <v>0</v>
      </c>
      <c r="L18" s="140">
        <v>0</v>
      </c>
      <c r="M18" s="122">
        <f t="shared" si="10"/>
        <v>0</v>
      </c>
      <c r="N18" s="140">
        <v>0</v>
      </c>
      <c r="O18" s="140">
        <v>0</v>
      </c>
      <c r="P18" s="140">
        <v>0</v>
      </c>
      <c r="Q18" s="122">
        <f t="shared" si="11"/>
        <v>0</v>
      </c>
      <c r="R18" s="123">
        <f t="shared" si="12"/>
        <v>67.3</v>
      </c>
    </row>
    <row r="19" spans="1:18" x14ac:dyDescent="0.2">
      <c r="A19" s="112" t="s">
        <v>8</v>
      </c>
      <c r="B19" s="140">
        <v>0</v>
      </c>
      <c r="C19" s="140">
        <v>0</v>
      </c>
      <c r="D19" s="140">
        <v>0</v>
      </c>
      <c r="E19" s="122">
        <f t="shared" ref="E19" si="13">SUM(B19:D19)</f>
        <v>0</v>
      </c>
      <c r="F19" s="140">
        <v>0</v>
      </c>
      <c r="G19" s="140">
        <v>0</v>
      </c>
      <c r="H19" s="140">
        <v>0</v>
      </c>
      <c r="I19" s="122">
        <f t="shared" ref="I19" si="14">SUM(F19:H19)</f>
        <v>0</v>
      </c>
      <c r="J19" s="140">
        <v>0</v>
      </c>
      <c r="K19" s="140">
        <v>0</v>
      </c>
      <c r="L19" s="140">
        <v>0</v>
      </c>
      <c r="M19" s="122">
        <f t="shared" ref="M19" si="15">SUM(J19:L19)</f>
        <v>0</v>
      </c>
      <c r="N19" s="140">
        <v>0</v>
      </c>
      <c r="O19" s="140">
        <v>0</v>
      </c>
      <c r="P19" s="140">
        <v>0</v>
      </c>
      <c r="Q19" s="122">
        <f t="shared" ref="Q19" si="16">SUM(N19:P19)</f>
        <v>0</v>
      </c>
      <c r="R19" s="123">
        <f t="shared" ref="R19" si="17">E19+I19+M19+Q19</f>
        <v>0</v>
      </c>
    </row>
    <row r="20" spans="1:18" x14ac:dyDescent="0.2">
      <c r="A20" s="112" t="s">
        <v>121</v>
      </c>
      <c r="B20" s="140">
        <v>0</v>
      </c>
      <c r="C20" s="140">
        <v>0</v>
      </c>
      <c r="D20" s="140">
        <v>0</v>
      </c>
      <c r="E20" s="122">
        <f t="shared" si="8"/>
        <v>0</v>
      </c>
      <c r="F20" s="140">
        <v>0</v>
      </c>
      <c r="G20" s="140">
        <v>0</v>
      </c>
      <c r="H20" s="140">
        <v>0</v>
      </c>
      <c r="I20" s="122">
        <f t="shared" si="9"/>
        <v>0</v>
      </c>
      <c r="J20" s="140">
        <v>0</v>
      </c>
      <c r="K20" s="140">
        <v>0</v>
      </c>
      <c r="L20" s="140">
        <v>0</v>
      </c>
      <c r="M20" s="122">
        <f t="shared" si="10"/>
        <v>0</v>
      </c>
      <c r="N20" s="140">
        <v>0</v>
      </c>
      <c r="O20" s="140">
        <v>0</v>
      </c>
      <c r="P20" s="140">
        <v>0</v>
      </c>
      <c r="Q20" s="122">
        <f t="shared" si="11"/>
        <v>0</v>
      </c>
      <c r="R20" s="123">
        <f t="shared" si="12"/>
        <v>0</v>
      </c>
    </row>
    <row r="21" spans="1:18" x14ac:dyDescent="0.2">
      <c r="A21" s="112" t="s">
        <v>7</v>
      </c>
      <c r="B21" s="140">
        <v>4215.1099999999997</v>
      </c>
      <c r="C21" s="140">
        <v>0</v>
      </c>
      <c r="D21" s="140">
        <v>0</v>
      </c>
      <c r="E21" s="122">
        <f t="shared" si="8"/>
        <v>4215.1099999999997</v>
      </c>
      <c r="F21" s="140">
        <v>0</v>
      </c>
      <c r="G21" s="140">
        <v>0</v>
      </c>
      <c r="H21" s="140">
        <v>0</v>
      </c>
      <c r="I21" s="122">
        <f t="shared" si="9"/>
        <v>0</v>
      </c>
      <c r="J21" s="140">
        <v>0</v>
      </c>
      <c r="K21" s="140">
        <v>0</v>
      </c>
      <c r="L21" s="140">
        <v>0</v>
      </c>
      <c r="M21" s="122">
        <f t="shared" si="10"/>
        <v>0</v>
      </c>
      <c r="N21" s="140">
        <v>0</v>
      </c>
      <c r="O21" s="140">
        <v>0</v>
      </c>
      <c r="P21" s="140">
        <v>0</v>
      </c>
      <c r="Q21" s="122">
        <f t="shared" si="11"/>
        <v>0</v>
      </c>
      <c r="R21" s="123">
        <f t="shared" si="12"/>
        <v>4215.1099999999997</v>
      </c>
    </row>
    <row r="22" spans="1:18" x14ac:dyDescent="0.2">
      <c r="A22" s="112" t="s">
        <v>183</v>
      </c>
      <c r="B22" s="140">
        <v>0</v>
      </c>
      <c r="C22" s="140">
        <v>0</v>
      </c>
      <c r="D22" s="140">
        <v>0</v>
      </c>
      <c r="E22" s="122">
        <f t="shared" ref="E22" si="18">SUM(B22:D22)</f>
        <v>0</v>
      </c>
      <c r="F22" s="140">
        <v>0</v>
      </c>
      <c r="G22" s="140">
        <v>0</v>
      </c>
      <c r="H22" s="140">
        <v>0</v>
      </c>
      <c r="I22" s="122">
        <f t="shared" ref="I22" si="19">SUM(F22:H22)</f>
        <v>0</v>
      </c>
      <c r="J22" s="140">
        <v>0</v>
      </c>
      <c r="K22" s="140">
        <v>0</v>
      </c>
      <c r="L22" s="140">
        <v>0</v>
      </c>
      <c r="M22" s="122">
        <f t="shared" ref="M22" si="20">SUM(J22:L22)</f>
        <v>0</v>
      </c>
      <c r="N22" s="140">
        <v>0</v>
      </c>
      <c r="O22" s="140">
        <v>0</v>
      </c>
      <c r="P22" s="140">
        <v>0</v>
      </c>
      <c r="Q22" s="122">
        <f t="shared" ref="Q22" si="21">SUM(N22:P22)</f>
        <v>0</v>
      </c>
      <c r="R22" s="123">
        <f t="shared" ref="R22" si="22">E22+I22+M22+Q22</f>
        <v>0</v>
      </c>
    </row>
    <row r="23" spans="1:18" x14ac:dyDescent="0.2">
      <c r="A23" s="112" t="s">
        <v>94</v>
      </c>
      <c r="B23" s="140">
        <v>0</v>
      </c>
      <c r="C23" s="140">
        <v>0</v>
      </c>
      <c r="D23" s="140">
        <v>0</v>
      </c>
      <c r="E23" s="122">
        <f t="shared" si="8"/>
        <v>0</v>
      </c>
      <c r="F23" s="140">
        <v>0</v>
      </c>
      <c r="G23" s="140">
        <v>0</v>
      </c>
      <c r="H23" s="140">
        <v>0</v>
      </c>
      <c r="I23" s="122">
        <f t="shared" si="9"/>
        <v>0</v>
      </c>
      <c r="J23" s="140">
        <v>0</v>
      </c>
      <c r="K23" s="140">
        <v>0</v>
      </c>
      <c r="L23" s="140">
        <v>0</v>
      </c>
      <c r="M23" s="122">
        <f t="shared" si="10"/>
        <v>0</v>
      </c>
      <c r="N23" s="140">
        <v>0</v>
      </c>
      <c r="O23" s="140">
        <v>0</v>
      </c>
      <c r="P23" s="140">
        <v>0</v>
      </c>
      <c r="Q23" s="122">
        <f t="shared" si="11"/>
        <v>0</v>
      </c>
      <c r="R23" s="123">
        <f t="shared" si="12"/>
        <v>0</v>
      </c>
    </row>
    <row r="24" spans="1:18" x14ac:dyDescent="0.2">
      <c r="A24" s="112" t="s">
        <v>144</v>
      </c>
      <c r="B24" s="140">
        <v>2077.2399999999998</v>
      </c>
      <c r="C24" s="140">
        <v>0</v>
      </c>
      <c r="D24" s="140">
        <v>0</v>
      </c>
      <c r="E24" s="122">
        <f t="shared" si="8"/>
        <v>2077.2399999999998</v>
      </c>
      <c r="F24" s="140">
        <v>0</v>
      </c>
      <c r="G24" s="140">
        <v>0</v>
      </c>
      <c r="H24" s="140">
        <v>0</v>
      </c>
      <c r="I24" s="122">
        <f t="shared" si="9"/>
        <v>0</v>
      </c>
      <c r="J24" s="140">
        <v>0</v>
      </c>
      <c r="K24" s="140">
        <v>0</v>
      </c>
      <c r="L24" s="140">
        <v>0</v>
      </c>
      <c r="M24" s="122">
        <f t="shared" si="10"/>
        <v>0</v>
      </c>
      <c r="N24" s="140">
        <v>0</v>
      </c>
      <c r="O24" s="140">
        <v>0</v>
      </c>
      <c r="P24" s="140">
        <v>0</v>
      </c>
      <c r="Q24" s="122">
        <f t="shared" si="11"/>
        <v>0</v>
      </c>
      <c r="R24" s="123">
        <f t="shared" si="12"/>
        <v>2077.2399999999998</v>
      </c>
    </row>
    <row r="25" spans="1:18" x14ac:dyDescent="0.2">
      <c r="A25" s="112" t="s">
        <v>122</v>
      </c>
      <c r="B25" s="140">
        <v>0</v>
      </c>
      <c r="C25" s="140">
        <v>0</v>
      </c>
      <c r="D25" s="140">
        <v>0</v>
      </c>
      <c r="E25" s="122">
        <f t="shared" si="8"/>
        <v>0</v>
      </c>
      <c r="F25" s="140">
        <v>0</v>
      </c>
      <c r="G25" s="140">
        <v>0</v>
      </c>
      <c r="H25" s="140">
        <v>0</v>
      </c>
      <c r="I25" s="122">
        <f t="shared" si="9"/>
        <v>0</v>
      </c>
      <c r="J25" s="140">
        <v>0</v>
      </c>
      <c r="K25" s="140">
        <v>0</v>
      </c>
      <c r="L25" s="140">
        <v>0</v>
      </c>
      <c r="M25" s="122">
        <f t="shared" si="10"/>
        <v>0</v>
      </c>
      <c r="N25" s="140">
        <v>0</v>
      </c>
      <c r="O25" s="140">
        <v>0</v>
      </c>
      <c r="P25" s="140">
        <v>0</v>
      </c>
      <c r="Q25" s="122">
        <f t="shared" si="11"/>
        <v>0</v>
      </c>
      <c r="R25" s="123">
        <f t="shared" si="12"/>
        <v>0</v>
      </c>
    </row>
    <row r="26" spans="1:18" x14ac:dyDescent="0.2">
      <c r="A26" s="112" t="s">
        <v>130</v>
      </c>
      <c r="B26" s="140">
        <v>0</v>
      </c>
      <c r="C26" s="140">
        <v>0</v>
      </c>
      <c r="D26" s="140">
        <v>0</v>
      </c>
      <c r="E26" s="122">
        <f t="shared" ref="E26" si="23">SUM(B26:D26)</f>
        <v>0</v>
      </c>
      <c r="F26" s="140">
        <v>0</v>
      </c>
      <c r="G26" s="140">
        <v>0</v>
      </c>
      <c r="H26" s="140">
        <v>0</v>
      </c>
      <c r="I26" s="122">
        <f t="shared" ref="I26" si="24">SUM(F26:H26)</f>
        <v>0</v>
      </c>
      <c r="J26" s="140">
        <v>0</v>
      </c>
      <c r="K26" s="140">
        <v>0</v>
      </c>
      <c r="L26" s="140">
        <v>0</v>
      </c>
      <c r="M26" s="122">
        <f t="shared" ref="M26" si="25">SUM(J26:L26)</f>
        <v>0</v>
      </c>
      <c r="N26" s="140">
        <v>0</v>
      </c>
      <c r="O26" s="140">
        <v>0</v>
      </c>
      <c r="P26" s="140">
        <v>0</v>
      </c>
      <c r="Q26" s="122">
        <f t="shared" ref="Q26" si="26">SUM(N26:P26)</f>
        <v>0</v>
      </c>
      <c r="R26" s="123">
        <f t="shared" ref="R26" si="27">E26+I26+M26+Q26</f>
        <v>0</v>
      </c>
    </row>
    <row r="27" spans="1:18" x14ac:dyDescent="0.2">
      <c r="A27" s="112" t="s">
        <v>127</v>
      </c>
      <c r="B27" s="140">
        <v>0</v>
      </c>
      <c r="C27" s="140">
        <v>0</v>
      </c>
      <c r="D27" s="140">
        <v>0</v>
      </c>
      <c r="E27" s="122">
        <f t="shared" si="8"/>
        <v>0</v>
      </c>
      <c r="F27" s="140">
        <v>0</v>
      </c>
      <c r="G27" s="140">
        <v>0</v>
      </c>
      <c r="H27" s="140">
        <v>0</v>
      </c>
      <c r="I27" s="122">
        <f t="shared" si="9"/>
        <v>0</v>
      </c>
      <c r="J27" s="140">
        <v>0</v>
      </c>
      <c r="K27" s="140">
        <v>0</v>
      </c>
      <c r="L27" s="140">
        <v>0</v>
      </c>
      <c r="M27" s="122">
        <f t="shared" si="10"/>
        <v>0</v>
      </c>
      <c r="N27" s="140">
        <v>0</v>
      </c>
      <c r="O27" s="140">
        <v>0</v>
      </c>
      <c r="P27" s="140">
        <v>0</v>
      </c>
      <c r="Q27" s="122">
        <f t="shared" si="11"/>
        <v>0</v>
      </c>
      <c r="R27" s="123">
        <f t="shared" si="12"/>
        <v>0</v>
      </c>
    </row>
    <row r="28" spans="1:18" x14ac:dyDescent="0.2">
      <c r="A28" s="112" t="s">
        <v>188</v>
      </c>
      <c r="B28" s="140">
        <v>0</v>
      </c>
      <c r="C28" s="140">
        <v>0</v>
      </c>
      <c r="D28" s="140">
        <v>0</v>
      </c>
      <c r="E28" s="122">
        <f t="shared" si="8"/>
        <v>0</v>
      </c>
      <c r="F28" s="140">
        <v>0</v>
      </c>
      <c r="G28" s="140">
        <v>0</v>
      </c>
      <c r="H28" s="140">
        <v>0</v>
      </c>
      <c r="I28" s="122">
        <f t="shared" si="9"/>
        <v>0</v>
      </c>
      <c r="J28" s="140">
        <v>0</v>
      </c>
      <c r="K28" s="140">
        <v>0</v>
      </c>
      <c r="L28" s="140">
        <v>0</v>
      </c>
      <c r="M28" s="122">
        <f t="shared" si="10"/>
        <v>0</v>
      </c>
      <c r="N28" s="140">
        <v>0</v>
      </c>
      <c r="O28" s="140">
        <v>0</v>
      </c>
      <c r="P28" s="140">
        <v>0</v>
      </c>
      <c r="Q28" s="122">
        <f t="shared" si="11"/>
        <v>0</v>
      </c>
      <c r="R28" s="123">
        <f t="shared" si="12"/>
        <v>0</v>
      </c>
    </row>
    <row r="29" spans="1:18" x14ac:dyDescent="0.2">
      <c r="A29" s="112" t="s">
        <v>184</v>
      </c>
      <c r="B29" s="140">
        <f>231+231+231</f>
        <v>693</v>
      </c>
      <c r="C29" s="140">
        <v>0</v>
      </c>
      <c r="D29" s="140">
        <v>0</v>
      </c>
      <c r="E29" s="122">
        <f t="shared" ref="E29" si="28">SUM(B29:D29)</f>
        <v>693</v>
      </c>
      <c r="F29" s="140">
        <v>0</v>
      </c>
      <c r="G29" s="140">
        <v>0</v>
      </c>
      <c r="H29" s="140">
        <v>0</v>
      </c>
      <c r="I29" s="122">
        <f t="shared" ref="I29" si="29">SUM(F29:H29)</f>
        <v>0</v>
      </c>
      <c r="J29" s="140">
        <v>0</v>
      </c>
      <c r="K29" s="140">
        <v>0</v>
      </c>
      <c r="L29" s="140">
        <v>0</v>
      </c>
      <c r="M29" s="122">
        <f t="shared" ref="M29" si="30">SUM(J29:L29)</f>
        <v>0</v>
      </c>
      <c r="N29" s="140">
        <v>0</v>
      </c>
      <c r="O29" s="140">
        <v>0</v>
      </c>
      <c r="P29" s="140">
        <v>0</v>
      </c>
      <c r="Q29" s="122">
        <f t="shared" ref="Q29" si="31">SUM(N29:P29)</f>
        <v>0</v>
      </c>
      <c r="R29" s="123">
        <f t="shared" ref="R29" si="32">E29+I29+M29+Q29</f>
        <v>693</v>
      </c>
    </row>
    <row r="30" spans="1:18" x14ac:dyDescent="0.2">
      <c r="A30" s="112" t="s">
        <v>58</v>
      </c>
      <c r="B30" s="140">
        <v>0</v>
      </c>
      <c r="C30" s="140">
        <v>0</v>
      </c>
      <c r="D30" s="140">
        <v>0</v>
      </c>
      <c r="E30" s="122">
        <f t="shared" si="8"/>
        <v>0</v>
      </c>
      <c r="F30" s="140">
        <v>0</v>
      </c>
      <c r="G30" s="140">
        <v>0</v>
      </c>
      <c r="H30" s="140">
        <v>0</v>
      </c>
      <c r="I30" s="122">
        <f t="shared" si="9"/>
        <v>0</v>
      </c>
      <c r="J30" s="140">
        <v>0</v>
      </c>
      <c r="K30" s="140">
        <v>0</v>
      </c>
      <c r="L30" s="140">
        <v>0</v>
      </c>
      <c r="M30" s="122">
        <f t="shared" si="10"/>
        <v>0</v>
      </c>
      <c r="N30" s="140">
        <v>0</v>
      </c>
      <c r="O30" s="140">
        <v>0</v>
      </c>
      <c r="P30" s="140">
        <v>0</v>
      </c>
      <c r="Q30" s="122">
        <f t="shared" si="11"/>
        <v>0</v>
      </c>
      <c r="R30" s="123">
        <f t="shared" si="12"/>
        <v>0</v>
      </c>
    </row>
    <row r="31" spans="1:18" x14ac:dyDescent="0.2">
      <c r="B31" s="117" t="s">
        <v>110</v>
      </c>
      <c r="C31" s="117" t="s">
        <v>110</v>
      </c>
      <c r="D31" s="117" t="s">
        <v>110</v>
      </c>
      <c r="E31" s="128"/>
      <c r="F31" s="117" t="s">
        <v>110</v>
      </c>
      <c r="G31" s="117" t="s">
        <v>110</v>
      </c>
      <c r="H31" s="117" t="s">
        <v>110</v>
      </c>
      <c r="I31" s="128"/>
      <c r="J31" s="117" t="s">
        <v>110</v>
      </c>
      <c r="K31" s="117" t="s">
        <v>110</v>
      </c>
      <c r="L31" s="117" t="s">
        <v>110</v>
      </c>
      <c r="M31" s="128"/>
      <c r="N31" s="117" t="s">
        <v>110</v>
      </c>
      <c r="O31" s="117" t="s">
        <v>110</v>
      </c>
      <c r="P31" s="117" t="s">
        <v>110</v>
      </c>
      <c r="Q31" s="128"/>
      <c r="R31" s="117"/>
    </row>
    <row r="32" spans="1:18" x14ac:dyDescent="0.2">
      <c r="A32" s="126" t="s">
        <v>90</v>
      </c>
      <c r="B32" s="117">
        <f t="shared" ref="B32:R32" si="33">SUM(B16:B30)</f>
        <v>287577.49999999994</v>
      </c>
      <c r="C32" s="117">
        <f t="shared" si="33"/>
        <v>0</v>
      </c>
      <c r="D32" s="117">
        <f t="shared" si="33"/>
        <v>0</v>
      </c>
      <c r="E32" s="122">
        <f t="shared" si="33"/>
        <v>287577.49999999994</v>
      </c>
      <c r="F32" s="117">
        <f t="shared" si="33"/>
        <v>0</v>
      </c>
      <c r="G32" s="117">
        <f t="shared" si="33"/>
        <v>0</v>
      </c>
      <c r="H32" s="117">
        <f t="shared" si="33"/>
        <v>0</v>
      </c>
      <c r="I32" s="122">
        <f t="shared" si="33"/>
        <v>0</v>
      </c>
      <c r="J32" s="117">
        <f t="shared" si="33"/>
        <v>0</v>
      </c>
      <c r="K32" s="117">
        <f t="shared" si="33"/>
        <v>0</v>
      </c>
      <c r="L32" s="117">
        <f t="shared" si="33"/>
        <v>0</v>
      </c>
      <c r="M32" s="122">
        <f t="shared" si="33"/>
        <v>0</v>
      </c>
      <c r="N32" s="117">
        <f t="shared" si="33"/>
        <v>280524.84999999998</v>
      </c>
      <c r="O32" s="117">
        <f t="shared" si="33"/>
        <v>0</v>
      </c>
      <c r="P32" s="117">
        <f t="shared" si="33"/>
        <v>0</v>
      </c>
      <c r="Q32" s="122">
        <f t="shared" si="33"/>
        <v>280524.84999999998</v>
      </c>
      <c r="R32" s="123">
        <f t="shared" si="33"/>
        <v>568102.35</v>
      </c>
    </row>
    <row r="33" spans="1:20" ht="12.75" customHeight="1" x14ac:dyDescent="0.2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20" ht="12.75" customHeight="1" x14ac:dyDescent="0.2">
      <c r="A34" s="116" t="s">
        <v>105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5" spans="1:20" ht="12.75" customHeight="1" x14ac:dyDescent="0.2">
      <c r="A35" s="112" t="s">
        <v>185</v>
      </c>
      <c r="B35" s="117">
        <v>50049.18</v>
      </c>
      <c r="C35" s="117">
        <v>0</v>
      </c>
      <c r="D35" s="117">
        <v>0</v>
      </c>
      <c r="E35" s="122">
        <f>SUM(B35:D35)</f>
        <v>50049.18</v>
      </c>
      <c r="F35" s="117">
        <v>0</v>
      </c>
      <c r="G35" s="117">
        <v>0</v>
      </c>
      <c r="H35" s="117">
        <v>0</v>
      </c>
      <c r="I35" s="122">
        <f>SUM(F35:H35)</f>
        <v>0</v>
      </c>
      <c r="J35" s="117">
        <v>0</v>
      </c>
      <c r="K35" s="117">
        <v>0</v>
      </c>
      <c r="L35" s="117">
        <v>0</v>
      </c>
      <c r="M35" s="122">
        <f>SUM(J35:L35)</f>
        <v>0</v>
      </c>
      <c r="N35" s="117">
        <v>0</v>
      </c>
      <c r="O35" s="117">
        <v>0</v>
      </c>
      <c r="P35" s="117">
        <v>0</v>
      </c>
      <c r="Q35" s="122">
        <f>SUM(N35:P35)</f>
        <v>0</v>
      </c>
      <c r="R35" s="123">
        <f>E35+I35+M35+Q35</f>
        <v>50049.18</v>
      </c>
    </row>
    <row r="36" spans="1:20" ht="12.75" customHeight="1" x14ac:dyDescent="0.2">
      <c r="A36" s="112" t="s">
        <v>153</v>
      </c>
      <c r="B36" s="117">
        <v>0</v>
      </c>
      <c r="C36" s="117">
        <v>0</v>
      </c>
      <c r="D36" s="117">
        <v>0</v>
      </c>
      <c r="E36" s="122">
        <f>SUM(B36:D36)</f>
        <v>0</v>
      </c>
      <c r="F36" s="117">
        <v>0</v>
      </c>
      <c r="G36" s="117">
        <v>0</v>
      </c>
      <c r="H36" s="117">
        <v>0</v>
      </c>
      <c r="I36" s="122">
        <f>SUM(F36:H36)</f>
        <v>0</v>
      </c>
      <c r="J36" s="117">
        <v>0</v>
      </c>
      <c r="K36" s="117">
        <v>0</v>
      </c>
      <c r="L36" s="117">
        <v>0</v>
      </c>
      <c r="M36" s="122">
        <f>SUM(J36:L36)</f>
        <v>0</v>
      </c>
      <c r="N36" s="117">
        <v>0</v>
      </c>
      <c r="O36" s="117">
        <v>0</v>
      </c>
      <c r="P36" s="117">
        <v>0</v>
      </c>
      <c r="Q36" s="122">
        <f>SUM(N36:P36)</f>
        <v>0</v>
      </c>
      <c r="R36" s="123">
        <f>E36+I36+M36+Q36</f>
        <v>0</v>
      </c>
    </row>
    <row r="37" spans="1:20" ht="12.75" customHeight="1" x14ac:dyDescent="0.2">
      <c r="A37" s="112" t="s">
        <v>186</v>
      </c>
      <c r="B37" s="117">
        <v>0</v>
      </c>
      <c r="C37" s="117">
        <v>0</v>
      </c>
      <c r="D37" s="117">
        <v>0</v>
      </c>
      <c r="E37" s="122">
        <f>SUM(B37:D37)</f>
        <v>0</v>
      </c>
      <c r="F37" s="117">
        <v>0</v>
      </c>
      <c r="G37" s="117">
        <v>0</v>
      </c>
      <c r="H37" s="117">
        <v>0</v>
      </c>
      <c r="I37" s="122">
        <f>SUM(F37:H37)</f>
        <v>0</v>
      </c>
      <c r="J37" s="117">
        <v>0</v>
      </c>
      <c r="K37" s="117">
        <v>0</v>
      </c>
      <c r="L37" s="117">
        <v>0</v>
      </c>
      <c r="M37" s="122">
        <f>SUM(J37:L37)</f>
        <v>0</v>
      </c>
      <c r="N37" s="117">
        <v>0</v>
      </c>
      <c r="O37" s="117">
        <v>0</v>
      </c>
      <c r="P37" s="117">
        <v>0</v>
      </c>
      <c r="Q37" s="122">
        <f>SUM(N37:P37)</f>
        <v>0</v>
      </c>
      <c r="R37" s="123">
        <f>E37+I37+M37+Q37</f>
        <v>0</v>
      </c>
    </row>
    <row r="38" spans="1:20" ht="12.75" customHeight="1" x14ac:dyDescent="0.2">
      <c r="B38" s="117"/>
      <c r="C38" s="117"/>
      <c r="D38" s="117"/>
      <c r="E38" s="122"/>
      <c r="F38" s="117"/>
      <c r="G38" s="117"/>
      <c r="H38" s="117"/>
      <c r="I38" s="122"/>
      <c r="J38" s="117"/>
      <c r="K38" s="117"/>
      <c r="L38" s="117"/>
      <c r="M38" s="122"/>
      <c r="N38" s="117"/>
      <c r="O38" s="117"/>
      <c r="P38" s="117"/>
      <c r="Q38" s="122"/>
      <c r="R38" s="123"/>
    </row>
    <row r="39" spans="1:20" ht="12.75" customHeight="1" x14ac:dyDescent="0.2">
      <c r="A39" s="116" t="s">
        <v>45</v>
      </c>
      <c r="B39" s="117"/>
      <c r="C39" s="117"/>
      <c r="D39" s="117"/>
      <c r="E39" s="122"/>
      <c r="F39" s="117"/>
      <c r="G39" s="117"/>
      <c r="H39" s="117"/>
      <c r="I39" s="122"/>
      <c r="J39" s="117"/>
      <c r="K39" s="117"/>
      <c r="L39" s="117"/>
      <c r="M39" s="122"/>
      <c r="N39" s="117"/>
      <c r="O39" s="117"/>
      <c r="P39" s="117"/>
      <c r="Q39" s="122"/>
      <c r="R39" s="123"/>
    </row>
    <row r="40" spans="1:20" x14ac:dyDescent="0.2">
      <c r="A40" s="112" t="s">
        <v>146</v>
      </c>
      <c r="B40" s="127">
        <v>128322</v>
      </c>
      <c r="C40" s="127">
        <v>0</v>
      </c>
      <c r="D40" s="127">
        <v>0</v>
      </c>
      <c r="E40" s="122">
        <f>SUM(B40:D40)</f>
        <v>128322</v>
      </c>
      <c r="F40" s="127">
        <v>0</v>
      </c>
      <c r="G40" s="127">
        <v>0</v>
      </c>
      <c r="H40" s="127">
        <v>0</v>
      </c>
      <c r="I40" s="122">
        <f>SUM(F40:H40)</f>
        <v>0</v>
      </c>
      <c r="J40" s="127">
        <v>0</v>
      </c>
      <c r="K40" s="127">
        <v>0</v>
      </c>
      <c r="L40" s="127">
        <v>0</v>
      </c>
      <c r="M40" s="122">
        <f>SUM(J40:L40)</f>
        <v>0</v>
      </c>
      <c r="N40" s="127">
        <v>0</v>
      </c>
      <c r="O40" s="127">
        <v>0</v>
      </c>
      <c r="P40" s="127">
        <v>0</v>
      </c>
      <c r="Q40" s="122">
        <f>SUM(N40:P40)</f>
        <v>0</v>
      </c>
      <c r="R40" s="123">
        <f>E40+I40+M40+Q40</f>
        <v>128322</v>
      </c>
    </row>
    <row r="41" spans="1:20" x14ac:dyDescent="0.2">
      <c r="A41" s="112" t="s">
        <v>147</v>
      </c>
      <c r="B41" s="127">
        <v>0</v>
      </c>
      <c r="C41" s="127">
        <v>0</v>
      </c>
      <c r="D41" s="127">
        <v>0</v>
      </c>
      <c r="E41" s="122">
        <f>SUM(B41:D41)</f>
        <v>0</v>
      </c>
      <c r="F41" s="127">
        <v>0</v>
      </c>
      <c r="G41" s="127">
        <v>0</v>
      </c>
      <c r="H41" s="127">
        <v>0</v>
      </c>
      <c r="I41" s="122">
        <f>SUM(F41:H41)</f>
        <v>0</v>
      </c>
      <c r="J41" s="127">
        <v>0</v>
      </c>
      <c r="K41" s="127">
        <v>0</v>
      </c>
      <c r="L41" s="127">
        <v>0</v>
      </c>
      <c r="M41" s="122">
        <f>SUM(J41:L41)</f>
        <v>0</v>
      </c>
      <c r="N41" s="127">
        <v>0</v>
      </c>
      <c r="O41" s="127">
        <v>0</v>
      </c>
      <c r="P41" s="127">
        <v>0</v>
      </c>
      <c r="Q41" s="122">
        <f>SUM(N41:P41)</f>
        <v>0</v>
      </c>
      <c r="R41" s="123">
        <f>E41+I41+M41+Q41</f>
        <v>0</v>
      </c>
    </row>
    <row r="42" spans="1:20" x14ac:dyDescent="0.2">
      <c r="A42" s="112" t="s">
        <v>148</v>
      </c>
      <c r="B42" s="127">
        <v>0</v>
      </c>
      <c r="C42" s="127">
        <v>0</v>
      </c>
      <c r="D42" s="127">
        <v>0</v>
      </c>
      <c r="E42" s="122">
        <f>SUM(B42:D42)</f>
        <v>0</v>
      </c>
      <c r="F42" s="127">
        <v>0</v>
      </c>
      <c r="G42" s="127">
        <v>0</v>
      </c>
      <c r="H42" s="127">
        <v>0</v>
      </c>
      <c r="I42" s="122">
        <f>SUM(F42:H42)</f>
        <v>0</v>
      </c>
      <c r="J42" s="127">
        <v>0</v>
      </c>
      <c r="K42" s="127">
        <v>0</v>
      </c>
      <c r="L42" s="127">
        <v>0</v>
      </c>
      <c r="M42" s="122">
        <f>SUM(J42:L42)</f>
        <v>0</v>
      </c>
      <c r="N42" s="127">
        <v>0</v>
      </c>
      <c r="O42" s="127">
        <v>0</v>
      </c>
      <c r="P42" s="127">
        <v>0</v>
      </c>
      <c r="Q42" s="122">
        <f>SUM(N42:P42)</f>
        <v>0</v>
      </c>
      <c r="R42" s="123">
        <f>E42+I42+M42+Q42</f>
        <v>0</v>
      </c>
    </row>
    <row r="43" spans="1:20" x14ac:dyDescent="0.2">
      <c r="A43" s="112" t="s">
        <v>149</v>
      </c>
      <c r="B43" s="117">
        <v>0</v>
      </c>
      <c r="C43" s="117">
        <v>0</v>
      </c>
      <c r="D43" s="117">
        <v>0</v>
      </c>
      <c r="E43" s="122">
        <f>SUM(B43:D43)</f>
        <v>0</v>
      </c>
      <c r="F43" s="117">
        <v>0</v>
      </c>
      <c r="G43" s="117">
        <v>0</v>
      </c>
      <c r="H43" s="117">
        <v>0</v>
      </c>
      <c r="I43" s="122">
        <f>SUM(F43:H43)</f>
        <v>0</v>
      </c>
      <c r="J43" s="117">
        <v>0</v>
      </c>
      <c r="K43" s="117">
        <v>0</v>
      </c>
      <c r="L43" s="117">
        <v>0</v>
      </c>
      <c r="M43" s="122">
        <f>SUM(J43:L43)</f>
        <v>0</v>
      </c>
      <c r="N43" s="117">
        <v>0</v>
      </c>
      <c r="O43" s="117">
        <v>0</v>
      </c>
      <c r="P43" s="117">
        <v>0</v>
      </c>
      <c r="Q43" s="122">
        <f>SUM(N43:P43)</f>
        <v>0</v>
      </c>
      <c r="R43" s="123">
        <f>E43+I43+M43+Q43</f>
        <v>0</v>
      </c>
    </row>
    <row r="44" spans="1:20" ht="9" customHeight="1" x14ac:dyDescent="0.2">
      <c r="B44" s="117"/>
      <c r="C44" s="117"/>
      <c r="D44" s="117"/>
      <c r="E44" s="128"/>
      <c r="F44" s="117"/>
      <c r="G44" s="117"/>
      <c r="H44" s="117"/>
      <c r="I44" s="128"/>
      <c r="J44" s="117"/>
      <c r="K44" s="117"/>
      <c r="L44" s="117"/>
      <c r="M44" s="128"/>
      <c r="N44" s="117"/>
      <c r="O44" s="117"/>
      <c r="P44" s="117"/>
      <c r="Q44" s="128"/>
      <c r="R44" s="117"/>
    </row>
    <row r="45" spans="1:20" x14ac:dyDescent="0.2">
      <c r="A45" s="126" t="s">
        <v>156</v>
      </c>
      <c r="B45" s="117">
        <f t="shared" ref="B45:R45" si="34">SUM(B35:B43)</f>
        <v>178371.18</v>
      </c>
      <c r="C45" s="117">
        <f t="shared" ref="C45:D45" si="35">SUM(C35:C43)</f>
        <v>0</v>
      </c>
      <c r="D45" s="117">
        <f t="shared" si="35"/>
        <v>0</v>
      </c>
      <c r="E45" s="129">
        <f t="shared" si="34"/>
        <v>178371.18</v>
      </c>
      <c r="F45" s="117">
        <f t="shared" ref="F45:H45" si="36">SUM(F35:F43)</f>
        <v>0</v>
      </c>
      <c r="G45" s="117">
        <f t="shared" si="36"/>
        <v>0</v>
      </c>
      <c r="H45" s="117">
        <f t="shared" si="36"/>
        <v>0</v>
      </c>
      <c r="I45" s="129">
        <f t="shared" si="34"/>
        <v>0</v>
      </c>
      <c r="J45" s="117">
        <f t="shared" ref="J45:L45" si="37">SUM(J35:J43)</f>
        <v>0</v>
      </c>
      <c r="K45" s="117">
        <f t="shared" si="37"/>
        <v>0</v>
      </c>
      <c r="L45" s="117">
        <f t="shared" si="37"/>
        <v>0</v>
      </c>
      <c r="M45" s="129">
        <f t="shared" si="34"/>
        <v>0</v>
      </c>
      <c r="N45" s="117">
        <f t="shared" ref="N45:P45" si="38">SUM(N35:N43)</f>
        <v>0</v>
      </c>
      <c r="O45" s="117">
        <f t="shared" si="38"/>
        <v>0</v>
      </c>
      <c r="P45" s="117">
        <f t="shared" si="38"/>
        <v>0</v>
      </c>
      <c r="Q45" s="122">
        <f t="shared" si="34"/>
        <v>0</v>
      </c>
      <c r="R45" s="123">
        <f t="shared" si="34"/>
        <v>178371.18</v>
      </c>
    </row>
    <row r="46" spans="1:20" x14ac:dyDescent="0.2">
      <c r="B46" s="117"/>
      <c r="C46" s="117"/>
      <c r="D46" s="117"/>
      <c r="E46" s="128"/>
      <c r="F46" s="117"/>
      <c r="G46" s="117"/>
      <c r="H46" s="117"/>
      <c r="I46" s="128"/>
      <c r="J46" s="117"/>
      <c r="K46" s="117"/>
      <c r="L46" s="117"/>
      <c r="M46" s="128"/>
      <c r="N46" s="117"/>
      <c r="O46" s="117"/>
      <c r="P46" s="117"/>
      <c r="Q46" s="128"/>
      <c r="R46" s="117"/>
    </row>
    <row r="47" spans="1:20" x14ac:dyDescent="0.2">
      <c r="A47" s="126" t="s">
        <v>55</v>
      </c>
      <c r="B47" s="117">
        <f t="shared" ref="B47:R47" si="39">B32+B45</f>
        <v>465948.67999999993</v>
      </c>
      <c r="C47" s="117">
        <f t="shared" ref="C47:D47" si="40">C32+C45</f>
        <v>0</v>
      </c>
      <c r="D47" s="117">
        <f t="shared" si="40"/>
        <v>0</v>
      </c>
      <c r="E47" s="122">
        <f t="shared" si="39"/>
        <v>465948.67999999993</v>
      </c>
      <c r="F47" s="117">
        <f t="shared" ref="F47:H47" si="41">F32+F45</f>
        <v>0</v>
      </c>
      <c r="G47" s="117">
        <f t="shared" si="41"/>
        <v>0</v>
      </c>
      <c r="H47" s="117">
        <f t="shared" si="41"/>
        <v>0</v>
      </c>
      <c r="I47" s="122">
        <f t="shared" si="39"/>
        <v>0</v>
      </c>
      <c r="J47" s="117">
        <f t="shared" ref="J47:L47" si="42">J32+J45</f>
        <v>0</v>
      </c>
      <c r="K47" s="117">
        <f t="shared" si="42"/>
        <v>0</v>
      </c>
      <c r="L47" s="117">
        <f t="shared" si="42"/>
        <v>0</v>
      </c>
      <c r="M47" s="122">
        <f t="shared" si="39"/>
        <v>0</v>
      </c>
      <c r="N47" s="117">
        <f t="shared" ref="N47:P47" si="43">N32+N45</f>
        <v>280524.84999999998</v>
      </c>
      <c r="O47" s="117">
        <f t="shared" si="43"/>
        <v>0</v>
      </c>
      <c r="P47" s="117">
        <f t="shared" si="43"/>
        <v>0</v>
      </c>
      <c r="Q47" s="122">
        <f t="shared" si="39"/>
        <v>280524.84999999998</v>
      </c>
      <c r="R47" s="123">
        <f t="shared" si="39"/>
        <v>746473.53</v>
      </c>
      <c r="T47" s="127"/>
    </row>
    <row r="48" spans="1:20" ht="9" customHeight="1" x14ac:dyDescent="0.2">
      <c r="A48" s="12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T48" s="127"/>
    </row>
    <row r="49" spans="1:21" x14ac:dyDescent="0.2">
      <c r="A49" s="130" t="s">
        <v>49</v>
      </c>
      <c r="B49" s="117"/>
      <c r="C49" s="117"/>
      <c r="D49" s="117"/>
      <c r="E49" s="112"/>
      <c r="F49" s="117"/>
      <c r="G49" s="117"/>
      <c r="H49" s="117"/>
      <c r="I49" s="112"/>
      <c r="J49" s="117"/>
      <c r="K49" s="117"/>
      <c r="L49" s="117"/>
      <c r="M49" s="112"/>
      <c r="N49" s="117"/>
      <c r="O49" s="117"/>
      <c r="P49" s="117"/>
      <c r="Q49" s="112"/>
      <c r="R49" s="112"/>
      <c r="T49" s="127"/>
    </row>
    <row r="50" spans="1:21" x14ac:dyDescent="0.2">
      <c r="A50" s="112" t="s">
        <v>154</v>
      </c>
      <c r="B50" s="117">
        <v>0</v>
      </c>
      <c r="C50" s="117">
        <v>0</v>
      </c>
      <c r="D50" s="117">
        <v>0</v>
      </c>
      <c r="E50" s="122">
        <f>SUM(B50:D50)</f>
        <v>0</v>
      </c>
      <c r="F50" s="117">
        <v>0</v>
      </c>
      <c r="G50" s="117">
        <v>0</v>
      </c>
      <c r="H50" s="117">
        <v>0</v>
      </c>
      <c r="I50" s="122">
        <f>SUM(F50:H50)</f>
        <v>0</v>
      </c>
      <c r="J50" s="117">
        <v>0</v>
      </c>
      <c r="K50" s="117">
        <v>0</v>
      </c>
      <c r="L50" s="117">
        <v>0</v>
      </c>
      <c r="M50" s="122">
        <f>SUM(J50:L50)</f>
        <v>0</v>
      </c>
      <c r="N50" s="117">
        <v>0</v>
      </c>
      <c r="O50" s="117">
        <v>0</v>
      </c>
      <c r="P50" s="117">
        <v>0</v>
      </c>
      <c r="Q50" s="122">
        <f>SUM(N50:P50)</f>
        <v>0</v>
      </c>
      <c r="R50" s="123">
        <f>E50+I50+M50+Q50</f>
        <v>0</v>
      </c>
      <c r="T50" s="127"/>
    </row>
    <row r="51" spans="1:21" x14ac:dyDescent="0.2">
      <c r="A51" s="112" t="s">
        <v>157</v>
      </c>
      <c r="B51" s="117">
        <v>0</v>
      </c>
      <c r="C51" s="117">
        <v>0</v>
      </c>
      <c r="D51" s="117">
        <v>0</v>
      </c>
      <c r="E51" s="122">
        <f>SUM(B49:C49)</f>
        <v>0</v>
      </c>
      <c r="F51" s="117">
        <v>0</v>
      </c>
      <c r="G51" s="117">
        <v>0</v>
      </c>
      <c r="H51" s="117">
        <v>0</v>
      </c>
      <c r="I51" s="122">
        <f>SUM(F49:G49)</f>
        <v>0</v>
      </c>
      <c r="J51" s="117">
        <v>0</v>
      </c>
      <c r="K51" s="117">
        <v>0</v>
      </c>
      <c r="L51" s="117">
        <v>0</v>
      </c>
      <c r="M51" s="122">
        <f>SUM(J51:L51)</f>
        <v>0</v>
      </c>
      <c r="N51" s="117">
        <v>0</v>
      </c>
      <c r="O51" s="117">
        <v>0</v>
      </c>
      <c r="P51" s="117">
        <v>0</v>
      </c>
      <c r="Q51" s="122">
        <f>SUM(N51:P51)</f>
        <v>0</v>
      </c>
      <c r="R51" s="123">
        <f>E51+I51+M51+Q51</f>
        <v>0</v>
      </c>
      <c r="T51" s="127"/>
    </row>
    <row r="52" spans="1:21" ht="13.5" customHeight="1" x14ac:dyDescent="0.2">
      <c r="A52" s="112" t="s">
        <v>50</v>
      </c>
      <c r="B52" s="117">
        <v>0</v>
      </c>
      <c r="C52" s="117">
        <v>0</v>
      </c>
      <c r="D52" s="117">
        <v>0</v>
      </c>
      <c r="E52" s="122">
        <f>SUM(B51:C51)</f>
        <v>0</v>
      </c>
      <c r="F52" s="117">
        <v>0</v>
      </c>
      <c r="G52" s="117">
        <v>0</v>
      </c>
      <c r="H52" s="117">
        <v>0</v>
      </c>
      <c r="I52" s="122">
        <f>SUM(F51:G51)</f>
        <v>0</v>
      </c>
      <c r="J52" s="117">
        <v>0</v>
      </c>
      <c r="K52" s="117">
        <v>0</v>
      </c>
      <c r="L52" s="117">
        <v>0</v>
      </c>
      <c r="M52" s="122">
        <f>SUM(J52:L52)</f>
        <v>0</v>
      </c>
      <c r="N52" s="117">
        <v>0</v>
      </c>
      <c r="O52" s="117">
        <v>0</v>
      </c>
      <c r="P52" s="117">
        <v>0</v>
      </c>
      <c r="Q52" s="122">
        <f>SUM(N52:P52)</f>
        <v>0</v>
      </c>
      <c r="R52" s="123">
        <f>E52+I52+M52+Q52</f>
        <v>0</v>
      </c>
    </row>
    <row r="53" spans="1:21" ht="12.75" customHeight="1" x14ac:dyDescent="0.2">
      <c r="A53" s="126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N53" s="117"/>
      <c r="O53" s="117"/>
      <c r="P53" s="117"/>
      <c r="Q53" s="117"/>
      <c r="R53" s="117"/>
    </row>
    <row r="54" spans="1:21" ht="12.75" customHeight="1" x14ac:dyDescent="0.2">
      <c r="A54" s="126" t="s">
        <v>84</v>
      </c>
      <c r="B54" s="117">
        <f>B47-B51-B52</f>
        <v>465948.67999999993</v>
      </c>
      <c r="C54" s="117">
        <f>C47-C51-C52</f>
        <v>0</v>
      </c>
      <c r="D54" s="117">
        <f>D47-D51-D52</f>
        <v>0</v>
      </c>
      <c r="E54" s="122">
        <f>E47-E50-E51-E52</f>
        <v>465948.67999999993</v>
      </c>
      <c r="F54" s="117">
        <f t="shared" ref="F54:H54" si="44">F47-F51-F52</f>
        <v>0</v>
      </c>
      <c r="G54" s="117">
        <f t="shared" si="44"/>
        <v>0</v>
      </c>
      <c r="H54" s="117">
        <f t="shared" si="44"/>
        <v>0</v>
      </c>
      <c r="I54" s="122">
        <f>I47-I50-I51-I52</f>
        <v>0</v>
      </c>
      <c r="J54" s="117">
        <f t="shared" ref="J54:L54" si="45">J47-J51-J52</f>
        <v>0</v>
      </c>
      <c r="K54" s="117">
        <f t="shared" si="45"/>
        <v>0</v>
      </c>
      <c r="L54" s="117">
        <f t="shared" si="45"/>
        <v>0</v>
      </c>
      <c r="M54" s="122">
        <f>M47-M50-M51-M52</f>
        <v>0</v>
      </c>
      <c r="N54" s="117">
        <f t="shared" ref="N54:P54" si="46">N47-N51-N52</f>
        <v>280524.84999999998</v>
      </c>
      <c r="O54" s="117">
        <f t="shared" si="46"/>
        <v>0</v>
      </c>
      <c r="P54" s="117">
        <f t="shared" si="46"/>
        <v>0</v>
      </c>
      <c r="Q54" s="122">
        <f>Q47-Q50-Q51-Q52</f>
        <v>280524.84999999998</v>
      </c>
      <c r="R54" s="123">
        <f>R47-R50-R51-R52</f>
        <v>746473.53</v>
      </c>
    </row>
    <row r="55" spans="1:21" ht="12.75" customHeight="1" x14ac:dyDescent="0.2">
      <c r="A55" s="12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21" x14ac:dyDescent="0.2">
      <c r="A56" s="131" t="s">
        <v>2</v>
      </c>
      <c r="B56" s="132">
        <f>(B13-B54)</f>
        <v>590289.72</v>
      </c>
      <c r="C56" s="132">
        <f>(C13-C54)</f>
        <v>0</v>
      </c>
      <c r="D56" s="132">
        <f>(D13-D54)</f>
        <v>0</v>
      </c>
      <c r="E56" s="133"/>
      <c r="F56" s="132">
        <f>(F13-F54)</f>
        <v>0</v>
      </c>
      <c r="G56" s="132">
        <f>(G13-G54)</f>
        <v>0</v>
      </c>
      <c r="H56" s="132">
        <f>(H13-H54)</f>
        <v>0</v>
      </c>
      <c r="I56" s="133"/>
      <c r="J56" s="132">
        <f>(J13-J54)</f>
        <v>0</v>
      </c>
      <c r="K56" s="132">
        <f>(K13-K54)</f>
        <v>0</v>
      </c>
      <c r="L56" s="132">
        <f>(L13-L54)</f>
        <v>0</v>
      </c>
      <c r="M56" s="122">
        <f>SUM(J56:L56)</f>
        <v>0</v>
      </c>
      <c r="N56" s="132">
        <f>(N13-N54)</f>
        <v>-267088.11</v>
      </c>
      <c r="O56" s="132">
        <f>(O13-O54)</f>
        <v>0</v>
      </c>
      <c r="P56" s="132">
        <f>(P13-P54)</f>
        <v>0</v>
      </c>
      <c r="Q56" s="133"/>
      <c r="R56" s="132">
        <f>(R13-R54)</f>
        <v>323201.60999999987</v>
      </c>
      <c r="T56" s="127"/>
    </row>
    <row r="57" spans="1:21" x14ac:dyDescent="0.2"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2"/>
      <c r="O57" s="112"/>
      <c r="P57" s="112"/>
      <c r="Q57" s="117"/>
      <c r="R57" s="117"/>
      <c r="T57" s="127"/>
    </row>
    <row r="58" spans="1:21" ht="25.5" x14ac:dyDescent="0.2">
      <c r="A58" s="116" t="s">
        <v>138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</row>
    <row r="59" spans="1:21" ht="13.5" thickBot="1" x14ac:dyDescent="0.25">
      <c r="A59" s="116" t="s">
        <v>53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</row>
    <row r="60" spans="1:21" ht="13.5" thickBot="1" x14ac:dyDescent="0.25">
      <c r="A60" s="134" t="s">
        <v>3</v>
      </c>
      <c r="B60" s="135">
        <v>8989298.3399999999</v>
      </c>
      <c r="C60" s="135">
        <v>0</v>
      </c>
      <c r="D60" s="135">
        <f>C61</f>
        <v>0</v>
      </c>
      <c r="E60" s="117"/>
      <c r="F60" s="135">
        <f>D61</f>
        <v>0</v>
      </c>
      <c r="G60" s="135">
        <f>F61</f>
        <v>0</v>
      </c>
      <c r="H60" s="135">
        <f>G61</f>
        <v>0</v>
      </c>
      <c r="I60" s="117"/>
      <c r="J60" s="135">
        <f>H61</f>
        <v>0</v>
      </c>
      <c r="K60" s="135">
        <f>J61</f>
        <v>0</v>
      </c>
      <c r="L60" s="135">
        <f>K61</f>
        <v>0</v>
      </c>
      <c r="M60" s="117"/>
      <c r="N60" s="135">
        <f>L61</f>
        <v>0</v>
      </c>
      <c r="O60" s="135">
        <f>N61</f>
        <v>0</v>
      </c>
      <c r="P60" s="135">
        <f>O61</f>
        <v>0</v>
      </c>
      <c r="Q60" s="117"/>
      <c r="R60" s="117"/>
    </row>
    <row r="61" spans="1:21" ht="13.5" thickBot="1" x14ac:dyDescent="0.25">
      <c r="A61" s="136" t="s">
        <v>4</v>
      </c>
      <c r="B61" s="137">
        <f>'Bank Acct Summary'!C123</f>
        <v>9579588.0600000005</v>
      </c>
      <c r="C61" s="137">
        <f>'Bank Acct Summary'!D123</f>
        <v>0</v>
      </c>
      <c r="D61" s="137">
        <f>'Bank Acct Summary'!E123</f>
        <v>0</v>
      </c>
      <c r="E61" s="117"/>
      <c r="F61" s="137">
        <f>'Bank Acct Summary'!F123</f>
        <v>0</v>
      </c>
      <c r="G61" s="137">
        <f>'Bank Acct Summary'!G123</f>
        <v>0</v>
      </c>
      <c r="H61" s="137">
        <f>'Bank Acct Summary'!H123</f>
        <v>0</v>
      </c>
      <c r="I61" s="117"/>
      <c r="J61" s="137">
        <f>'Bank Acct Summary'!I123</f>
        <v>0</v>
      </c>
      <c r="K61" s="137">
        <f>'Bank Acct Summary'!J123</f>
        <v>0</v>
      </c>
      <c r="L61" s="137">
        <f>'Bank Acct Summary'!K123</f>
        <v>0</v>
      </c>
      <c r="M61" s="117"/>
      <c r="N61" s="137">
        <f>'Bank Acct Summary'!L123</f>
        <v>0</v>
      </c>
      <c r="O61" s="137">
        <f>'Bank Acct Summary'!M123</f>
        <v>0</v>
      </c>
      <c r="P61" s="137">
        <f>'Bank Acct Summary'!N123</f>
        <v>0</v>
      </c>
      <c r="Q61" s="117"/>
      <c r="R61" s="117"/>
      <c r="U61" s="127"/>
    </row>
    <row r="62" spans="1:21" x14ac:dyDescent="0.2">
      <c r="N62" s="112"/>
      <c r="O62" s="112"/>
      <c r="P62" s="112"/>
      <c r="U62" s="127"/>
    </row>
    <row r="64" spans="1:21" x14ac:dyDescent="0.2">
      <c r="U64" s="127"/>
    </row>
    <row r="65" spans="2:21" x14ac:dyDescent="0.2">
      <c r="U65" s="127"/>
    </row>
    <row r="66" spans="2:21" x14ac:dyDescent="0.2">
      <c r="B66" s="117">
        <f>B60+B56</f>
        <v>9579588.0600000005</v>
      </c>
      <c r="C66" s="117">
        <f>C60+C56</f>
        <v>0</v>
      </c>
      <c r="D66" s="117">
        <f>D60+D56</f>
        <v>0</v>
      </c>
      <c r="F66" s="117">
        <f>F60+F56</f>
        <v>0</v>
      </c>
      <c r="G66" s="117">
        <f>G60+G56</f>
        <v>0</v>
      </c>
      <c r="H66" s="117">
        <f>H60+H56</f>
        <v>0</v>
      </c>
      <c r="I66" s="117"/>
      <c r="J66" s="117">
        <f>J60+J56</f>
        <v>0</v>
      </c>
      <c r="K66" s="117">
        <f>K60+K56</f>
        <v>0</v>
      </c>
      <c r="L66" s="117">
        <f>L60+L56</f>
        <v>0</v>
      </c>
      <c r="M66" s="117"/>
      <c r="N66" s="117">
        <f>N60+N56</f>
        <v>-267088.11</v>
      </c>
      <c r="O66" s="117">
        <f>O60+O56</f>
        <v>0</v>
      </c>
      <c r="P66" s="117">
        <f>P60+P56</f>
        <v>0</v>
      </c>
      <c r="Q66" s="117"/>
      <c r="R66" s="117">
        <f>B60+R56</f>
        <v>9312499.9499999993</v>
      </c>
      <c r="U66" s="127"/>
    </row>
    <row r="67" spans="2:21" x14ac:dyDescent="0.2">
      <c r="F67" s="117"/>
      <c r="G67" s="117"/>
      <c r="H67" s="117"/>
      <c r="J67" s="117"/>
      <c r="K67" s="117"/>
      <c r="L67" s="117"/>
      <c r="N67" s="117"/>
      <c r="O67" s="117"/>
      <c r="P67" s="117"/>
    </row>
    <row r="68" spans="2:21" x14ac:dyDescent="0.2">
      <c r="B68" s="117">
        <f>B61-B66</f>
        <v>0</v>
      </c>
      <c r="C68" s="117">
        <f>C61-C66</f>
        <v>0</v>
      </c>
      <c r="D68" s="117">
        <f>D61-D66</f>
        <v>0</v>
      </c>
      <c r="F68" s="117">
        <f>F61-F66</f>
        <v>0</v>
      </c>
      <c r="G68" s="117">
        <f>G61-G66</f>
        <v>0</v>
      </c>
      <c r="H68" s="117">
        <f>H61-H66</f>
        <v>0</v>
      </c>
      <c r="I68" s="117"/>
      <c r="J68" s="117">
        <f>J61-J66</f>
        <v>0</v>
      </c>
      <c r="K68" s="117">
        <f>K61-K66</f>
        <v>0</v>
      </c>
      <c r="L68" s="117">
        <f>L61-L66</f>
        <v>0</v>
      </c>
      <c r="M68" s="117"/>
      <c r="N68" s="117">
        <f>N61-N66</f>
        <v>267088.11</v>
      </c>
      <c r="O68" s="117">
        <f>O61-O66</f>
        <v>0</v>
      </c>
      <c r="P68" s="117">
        <f>P61-P66</f>
        <v>0</v>
      </c>
      <c r="Q68" s="117"/>
      <c r="R68" s="117">
        <f>D61-R66</f>
        <v>-9312499.9499999993</v>
      </c>
      <c r="U68" s="127"/>
    </row>
    <row r="69" spans="2:21" x14ac:dyDescent="0.2">
      <c r="N69" s="117"/>
      <c r="O69" s="117"/>
      <c r="P69" s="117"/>
    </row>
    <row r="70" spans="2:21" x14ac:dyDescent="0.2">
      <c r="B70" s="117"/>
      <c r="K70" s="117"/>
      <c r="O70" s="117">
        <f>+O68+N68</f>
        <v>267088.11</v>
      </c>
      <c r="U70" s="127"/>
    </row>
    <row r="71" spans="2:21" x14ac:dyDescent="0.2">
      <c r="H71" s="117"/>
      <c r="K71" s="117"/>
      <c r="R71" s="117"/>
    </row>
    <row r="72" spans="2:21" x14ac:dyDescent="0.2">
      <c r="B72" s="117"/>
      <c r="U72" s="127"/>
    </row>
    <row r="74" spans="2:21" x14ac:dyDescent="0.2">
      <c r="F74" s="117"/>
    </row>
  </sheetData>
  <phoneticPr fontId="0" type="noConversion"/>
  <printOptions horizontalCentered="1" gridLines="1"/>
  <pageMargins left="0.5" right="0.5" top="0.97" bottom="0.43" header="0.24" footer="0.31"/>
  <pageSetup scale="62" fitToWidth="2" orientation="landscape" r:id="rId1"/>
  <headerFooter alignWithMargins="0">
    <oddHeader>&amp;C&amp;"Arial,Bold"&amp;18HCESD #29
2019 Monthly Financial Report
Change in Cash Position</oddHeader>
    <oddFooter>&amp;L&amp;9&amp;F
&amp;A
&amp;C&amp;9&amp;P of &amp;N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2"/>
  <sheetViews>
    <sheetView view="pageLayout" topLeftCell="C37" zoomScaleNormal="85" workbookViewId="0">
      <selection activeCell="C61" sqref="C61:P61"/>
    </sheetView>
  </sheetViews>
  <sheetFormatPr defaultRowHeight="12.75" x14ac:dyDescent="0.2"/>
  <cols>
    <col min="1" max="1" width="31.5703125" style="6" customWidth="1"/>
    <col min="2" max="2" width="12.5703125" style="6" customWidth="1"/>
    <col min="3" max="3" width="13.7109375" style="6" customWidth="1"/>
    <col min="4" max="4" width="14.28515625" style="6" customWidth="1"/>
    <col min="5" max="5" width="14.5703125" style="6" customWidth="1"/>
    <col min="6" max="10" width="13.42578125" style="6" customWidth="1"/>
    <col min="11" max="11" width="15.42578125" style="6" customWidth="1"/>
    <col min="12" max="12" width="13.85546875" style="6" customWidth="1"/>
    <col min="13" max="13" width="13.42578125" style="6" customWidth="1"/>
    <col min="14" max="14" width="14.5703125" style="6" customWidth="1"/>
    <col min="15" max="15" width="14.85546875" style="6" customWidth="1"/>
    <col min="16" max="16" width="16.7109375" style="5" customWidth="1"/>
    <col min="17" max="17" width="16.140625" style="5" customWidth="1"/>
    <col min="18" max="18" width="13.7109375" style="5" customWidth="1"/>
    <col min="19" max="16384" width="9.140625" style="6"/>
  </cols>
  <sheetData>
    <row r="1" spans="1:18" s="1" customFormat="1" ht="25.5" x14ac:dyDescent="0.2">
      <c r="B1" s="22" t="s">
        <v>165</v>
      </c>
      <c r="C1" s="23">
        <v>43480</v>
      </c>
      <c r="D1" s="23">
        <f t="shared" ref="D1:M1" si="0">+C1+30</f>
        <v>43510</v>
      </c>
      <c r="E1" s="23">
        <f t="shared" si="0"/>
        <v>43540</v>
      </c>
      <c r="F1" s="23">
        <f t="shared" si="0"/>
        <v>43570</v>
      </c>
      <c r="G1" s="23">
        <f t="shared" si="0"/>
        <v>43600</v>
      </c>
      <c r="H1" s="23">
        <f t="shared" si="0"/>
        <v>43630</v>
      </c>
      <c r="I1" s="23">
        <f t="shared" si="0"/>
        <v>43660</v>
      </c>
      <c r="J1" s="23">
        <f t="shared" si="0"/>
        <v>43690</v>
      </c>
      <c r="K1" s="23">
        <f t="shared" si="0"/>
        <v>43720</v>
      </c>
      <c r="L1" s="23">
        <f t="shared" si="0"/>
        <v>43750</v>
      </c>
      <c r="M1" s="23">
        <f t="shared" si="0"/>
        <v>43780</v>
      </c>
      <c r="N1" s="23">
        <v>43071</v>
      </c>
      <c r="O1" s="55" t="s">
        <v>166</v>
      </c>
      <c r="P1" s="25" t="s">
        <v>167</v>
      </c>
      <c r="Q1" s="26" t="s">
        <v>60</v>
      </c>
      <c r="R1" s="27" t="s">
        <v>10</v>
      </c>
    </row>
    <row r="2" spans="1:18" x14ac:dyDescent="0.2">
      <c r="A2" s="2" t="s">
        <v>11</v>
      </c>
      <c r="B2" s="14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s="9" customFormat="1" ht="12.75" customHeight="1" x14ac:dyDescent="0.2">
      <c r="A3" s="107" t="s">
        <v>187</v>
      </c>
      <c r="B3" s="148">
        <v>0</v>
      </c>
      <c r="C3" s="71">
        <v>773702.94</v>
      </c>
      <c r="D3" s="71">
        <v>0</v>
      </c>
      <c r="E3" s="71">
        <v>0</v>
      </c>
      <c r="F3" s="71">
        <v>0</v>
      </c>
      <c r="G3" s="71">
        <v>0</v>
      </c>
      <c r="H3" s="71">
        <v>0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6">
        <f t="shared" ref="O3:O12" si="1">SUM(B3:N3)</f>
        <v>773702.94</v>
      </c>
      <c r="P3" s="149">
        <v>2850000</v>
      </c>
      <c r="Q3" s="154">
        <f t="shared" ref="Q3:Q12" si="2">O3-P3</f>
        <v>-2076297.06</v>
      </c>
      <c r="R3" s="8">
        <f t="shared" ref="R3:R9" si="3">O3/P3</f>
        <v>0.27147471578947369</v>
      </c>
    </row>
    <row r="4" spans="1:18" s="9" customFormat="1" ht="12.75" customHeight="1" x14ac:dyDescent="0.2">
      <c r="A4" s="7" t="s">
        <v>108</v>
      </c>
      <c r="B4" s="11"/>
      <c r="C4" s="70">
        <v>748.24</v>
      </c>
      <c r="D4" s="70">
        <v>0</v>
      </c>
      <c r="E4" s="70">
        <v>0</v>
      </c>
      <c r="F4" s="70">
        <v>0</v>
      </c>
      <c r="G4" s="70">
        <v>0</v>
      </c>
      <c r="H4" s="70">
        <v>0</v>
      </c>
      <c r="I4" s="70">
        <v>0</v>
      </c>
      <c r="J4" s="70">
        <v>0</v>
      </c>
      <c r="K4" s="70">
        <v>0</v>
      </c>
      <c r="L4" s="70">
        <v>0</v>
      </c>
      <c r="M4" s="70">
        <v>0</v>
      </c>
      <c r="N4" s="70">
        <v>0</v>
      </c>
      <c r="O4" s="72">
        <f t="shared" si="1"/>
        <v>748.24</v>
      </c>
      <c r="P4" s="150">
        <v>10000</v>
      </c>
      <c r="Q4" s="153">
        <f t="shared" si="2"/>
        <v>-9251.76</v>
      </c>
      <c r="R4" s="8">
        <f t="shared" si="3"/>
        <v>7.4824000000000002E-2</v>
      </c>
    </row>
    <row r="5" spans="1:18" s="9" customFormat="1" x14ac:dyDescent="0.2">
      <c r="A5" s="21" t="s">
        <v>32</v>
      </c>
      <c r="B5" s="11"/>
      <c r="C5" s="70">
        <v>0</v>
      </c>
      <c r="D5" s="70">
        <v>0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2">
        <f t="shared" si="1"/>
        <v>0</v>
      </c>
      <c r="P5" s="150">
        <v>-14000</v>
      </c>
      <c r="Q5" s="153">
        <f t="shared" si="2"/>
        <v>14000</v>
      </c>
      <c r="R5" s="8">
        <f t="shared" si="3"/>
        <v>0</v>
      </c>
    </row>
    <row r="6" spans="1:18" x14ac:dyDescent="0.2">
      <c r="A6" s="10" t="s">
        <v>5</v>
      </c>
      <c r="B6" s="11"/>
      <c r="C6" s="108">
        <v>0</v>
      </c>
      <c r="D6" s="108">
        <v>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72">
        <f t="shared" si="1"/>
        <v>0</v>
      </c>
      <c r="P6" s="155">
        <v>15000</v>
      </c>
      <c r="Q6" s="156">
        <f t="shared" si="2"/>
        <v>-15000</v>
      </c>
      <c r="R6" s="12">
        <f t="shared" si="3"/>
        <v>0</v>
      </c>
    </row>
    <row r="7" spans="1:18" x14ac:dyDescent="0.2">
      <c r="A7" s="10" t="s">
        <v>106</v>
      </c>
      <c r="B7" s="11"/>
      <c r="C7" s="75">
        <v>268350.48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2">
        <f t="shared" si="1"/>
        <v>268350.48</v>
      </c>
      <c r="P7" s="155">
        <v>2050000</v>
      </c>
      <c r="Q7" s="156">
        <f t="shared" si="2"/>
        <v>-1781649.52</v>
      </c>
      <c r="R7" s="12">
        <f t="shared" si="3"/>
        <v>0.1309026731707317</v>
      </c>
    </row>
    <row r="8" spans="1:18" x14ac:dyDescent="0.2">
      <c r="A8" s="21" t="s">
        <v>107</v>
      </c>
      <c r="B8" s="11"/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2">
        <f t="shared" si="1"/>
        <v>0</v>
      </c>
      <c r="P8" s="155">
        <v>0</v>
      </c>
      <c r="Q8" s="156">
        <f t="shared" si="2"/>
        <v>0</v>
      </c>
      <c r="R8" s="12">
        <v>0</v>
      </c>
    </row>
    <row r="9" spans="1:18" x14ac:dyDescent="0.2">
      <c r="A9" s="10" t="s">
        <v>12</v>
      </c>
      <c r="B9" s="11"/>
      <c r="C9" s="143">
        <f>+'Bank Acct Summary'!C6</f>
        <v>13436.740000000002</v>
      </c>
      <c r="D9" s="143">
        <f>+'Bank Acct Summary'!D6</f>
        <v>0</v>
      </c>
      <c r="E9" s="143">
        <f>+'Bank Acct Summary'!E6</f>
        <v>0</v>
      </c>
      <c r="F9" s="143">
        <f>+'Bank Acct Summary'!F6</f>
        <v>0</v>
      </c>
      <c r="G9" s="143">
        <f>+'Bank Acct Summary'!G6</f>
        <v>0</v>
      </c>
      <c r="H9" s="143">
        <f>+'Bank Acct Summary'!H6</f>
        <v>0</v>
      </c>
      <c r="I9" s="143">
        <f>+'Bank Acct Summary'!I6</f>
        <v>0</v>
      </c>
      <c r="J9" s="143">
        <f>+'Bank Acct Summary'!J6</f>
        <v>0</v>
      </c>
      <c r="K9" s="143">
        <f>+'Bank Acct Summary'!K6</f>
        <v>0</v>
      </c>
      <c r="L9" s="143">
        <f>+'Bank Acct Summary'!L6</f>
        <v>0</v>
      </c>
      <c r="M9" s="143">
        <f>+'Bank Acct Summary'!M6</f>
        <v>0</v>
      </c>
      <c r="N9" s="143">
        <f>+'Bank Acct Summary'!N6</f>
        <v>0</v>
      </c>
      <c r="O9" s="72">
        <f t="shared" si="1"/>
        <v>13436.740000000002</v>
      </c>
      <c r="P9" s="155">
        <v>600</v>
      </c>
      <c r="Q9" s="156">
        <f t="shared" si="2"/>
        <v>12836.740000000002</v>
      </c>
      <c r="R9" s="12">
        <f t="shared" si="3"/>
        <v>22.39456666666667</v>
      </c>
    </row>
    <row r="10" spans="1:18" x14ac:dyDescent="0.2">
      <c r="A10" s="106" t="s">
        <v>128</v>
      </c>
      <c r="B10" s="11"/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2">
        <f t="shared" si="1"/>
        <v>0</v>
      </c>
      <c r="P10" s="155">
        <v>0</v>
      </c>
      <c r="Q10" s="156">
        <f t="shared" si="2"/>
        <v>0</v>
      </c>
      <c r="R10" s="12"/>
    </row>
    <row r="11" spans="1:18" x14ac:dyDescent="0.2">
      <c r="A11" s="10" t="s">
        <v>98</v>
      </c>
      <c r="B11" s="11"/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2">
        <f t="shared" si="1"/>
        <v>0</v>
      </c>
      <c r="P11" s="155">
        <v>0</v>
      </c>
      <c r="Q11" s="156">
        <f t="shared" si="2"/>
        <v>0</v>
      </c>
      <c r="R11" s="12"/>
    </row>
    <row r="12" spans="1:18" x14ac:dyDescent="0.2">
      <c r="A12" s="10" t="s">
        <v>97</v>
      </c>
      <c r="B12" s="11"/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2">
        <f t="shared" si="1"/>
        <v>0</v>
      </c>
      <c r="P12" s="155">
        <v>0</v>
      </c>
      <c r="Q12" s="156">
        <f t="shared" si="2"/>
        <v>0</v>
      </c>
      <c r="R12" s="12"/>
    </row>
    <row r="13" spans="1:18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P13" s="157"/>
      <c r="Q13" s="151"/>
      <c r="R13" s="14"/>
    </row>
    <row r="14" spans="1:18" ht="12" customHeight="1" x14ac:dyDescent="0.2">
      <c r="A14" s="15" t="s">
        <v>47</v>
      </c>
      <c r="B14" s="53"/>
      <c r="C14" s="87">
        <f t="shared" ref="C14:D14" si="4">SUM(C3:C12)</f>
        <v>1056238.3999999999</v>
      </c>
      <c r="D14" s="87">
        <f t="shared" si="4"/>
        <v>0</v>
      </c>
      <c r="E14" s="87">
        <f t="shared" ref="E14:N14" si="5">SUM(E3:E12)</f>
        <v>0</v>
      </c>
      <c r="F14" s="87">
        <f t="shared" si="5"/>
        <v>0</v>
      </c>
      <c r="G14" s="87">
        <f t="shared" si="5"/>
        <v>0</v>
      </c>
      <c r="H14" s="87">
        <f t="shared" si="5"/>
        <v>0</v>
      </c>
      <c r="I14" s="87">
        <f t="shared" si="5"/>
        <v>0</v>
      </c>
      <c r="J14" s="87">
        <f t="shared" si="5"/>
        <v>0</v>
      </c>
      <c r="K14" s="87">
        <f t="shared" si="5"/>
        <v>0</v>
      </c>
      <c r="L14" s="87">
        <f t="shared" si="5"/>
        <v>0</v>
      </c>
      <c r="M14" s="87">
        <f t="shared" si="5"/>
        <v>0</v>
      </c>
      <c r="N14" s="87">
        <f t="shared" si="5"/>
        <v>0</v>
      </c>
      <c r="O14" s="76">
        <f>SUM(O3:O13)</f>
        <v>1056238.3999999999</v>
      </c>
      <c r="P14" s="149">
        <f>SUM(P3:P12)</f>
        <v>4911600</v>
      </c>
      <c r="Q14" s="154">
        <f>O14-P14</f>
        <v>-3855361.6</v>
      </c>
      <c r="R14" s="83">
        <f>O14/P14</f>
        <v>0.21504975975242283</v>
      </c>
    </row>
    <row r="15" spans="1:18" ht="12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3"/>
      <c r="Q15" s="3"/>
    </row>
    <row r="16" spans="1:18" s="9" customFormat="1" x14ac:dyDescent="0.2">
      <c r="A16" s="28" t="s">
        <v>46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</row>
    <row r="17" spans="1:18" s="9" customFormat="1" ht="12" customHeight="1" x14ac:dyDescent="0.2">
      <c r="A17" s="7" t="s">
        <v>85</v>
      </c>
      <c r="B17" s="16"/>
      <c r="C17" s="104">
        <f>+'2019 Fire Operations Report'!B25</f>
        <v>280524.84999999998</v>
      </c>
      <c r="D17" s="104">
        <f>+'2019 Fire Operations Report'!C25</f>
        <v>0</v>
      </c>
      <c r="E17" s="104">
        <f>+'2019 Fire Operations Report'!D25</f>
        <v>0</v>
      </c>
      <c r="F17" s="104">
        <f>+'2019 Fire Operations Report'!E25</f>
        <v>0</v>
      </c>
      <c r="G17" s="104">
        <f>+'2019 Fire Operations Report'!F25</f>
        <v>0</v>
      </c>
      <c r="H17" s="104">
        <f>+'2019 Fire Operations Report'!G25</f>
        <v>0</v>
      </c>
      <c r="I17" s="104">
        <f>+'2019 Fire Operations Report'!H25</f>
        <v>0</v>
      </c>
      <c r="J17" s="104">
        <f>+'2019 Fire Operations Report'!I25</f>
        <v>0</v>
      </c>
      <c r="K17" s="104">
        <f>+'2019 Fire Operations Report'!J25</f>
        <v>0</v>
      </c>
      <c r="L17" s="104">
        <f>+'2019 Fire Operations Report'!K25</f>
        <v>0</v>
      </c>
      <c r="M17" s="104">
        <f>+'2019 Fire Operations Report'!L25</f>
        <v>0</v>
      </c>
      <c r="N17" s="104">
        <f>+'2019 Fire Operations Report'!M25</f>
        <v>0</v>
      </c>
      <c r="O17" s="76">
        <f t="shared" ref="O17:O31" si="6">SUM(B17:N17)</f>
        <v>280524.84999999998</v>
      </c>
      <c r="P17" s="77">
        <v>3255000</v>
      </c>
      <c r="Q17" s="78">
        <f t="shared" ref="Q17:Q34" si="7">O17-P17</f>
        <v>-2974475.15</v>
      </c>
      <c r="R17" s="8">
        <f t="shared" ref="R17:R34" si="8">O17/P17</f>
        <v>8.6182749615975413E-2</v>
      </c>
    </row>
    <row r="18" spans="1:18" s="9" customFormat="1" x14ac:dyDescent="0.2">
      <c r="A18" s="7" t="s">
        <v>44</v>
      </c>
      <c r="B18" s="16"/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2">
        <f t="shared" si="6"/>
        <v>0</v>
      </c>
      <c r="P18" s="73">
        <v>22800</v>
      </c>
      <c r="Q18" s="74">
        <f t="shared" si="7"/>
        <v>-22800</v>
      </c>
      <c r="R18" s="8">
        <f t="shared" si="8"/>
        <v>0</v>
      </c>
    </row>
    <row r="19" spans="1:18" s="9" customFormat="1" x14ac:dyDescent="0.2">
      <c r="A19" s="7" t="s">
        <v>13</v>
      </c>
      <c r="B19" s="16"/>
      <c r="C19" s="70">
        <v>67.3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2">
        <f t="shared" si="6"/>
        <v>67.3</v>
      </c>
      <c r="P19" s="73">
        <v>4000</v>
      </c>
      <c r="Q19" s="74">
        <f t="shared" si="7"/>
        <v>-3932.7</v>
      </c>
      <c r="R19" s="8">
        <f t="shared" si="8"/>
        <v>1.6825E-2</v>
      </c>
    </row>
    <row r="20" spans="1:18" s="9" customFormat="1" x14ac:dyDescent="0.2">
      <c r="A20" s="7" t="s">
        <v>14</v>
      </c>
      <c r="B20" s="16"/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2">
        <f t="shared" si="6"/>
        <v>0</v>
      </c>
      <c r="P20" s="73">
        <v>25000</v>
      </c>
      <c r="Q20" s="74">
        <f t="shared" si="7"/>
        <v>-25000</v>
      </c>
      <c r="R20" s="8">
        <f t="shared" si="8"/>
        <v>0</v>
      </c>
    </row>
    <row r="21" spans="1:18" s="9" customFormat="1" x14ac:dyDescent="0.2">
      <c r="A21" s="7" t="s">
        <v>120</v>
      </c>
      <c r="B21" s="16"/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2">
        <f t="shared" si="6"/>
        <v>0</v>
      </c>
      <c r="P21" s="73">
        <v>50000</v>
      </c>
      <c r="Q21" s="74">
        <f t="shared" si="7"/>
        <v>-50000</v>
      </c>
      <c r="R21" s="8">
        <f t="shared" si="8"/>
        <v>0</v>
      </c>
    </row>
    <row r="22" spans="1:18" s="9" customFormat="1" x14ac:dyDescent="0.2">
      <c r="A22" s="7" t="s">
        <v>7</v>
      </c>
      <c r="B22" s="16"/>
      <c r="C22" s="70">
        <v>4215.1099999999997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2">
        <f t="shared" si="6"/>
        <v>4215.1099999999997</v>
      </c>
      <c r="P22" s="73">
        <v>40000</v>
      </c>
      <c r="Q22" s="74">
        <f t="shared" si="7"/>
        <v>-35784.89</v>
      </c>
      <c r="R22" s="8">
        <f t="shared" si="8"/>
        <v>0.10537774999999999</v>
      </c>
    </row>
    <row r="23" spans="1:18" s="9" customFormat="1" x14ac:dyDescent="0.2">
      <c r="A23" s="107" t="s">
        <v>183</v>
      </c>
      <c r="B23" s="16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2">
        <f t="shared" si="6"/>
        <v>0</v>
      </c>
      <c r="P23" s="73">
        <v>10000</v>
      </c>
      <c r="Q23" s="74">
        <f t="shared" si="7"/>
        <v>-10000</v>
      </c>
      <c r="R23" s="8">
        <f t="shared" si="8"/>
        <v>0</v>
      </c>
    </row>
    <row r="24" spans="1:18" s="9" customFormat="1" x14ac:dyDescent="0.2">
      <c r="A24" s="107" t="s">
        <v>143</v>
      </c>
      <c r="B24" s="16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2">
        <f t="shared" si="6"/>
        <v>0</v>
      </c>
      <c r="P24" s="73">
        <v>0</v>
      </c>
      <c r="Q24" s="74">
        <f t="shared" si="7"/>
        <v>0</v>
      </c>
      <c r="R24" s="8">
        <v>0</v>
      </c>
    </row>
    <row r="25" spans="1:18" s="9" customFormat="1" x14ac:dyDescent="0.2">
      <c r="A25" s="109" t="s">
        <v>144</v>
      </c>
      <c r="B25" s="16"/>
      <c r="C25" s="70">
        <v>2077.2399999999998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2">
        <f t="shared" si="6"/>
        <v>2077.2399999999998</v>
      </c>
      <c r="P25" s="73">
        <v>35000</v>
      </c>
      <c r="Q25" s="74">
        <f t="shared" si="7"/>
        <v>-32922.76</v>
      </c>
      <c r="R25" s="8">
        <f t="shared" si="8"/>
        <v>5.9349714285714276E-2</v>
      </c>
    </row>
    <row r="26" spans="1:18" s="9" customFormat="1" x14ac:dyDescent="0.2">
      <c r="A26" s="109" t="s">
        <v>135</v>
      </c>
      <c r="B26" s="16"/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2">
        <f t="shared" si="6"/>
        <v>0</v>
      </c>
      <c r="P26" s="73">
        <v>6000</v>
      </c>
      <c r="Q26" s="74">
        <f t="shared" si="7"/>
        <v>-6000</v>
      </c>
      <c r="R26" s="8">
        <f t="shared" si="8"/>
        <v>0</v>
      </c>
    </row>
    <row r="27" spans="1:18" s="9" customFormat="1" x14ac:dyDescent="0.2">
      <c r="A27" s="107" t="s">
        <v>130</v>
      </c>
      <c r="B27" s="16"/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2">
        <f t="shared" si="6"/>
        <v>0</v>
      </c>
      <c r="P27" s="73">
        <v>0</v>
      </c>
      <c r="Q27" s="74">
        <f t="shared" si="7"/>
        <v>0</v>
      </c>
      <c r="R27" s="8"/>
    </row>
    <row r="28" spans="1:18" s="9" customFormat="1" x14ac:dyDescent="0.2">
      <c r="A28" s="107" t="s">
        <v>127</v>
      </c>
      <c r="B28" s="16"/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2">
        <f t="shared" si="6"/>
        <v>0</v>
      </c>
      <c r="P28" s="73">
        <v>0</v>
      </c>
      <c r="Q28" s="74">
        <f>O28-P28</f>
        <v>0</v>
      </c>
      <c r="R28" s="8"/>
    </row>
    <row r="29" spans="1:18" s="9" customFormat="1" x14ac:dyDescent="0.2">
      <c r="A29" s="107" t="s">
        <v>145</v>
      </c>
      <c r="B29" s="16"/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2">
        <f t="shared" si="6"/>
        <v>0</v>
      </c>
      <c r="P29" s="73">
        <v>50000</v>
      </c>
      <c r="Q29" s="74">
        <f t="shared" ref="Q29:Q30" si="9">O29-P29</f>
        <v>-50000</v>
      </c>
      <c r="R29" s="8">
        <f t="shared" ref="R29:R30" si="10">O29/P29</f>
        <v>0</v>
      </c>
    </row>
    <row r="30" spans="1:18" s="9" customFormat="1" x14ac:dyDescent="0.2">
      <c r="A30" s="107" t="s">
        <v>184</v>
      </c>
      <c r="B30" s="16"/>
      <c r="C30" s="70">
        <v>693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2">
        <f t="shared" si="6"/>
        <v>693</v>
      </c>
      <c r="P30" s="73">
        <v>10000</v>
      </c>
      <c r="Q30" s="74">
        <f t="shared" si="9"/>
        <v>-9307</v>
      </c>
      <c r="R30" s="8">
        <f t="shared" si="10"/>
        <v>6.93E-2</v>
      </c>
    </row>
    <row r="31" spans="1:18" s="9" customFormat="1" x14ac:dyDescent="0.2">
      <c r="A31" s="51" t="s">
        <v>83</v>
      </c>
      <c r="B31" s="16"/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2">
        <f t="shared" si="6"/>
        <v>0</v>
      </c>
      <c r="P31" s="73">
        <v>100</v>
      </c>
      <c r="Q31" s="74">
        <f>O31-P31</f>
        <v>-100</v>
      </c>
      <c r="R31" s="8">
        <f>O31/P31</f>
        <v>0</v>
      </c>
    </row>
    <row r="32" spans="1:18" s="9" customFormat="1" x14ac:dyDescent="0.2">
      <c r="A32" s="20"/>
      <c r="B32" s="32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Q32" s="33"/>
      <c r="R32" s="34"/>
    </row>
    <row r="33" spans="1:23" s="9" customFormat="1" x14ac:dyDescent="0.2">
      <c r="A33" s="20"/>
      <c r="B33" s="32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33"/>
      <c r="R33" s="34"/>
    </row>
    <row r="34" spans="1:23" s="9" customFormat="1" x14ac:dyDescent="0.2">
      <c r="A34" s="80" t="s">
        <v>54</v>
      </c>
      <c r="B34" s="16"/>
      <c r="C34" s="87">
        <f t="shared" ref="C34:O34" si="11">SUM(C17:C32)</f>
        <v>287577.49999999994</v>
      </c>
      <c r="D34" s="87">
        <f t="shared" si="11"/>
        <v>0</v>
      </c>
      <c r="E34" s="87">
        <f t="shared" ref="E34:N34" si="12">SUM(E17:E32)</f>
        <v>0</v>
      </c>
      <c r="F34" s="87">
        <f t="shared" si="12"/>
        <v>0</v>
      </c>
      <c r="G34" s="87">
        <f t="shared" si="12"/>
        <v>0</v>
      </c>
      <c r="H34" s="87">
        <f t="shared" si="12"/>
        <v>0</v>
      </c>
      <c r="I34" s="87">
        <f t="shared" si="12"/>
        <v>0</v>
      </c>
      <c r="J34" s="87">
        <f t="shared" si="12"/>
        <v>0</v>
      </c>
      <c r="K34" s="87">
        <f t="shared" si="12"/>
        <v>0</v>
      </c>
      <c r="L34" s="87">
        <f t="shared" si="12"/>
        <v>0</v>
      </c>
      <c r="M34" s="87">
        <f t="shared" si="12"/>
        <v>0</v>
      </c>
      <c r="N34" s="87">
        <f t="shared" si="12"/>
        <v>0</v>
      </c>
      <c r="O34" s="76">
        <f t="shared" si="11"/>
        <v>287577.49999999994</v>
      </c>
      <c r="P34" s="77">
        <f>SUM(P17:P31)</f>
        <v>3507900</v>
      </c>
      <c r="Q34" s="78">
        <f t="shared" si="7"/>
        <v>-3220322.5</v>
      </c>
      <c r="R34" s="83">
        <f t="shared" si="8"/>
        <v>8.1979959519940693E-2</v>
      </c>
    </row>
    <row r="35" spans="1:23" s="9" customFormat="1" x14ac:dyDescent="0.2">
      <c r="A35" s="80"/>
      <c r="B35" s="32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7"/>
      <c r="P35" s="87"/>
      <c r="Q35" s="87"/>
      <c r="R35" s="95"/>
    </row>
    <row r="36" spans="1:23" s="9" customFormat="1" x14ac:dyDescent="0.2">
      <c r="A36" s="28" t="s">
        <v>105</v>
      </c>
      <c r="B36" s="32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3"/>
      <c r="R36" s="34"/>
    </row>
    <row r="37" spans="1:23" s="9" customFormat="1" x14ac:dyDescent="0.2">
      <c r="A37" s="107" t="s">
        <v>185</v>
      </c>
      <c r="B37" s="16"/>
      <c r="C37" s="102">
        <v>50049.18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6">
        <f>SUM(B37:N37)</f>
        <v>50049.18</v>
      </c>
      <c r="P37" s="77">
        <v>247500</v>
      </c>
      <c r="Q37" s="78">
        <f>O37-P37</f>
        <v>-197450.82</v>
      </c>
      <c r="R37" s="12">
        <f t="shared" ref="R37:R38" si="13">O37/P37</f>
        <v>0.20221890909090909</v>
      </c>
    </row>
    <row r="38" spans="1:23" s="9" customFormat="1" x14ac:dyDescent="0.2">
      <c r="A38" s="107" t="s">
        <v>153</v>
      </c>
      <c r="B38" s="16"/>
      <c r="C38" s="102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6"/>
      <c r="P38" s="77">
        <v>10000</v>
      </c>
      <c r="Q38" s="78">
        <f>O38-P38</f>
        <v>-10000</v>
      </c>
      <c r="R38" s="12">
        <f t="shared" si="13"/>
        <v>0</v>
      </c>
    </row>
    <row r="39" spans="1:23" s="9" customFormat="1" x14ac:dyDescent="0.2">
      <c r="A39" s="107" t="s">
        <v>186</v>
      </c>
      <c r="B39" s="16"/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2">
        <f>SUM(B39:N39)</f>
        <v>0</v>
      </c>
      <c r="P39" s="73">
        <v>70000</v>
      </c>
      <c r="Q39" s="74">
        <f>O39-P39</f>
        <v>-70000</v>
      </c>
      <c r="R39" s="8">
        <f>O39/P39</f>
        <v>0</v>
      </c>
      <c r="S39"/>
      <c r="T39"/>
      <c r="U39"/>
      <c r="V39"/>
      <c r="W39"/>
    </row>
    <row r="40" spans="1:23" s="9" customFormat="1" x14ac:dyDescent="0.2">
      <c r="B40" s="32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95"/>
    </row>
    <row r="41" spans="1:23" s="9" customFormat="1" ht="13.5" customHeight="1" x14ac:dyDescent="0.2">
      <c r="A41" s="28" t="s">
        <v>45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31"/>
      <c r="R41" s="31"/>
    </row>
    <row r="42" spans="1:23" s="9" customFormat="1" ht="13.5" customHeight="1" x14ac:dyDescent="0.2">
      <c r="A42" s="107" t="s">
        <v>146</v>
      </c>
      <c r="B42" s="16"/>
      <c r="C42" s="70">
        <v>128322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6">
        <f>SUM(B42:N42)</f>
        <v>128322</v>
      </c>
      <c r="P42" s="77">
        <v>128400</v>
      </c>
      <c r="Q42" s="78">
        <f>O42-P42</f>
        <v>-78</v>
      </c>
      <c r="R42" s="8">
        <f>O42/P42</f>
        <v>0.99939252336448603</v>
      </c>
    </row>
    <row r="43" spans="1:23" s="9" customFormat="1" ht="13.5" customHeight="1" x14ac:dyDescent="0.2">
      <c r="A43" s="107" t="s">
        <v>147</v>
      </c>
      <c r="B43" s="16"/>
      <c r="C43" s="96"/>
      <c r="D43" s="71"/>
      <c r="E43" s="71">
        <v>0</v>
      </c>
      <c r="F43" s="71"/>
      <c r="G43" s="71"/>
      <c r="H43" s="71"/>
      <c r="I43" s="71"/>
      <c r="J43" s="71"/>
      <c r="K43" s="71"/>
      <c r="L43" s="71"/>
      <c r="M43" s="71"/>
      <c r="N43" s="71"/>
      <c r="O43" s="76"/>
      <c r="P43" s="77">
        <v>57700</v>
      </c>
      <c r="Q43" s="78">
        <f>O43-P43</f>
        <v>-57700</v>
      </c>
      <c r="R43" s="8">
        <f>O43/P43</f>
        <v>0</v>
      </c>
    </row>
    <row r="44" spans="1:23" s="9" customFormat="1" ht="13.5" customHeight="1" x14ac:dyDescent="0.2">
      <c r="A44" s="107" t="s">
        <v>148</v>
      </c>
      <c r="B44" s="16"/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2">
        <f>SUM(B44:N44)</f>
        <v>0</v>
      </c>
      <c r="P44" s="73">
        <v>346000</v>
      </c>
      <c r="Q44" s="74">
        <f>O44-P44</f>
        <v>-346000</v>
      </c>
      <c r="R44" s="8">
        <f>O44/P44</f>
        <v>0</v>
      </c>
    </row>
    <row r="45" spans="1:23" s="9" customFormat="1" ht="13.5" customHeight="1" x14ac:dyDescent="0.2">
      <c r="A45" s="107" t="s">
        <v>149</v>
      </c>
      <c r="B45" s="16"/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2">
        <f>SUM(B45:N45)</f>
        <v>0</v>
      </c>
      <c r="P45" s="73">
        <v>355000</v>
      </c>
      <c r="Q45" s="74">
        <f>O45-P45</f>
        <v>-355000</v>
      </c>
      <c r="R45" s="8">
        <v>0</v>
      </c>
    </row>
    <row r="46" spans="1:23" s="9" customFormat="1" ht="13.5" customHeight="1" x14ac:dyDescent="0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  <c r="Q46" s="31"/>
      <c r="R46" s="31"/>
    </row>
    <row r="47" spans="1:23" s="9" customFormat="1" x14ac:dyDescent="0.2">
      <c r="A47" s="35" t="s">
        <v>55</v>
      </c>
      <c r="B47" s="54"/>
      <c r="C47" s="88">
        <f t="shared" ref="C47:P47" si="14">C34+SUM(C37:C39)+SUM(C42:C45)</f>
        <v>465948.67999999993</v>
      </c>
      <c r="D47" s="88">
        <f t="shared" si="14"/>
        <v>0</v>
      </c>
      <c r="E47" s="88">
        <f t="shared" si="14"/>
        <v>0</v>
      </c>
      <c r="F47" s="88">
        <f t="shared" si="14"/>
        <v>0</v>
      </c>
      <c r="G47" s="88">
        <f t="shared" si="14"/>
        <v>0</v>
      </c>
      <c r="H47" s="88">
        <f t="shared" si="14"/>
        <v>0</v>
      </c>
      <c r="I47" s="88">
        <f t="shared" si="14"/>
        <v>0</v>
      </c>
      <c r="J47" s="88">
        <f t="shared" si="14"/>
        <v>0</v>
      </c>
      <c r="K47" s="88">
        <f t="shared" si="14"/>
        <v>0</v>
      </c>
      <c r="L47" s="88">
        <f t="shared" si="14"/>
        <v>0</v>
      </c>
      <c r="M47" s="88">
        <f t="shared" si="14"/>
        <v>0</v>
      </c>
      <c r="N47" s="88">
        <f t="shared" si="14"/>
        <v>0</v>
      </c>
      <c r="O47" s="84">
        <f t="shared" si="14"/>
        <v>465948.67999999993</v>
      </c>
      <c r="P47" s="103">
        <f t="shared" si="14"/>
        <v>4722500</v>
      </c>
      <c r="Q47" s="82">
        <f>O47-P47</f>
        <v>-4256551.32</v>
      </c>
      <c r="R47" s="37">
        <f>O47/P47</f>
        <v>9.8665681312863934E-2</v>
      </c>
    </row>
    <row r="48" spans="1:23" s="9" customFormat="1" ht="8.25" customHeight="1" x14ac:dyDescent="0.2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81"/>
      <c r="P48" s="81"/>
      <c r="Q48" s="81"/>
      <c r="R48" s="95"/>
    </row>
    <row r="49" spans="1:18" s="9" customFormat="1" x14ac:dyDescent="0.2">
      <c r="A49" s="28" t="s">
        <v>49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0"/>
      <c r="Q49" s="31"/>
      <c r="R49" s="31"/>
    </row>
    <row r="50" spans="1:18" s="9" customFormat="1" ht="12.75" customHeight="1" x14ac:dyDescent="0.2">
      <c r="A50" s="7" t="s">
        <v>95</v>
      </c>
      <c r="B50" s="16"/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6">
        <f>SUM(B50:N50)</f>
        <v>0</v>
      </c>
      <c r="P50" s="77">
        <v>-58128</v>
      </c>
      <c r="Q50" s="78">
        <f>O50-P50</f>
        <v>58128</v>
      </c>
      <c r="R50" s="8">
        <f>O50/P50</f>
        <v>0</v>
      </c>
    </row>
    <row r="51" spans="1:18" ht="12" customHeight="1" x14ac:dyDescent="0.2">
      <c r="A51" s="7" t="s">
        <v>50</v>
      </c>
      <c r="B51" s="16"/>
      <c r="C51" s="70">
        <v>0</v>
      </c>
      <c r="D51" s="70">
        <v>0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2">
        <f>SUM(B51:N51)</f>
        <v>0</v>
      </c>
      <c r="P51" s="73">
        <v>-3500</v>
      </c>
      <c r="Q51" s="74">
        <f>O51-P51</f>
        <v>3500</v>
      </c>
      <c r="R51" s="8">
        <f>O51/P51</f>
        <v>0</v>
      </c>
    </row>
    <row r="52" spans="1:18" ht="12" customHeight="1" x14ac:dyDescent="0.2">
      <c r="A52" s="7" t="s">
        <v>129</v>
      </c>
      <c r="B52" s="16"/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2">
        <f>SUM(B52:N52)</f>
        <v>0</v>
      </c>
      <c r="P52" s="77">
        <v>0</v>
      </c>
      <c r="Q52" s="74">
        <f>O52-P52</f>
        <v>0</v>
      </c>
      <c r="R52" s="8"/>
    </row>
    <row r="53" spans="1:18" ht="12.75" customHeight="1" x14ac:dyDescent="0.2">
      <c r="A53" s="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12" customHeight="1" x14ac:dyDescent="0.2">
      <c r="A54" s="35" t="s">
        <v>84</v>
      </c>
      <c r="B54" s="29"/>
      <c r="C54" s="88">
        <f>C47+C50+C51</f>
        <v>465948.67999999993</v>
      </c>
      <c r="D54" s="88">
        <f>D47+D50+D51</f>
        <v>0</v>
      </c>
      <c r="E54" s="88">
        <f t="shared" ref="E54:N54" si="15">E47+E50+E51</f>
        <v>0</v>
      </c>
      <c r="F54" s="88">
        <f t="shared" si="15"/>
        <v>0</v>
      </c>
      <c r="G54" s="88">
        <f t="shared" si="15"/>
        <v>0</v>
      </c>
      <c r="H54" s="88">
        <f t="shared" si="15"/>
        <v>0</v>
      </c>
      <c r="I54" s="88">
        <f t="shared" si="15"/>
        <v>0</v>
      </c>
      <c r="J54" s="88">
        <f t="shared" si="15"/>
        <v>0</v>
      </c>
      <c r="K54" s="88">
        <f>-K52+K47</f>
        <v>0</v>
      </c>
      <c r="L54" s="88">
        <f t="shared" si="15"/>
        <v>0</v>
      </c>
      <c r="M54" s="88">
        <f t="shared" si="15"/>
        <v>0</v>
      </c>
      <c r="N54" s="88">
        <f t="shared" si="15"/>
        <v>0</v>
      </c>
      <c r="O54" s="84">
        <f>O47+O50+O51+O52</f>
        <v>465948.67999999993</v>
      </c>
      <c r="P54" s="85">
        <f>P47+P50+P51+P52</f>
        <v>4660872</v>
      </c>
      <c r="Q54" s="85">
        <f>Q47+Q50+Q51+Q52</f>
        <v>-4194923.32</v>
      </c>
      <c r="R54" s="37">
        <f>O54/P54</f>
        <v>9.9970280239405837E-2</v>
      </c>
    </row>
    <row r="55" spans="1:18" ht="11.25" customHeight="1" x14ac:dyDescent="0.2"/>
    <row r="56" spans="1:18" ht="27" customHeight="1" x14ac:dyDescent="0.2">
      <c r="A56" s="35" t="s">
        <v>48</v>
      </c>
      <c r="B56" s="54"/>
      <c r="C56" s="88">
        <f t="shared" ref="C56:P56" si="16">C14-C54</f>
        <v>590289.72</v>
      </c>
      <c r="D56" s="88">
        <f t="shared" si="16"/>
        <v>0</v>
      </c>
      <c r="E56" s="88">
        <f t="shared" ref="E56:N56" si="17">E14-E54</f>
        <v>0</v>
      </c>
      <c r="F56" s="88">
        <f t="shared" si="17"/>
        <v>0</v>
      </c>
      <c r="G56" s="88">
        <f t="shared" si="17"/>
        <v>0</v>
      </c>
      <c r="H56" s="88">
        <f t="shared" si="17"/>
        <v>0</v>
      </c>
      <c r="I56" s="88">
        <f t="shared" si="17"/>
        <v>0</v>
      </c>
      <c r="J56" s="88">
        <f t="shared" si="17"/>
        <v>0</v>
      </c>
      <c r="K56" s="88">
        <f t="shared" si="17"/>
        <v>0</v>
      </c>
      <c r="L56" s="88">
        <f t="shared" si="17"/>
        <v>0</v>
      </c>
      <c r="M56" s="88">
        <f t="shared" si="17"/>
        <v>0</v>
      </c>
      <c r="N56" s="88">
        <f t="shared" si="17"/>
        <v>0</v>
      </c>
      <c r="O56" s="92">
        <f t="shared" si="16"/>
        <v>590289.72</v>
      </c>
      <c r="P56" s="85">
        <f t="shared" si="16"/>
        <v>250728</v>
      </c>
      <c r="Q56" s="86">
        <f>O56-P56</f>
        <v>339561.72</v>
      </c>
      <c r="R56" s="94"/>
    </row>
    <row r="57" spans="1:18" ht="12" customHeight="1" x14ac:dyDescent="0.2"/>
    <row r="58" spans="1:18" ht="12.75" customHeight="1" x14ac:dyDescent="0.2">
      <c r="A58" s="3"/>
    </row>
    <row r="59" spans="1:18" ht="12.75" customHeight="1" x14ac:dyDescent="0.2"/>
    <row r="60" spans="1:18" ht="12.75" customHeight="1" x14ac:dyDescent="0.2">
      <c r="J60" s="90"/>
    </row>
    <row r="61" spans="1:18" ht="12.75" customHeight="1" x14ac:dyDescent="0.2">
      <c r="B61" s="17" t="s">
        <v>15</v>
      </c>
      <c r="C61" s="158" t="s">
        <v>133</v>
      </c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</row>
    <row r="62" spans="1:18" ht="12" customHeight="1" x14ac:dyDescent="0.2"/>
  </sheetData>
  <mergeCells count="1">
    <mergeCell ref="C61:P61"/>
  </mergeCells>
  <phoneticPr fontId="0" type="noConversion"/>
  <printOptions horizontalCentered="1" verticalCentered="1"/>
  <pageMargins left="0.55000000000000004" right="0.4" top="0.75" bottom="0.5" header="0.31" footer="0.35"/>
  <pageSetup scale="64" fitToWidth="0" orientation="landscape" r:id="rId1"/>
  <headerFooter alignWithMargins="0">
    <oddHeader>&amp;C&amp;"Arial,Bold"&amp;18HCESD #29
 2019 Budget Year Summary Report</oddHeader>
    <oddFooter>&amp;L&amp;9&amp;F
&amp;A&amp;C&amp;9&amp;P of &amp;N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"/>
  <sheetViews>
    <sheetView showWhiteSpace="0" view="pageLayout" topLeftCell="A22" zoomScaleNormal="100" workbookViewId="0"/>
  </sheetViews>
  <sheetFormatPr defaultRowHeight="12.75" x14ac:dyDescent="0.2"/>
  <cols>
    <col min="1" max="1" width="24" customWidth="1"/>
    <col min="2" max="5" width="11.7109375" customWidth="1"/>
    <col min="6" max="6" width="13.85546875" customWidth="1"/>
    <col min="7" max="7" width="13.5703125" customWidth="1"/>
    <col min="8" max="8" width="14" bestFit="1" customWidth="1"/>
    <col min="9" max="9" width="11.7109375" customWidth="1"/>
    <col min="10" max="10" width="9.7109375" customWidth="1"/>
    <col min="11" max="11" width="9.85546875" bestFit="1" customWidth="1"/>
    <col min="12" max="12" width="11" customWidth="1"/>
    <col min="13" max="13" width="10.28515625" customWidth="1"/>
    <col min="14" max="14" width="10.42578125" customWidth="1"/>
    <col min="15" max="15" width="11.140625" customWidth="1"/>
    <col min="17" max="17" width="12" customWidth="1"/>
    <col min="18" max="18" width="12.140625" customWidth="1"/>
  </cols>
  <sheetData>
    <row r="1" spans="1:18" ht="38.25" customHeight="1" x14ac:dyDescent="0.2">
      <c r="A1" s="1"/>
      <c r="B1" s="23">
        <v>43480</v>
      </c>
      <c r="C1" s="23">
        <f t="shared" ref="C1:I1" si="0">+B1+30</f>
        <v>43510</v>
      </c>
      <c r="D1" s="23">
        <f t="shared" si="0"/>
        <v>43540</v>
      </c>
      <c r="E1" s="23">
        <f t="shared" si="0"/>
        <v>43570</v>
      </c>
      <c r="F1" s="23">
        <f t="shared" si="0"/>
        <v>43600</v>
      </c>
      <c r="G1" s="23">
        <f t="shared" si="0"/>
        <v>43630</v>
      </c>
      <c r="H1" s="23">
        <f t="shared" si="0"/>
        <v>43660</v>
      </c>
      <c r="I1" s="23">
        <f t="shared" si="0"/>
        <v>43690</v>
      </c>
    </row>
    <row r="2" spans="1:18" ht="12" customHeight="1" x14ac:dyDescent="0.2">
      <c r="A2" s="6"/>
      <c r="B2" s="3"/>
      <c r="C2" s="3"/>
      <c r="D2" s="3"/>
      <c r="E2" s="3"/>
      <c r="F2" s="3"/>
      <c r="G2" s="3"/>
      <c r="H2" s="3"/>
      <c r="I2" s="3"/>
    </row>
    <row r="3" spans="1:18" ht="31.5" customHeight="1" x14ac:dyDescent="0.2">
      <c r="A3" s="69" t="s">
        <v>134</v>
      </c>
      <c r="B3" s="29"/>
      <c r="C3" s="29"/>
      <c r="D3" s="29"/>
      <c r="E3" s="29"/>
      <c r="F3" s="29"/>
      <c r="G3" s="29"/>
      <c r="H3" s="29"/>
      <c r="I3" s="29"/>
    </row>
    <row r="4" spans="1:18" ht="12" customHeight="1" x14ac:dyDescent="0.2">
      <c r="A4" s="7" t="s">
        <v>61</v>
      </c>
      <c r="B4" s="70">
        <f>4357.45+10087.7</f>
        <v>14445.150000000001</v>
      </c>
      <c r="C4" s="70">
        <v>0</v>
      </c>
      <c r="D4" s="70">
        <v>0</v>
      </c>
      <c r="E4" s="70">
        <v>0</v>
      </c>
      <c r="F4" s="70">
        <v>0</v>
      </c>
      <c r="G4" s="70">
        <v>0</v>
      </c>
      <c r="H4" s="70">
        <v>0</v>
      </c>
      <c r="I4" s="70">
        <v>0</v>
      </c>
    </row>
    <row r="5" spans="1:18" ht="12" customHeight="1" x14ac:dyDescent="0.2">
      <c r="A5" s="7" t="s">
        <v>62</v>
      </c>
      <c r="B5" s="70">
        <v>9391.17</v>
      </c>
      <c r="C5" s="70">
        <v>0</v>
      </c>
      <c r="D5" s="70">
        <v>0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</row>
    <row r="6" spans="1:18" ht="12" customHeight="1" x14ac:dyDescent="0.2">
      <c r="A6" s="7" t="s">
        <v>63</v>
      </c>
      <c r="B6" s="70">
        <f>209392.25-72+0.02+76.81</f>
        <v>209397.08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</row>
    <row r="7" spans="1:18" ht="12" customHeight="1" x14ac:dyDescent="0.2">
      <c r="A7" s="7" t="s">
        <v>64</v>
      </c>
      <c r="B7" s="70">
        <v>60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</row>
    <row r="8" spans="1:18" ht="12" customHeight="1" x14ac:dyDescent="0.2">
      <c r="A8" s="7" t="s">
        <v>76</v>
      </c>
      <c r="B8" s="70">
        <v>1234.23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</row>
    <row r="9" spans="1:18" ht="12" customHeight="1" x14ac:dyDescent="0.2">
      <c r="A9" s="51" t="s">
        <v>92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K9" s="40"/>
      <c r="R9" s="93"/>
    </row>
    <row r="10" spans="1:18" ht="12" customHeight="1" x14ac:dyDescent="0.2">
      <c r="A10" s="51" t="s">
        <v>65</v>
      </c>
      <c r="B10" s="70">
        <v>9973.25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K10" s="93"/>
      <c r="M10" s="105"/>
      <c r="O10" s="93"/>
      <c r="R10" s="93"/>
    </row>
    <row r="11" spans="1:18" ht="12" customHeight="1" x14ac:dyDescent="0.2">
      <c r="A11" s="51" t="s">
        <v>66</v>
      </c>
      <c r="B11" s="70">
        <f>602.25+6411.24+10.25+7641.44+561.69+58.7</f>
        <v>15285.570000000002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K11" s="93"/>
      <c r="M11" s="105"/>
      <c r="O11" s="93"/>
      <c r="R11" s="93"/>
    </row>
    <row r="12" spans="1:18" ht="12" customHeight="1" x14ac:dyDescent="0.2">
      <c r="A12" s="51" t="s">
        <v>67</v>
      </c>
      <c r="B12" s="70">
        <v>623.94000000000005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O12" s="93"/>
      <c r="R12" s="93"/>
    </row>
    <row r="13" spans="1:18" ht="12" customHeight="1" x14ac:dyDescent="0.2">
      <c r="A13" s="51" t="s">
        <v>68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O13" s="93"/>
      <c r="R13" s="93"/>
    </row>
    <row r="14" spans="1:18" ht="12" customHeight="1" x14ac:dyDescent="0.2">
      <c r="A14" s="51" t="s">
        <v>69</v>
      </c>
      <c r="B14" s="70">
        <f>387.68+222.06+183.85+144.15+737.37+113.5+160</f>
        <v>1948.6100000000001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O14" s="93"/>
      <c r="R14" s="93"/>
    </row>
    <row r="15" spans="1:18" ht="12" customHeight="1" x14ac:dyDescent="0.2">
      <c r="A15" s="51" t="s">
        <v>70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O15" s="93"/>
      <c r="R15" s="93"/>
    </row>
    <row r="16" spans="1:18" ht="12" customHeight="1" x14ac:dyDescent="0.2">
      <c r="A16" s="51" t="s">
        <v>71</v>
      </c>
      <c r="B16" s="70">
        <f>9650.94+500</f>
        <v>10150.94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O16" s="93"/>
      <c r="R16" s="93"/>
    </row>
    <row r="17" spans="1:18" ht="12" customHeight="1" x14ac:dyDescent="0.2">
      <c r="A17" s="51" t="s">
        <v>72</v>
      </c>
      <c r="B17" s="70">
        <v>5002.9799999999996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O17" s="93"/>
      <c r="R17" s="93"/>
    </row>
    <row r="18" spans="1:18" ht="12" customHeight="1" x14ac:dyDescent="0.2">
      <c r="A18" s="51" t="s">
        <v>73</v>
      </c>
      <c r="B18" s="70">
        <v>574.24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O18" s="93"/>
      <c r="R18" s="93"/>
    </row>
    <row r="19" spans="1:18" ht="12" customHeight="1" x14ac:dyDescent="0.2">
      <c r="A19" s="51" t="s">
        <v>91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O19" s="93"/>
      <c r="R19" s="93"/>
    </row>
    <row r="20" spans="1:18" ht="12" customHeight="1" x14ac:dyDescent="0.2">
      <c r="A20" s="51" t="s">
        <v>74</v>
      </c>
      <c r="B20" s="138">
        <v>1370.88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O20" s="93"/>
      <c r="R20" s="93"/>
    </row>
    <row r="21" spans="1:18" ht="12" customHeight="1" x14ac:dyDescent="0.2">
      <c r="A21" s="51" t="s">
        <v>75</v>
      </c>
      <c r="B21" s="70">
        <v>74.989999999999995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</row>
    <row r="22" spans="1:18" ht="12" customHeight="1" x14ac:dyDescent="0.2">
      <c r="A22" s="51" t="s">
        <v>86</v>
      </c>
      <c r="B22" s="70">
        <v>991.82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O22" s="93"/>
      <c r="R22" s="93"/>
    </row>
    <row r="23" spans="1:18" ht="12" customHeight="1" x14ac:dyDescent="0.2">
      <c r="A23" s="68" t="s">
        <v>87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O23" s="93"/>
      <c r="R23" s="93"/>
    </row>
    <row r="24" spans="1:18" ht="12" customHeight="1" x14ac:dyDescent="0.2">
      <c r="O24" s="93"/>
      <c r="R24" s="93"/>
    </row>
    <row r="25" spans="1:18" ht="15" customHeight="1" x14ac:dyDescent="0.2">
      <c r="A25" s="79" t="s">
        <v>55</v>
      </c>
      <c r="B25" s="65">
        <f t="shared" ref="B25:I25" si="1">SUM(B4:B24)</f>
        <v>280524.84999999998</v>
      </c>
      <c r="C25" s="65">
        <f t="shared" si="1"/>
        <v>0</v>
      </c>
      <c r="D25" s="65">
        <f t="shared" si="1"/>
        <v>0</v>
      </c>
      <c r="E25" s="65">
        <f t="shared" si="1"/>
        <v>0</v>
      </c>
      <c r="F25" s="65">
        <f t="shared" si="1"/>
        <v>0</v>
      </c>
      <c r="G25" s="65">
        <f t="shared" si="1"/>
        <v>0</v>
      </c>
      <c r="H25" s="65">
        <f t="shared" si="1"/>
        <v>0</v>
      </c>
      <c r="I25" s="65">
        <f t="shared" si="1"/>
        <v>0</v>
      </c>
      <c r="O25" s="93"/>
      <c r="R25" s="93"/>
    </row>
    <row r="26" spans="1:18" ht="12" customHeight="1" x14ac:dyDescent="0.2">
      <c r="O26" s="93"/>
      <c r="R26" s="93"/>
    </row>
    <row r="27" spans="1:18" ht="12" customHeight="1" x14ac:dyDescent="0.2">
      <c r="O27" s="93"/>
      <c r="R27" s="93"/>
    </row>
    <row r="28" spans="1:18" ht="37.5" customHeight="1" x14ac:dyDescent="0.2">
      <c r="A28" s="1"/>
      <c r="B28" s="23">
        <f>+I1+30</f>
        <v>43720</v>
      </c>
      <c r="C28" s="23">
        <f>+B28+30</f>
        <v>43750</v>
      </c>
      <c r="D28" s="23">
        <f>+C28+30</f>
        <v>43780</v>
      </c>
      <c r="E28" s="23">
        <f>+D28+30</f>
        <v>43810</v>
      </c>
      <c r="F28" s="55" t="s">
        <v>166</v>
      </c>
      <c r="G28" s="25" t="s">
        <v>168</v>
      </c>
      <c r="H28" s="26" t="s">
        <v>60</v>
      </c>
      <c r="I28" s="27" t="s">
        <v>10</v>
      </c>
      <c r="O28" s="93"/>
      <c r="R28" s="93"/>
    </row>
    <row r="29" spans="1:18" ht="12" customHeight="1" x14ac:dyDescent="0.2">
      <c r="A29" s="6"/>
      <c r="B29" s="6"/>
      <c r="C29" s="6"/>
      <c r="D29" s="6"/>
      <c r="E29" s="6"/>
      <c r="F29" s="6"/>
      <c r="G29" s="5"/>
      <c r="H29" s="5"/>
      <c r="I29" s="5"/>
      <c r="R29" s="93"/>
    </row>
    <row r="30" spans="1:18" ht="31.5" customHeight="1" x14ac:dyDescent="0.2">
      <c r="A30" s="69" t="s">
        <v>134</v>
      </c>
      <c r="B30" s="6"/>
      <c r="C30" s="6"/>
      <c r="D30" s="6"/>
      <c r="E30" s="6"/>
      <c r="F30" s="6"/>
      <c r="G30" s="5"/>
      <c r="H30" s="5"/>
      <c r="I30" s="5"/>
      <c r="O30" s="93"/>
      <c r="R30" s="93"/>
    </row>
    <row r="31" spans="1:18" ht="12" customHeight="1" x14ac:dyDescent="0.2">
      <c r="A31" s="7" t="s">
        <v>61</v>
      </c>
      <c r="B31" s="70">
        <v>0</v>
      </c>
      <c r="C31" s="70">
        <v>0</v>
      </c>
      <c r="D31" s="70">
        <v>0</v>
      </c>
      <c r="E31" s="70">
        <v>0</v>
      </c>
      <c r="F31" s="72">
        <f t="shared" ref="F31:F50" si="2">SUM(B4:I4)+SUM(B31:E31)</f>
        <v>14445.150000000001</v>
      </c>
      <c r="G31" s="149">
        <v>50000</v>
      </c>
      <c r="H31" s="153">
        <f t="shared" ref="H31:H50" si="3">G31-F31</f>
        <v>35554.85</v>
      </c>
      <c r="I31" s="66">
        <f t="shared" ref="I31:I50" si="4">F31/G31</f>
        <v>0.28890300000000002</v>
      </c>
      <c r="O31" s="93"/>
      <c r="R31" s="93"/>
    </row>
    <row r="32" spans="1:18" ht="12" customHeight="1" x14ac:dyDescent="0.2">
      <c r="A32" s="7" t="s">
        <v>62</v>
      </c>
      <c r="B32" s="70">
        <v>0</v>
      </c>
      <c r="C32" s="70">
        <v>0</v>
      </c>
      <c r="D32" s="70">
        <v>0</v>
      </c>
      <c r="E32" s="70">
        <v>0</v>
      </c>
      <c r="F32" s="72">
        <f t="shared" si="2"/>
        <v>9391.17</v>
      </c>
      <c r="G32" s="150">
        <v>59000</v>
      </c>
      <c r="H32" s="153">
        <f t="shared" si="3"/>
        <v>49608.83</v>
      </c>
      <c r="I32" s="66">
        <f t="shared" si="4"/>
        <v>0.15917237288135594</v>
      </c>
    </row>
    <row r="33" spans="1:20" ht="12" customHeight="1" x14ac:dyDescent="0.2">
      <c r="A33" s="7" t="s">
        <v>63</v>
      </c>
      <c r="B33" s="70">
        <v>0</v>
      </c>
      <c r="C33" s="70">
        <v>0</v>
      </c>
      <c r="D33" s="70">
        <v>0</v>
      </c>
      <c r="E33" s="70">
        <v>0</v>
      </c>
      <c r="F33" s="72">
        <f t="shared" si="2"/>
        <v>209397.08</v>
      </c>
      <c r="G33" s="150">
        <v>2240000</v>
      </c>
      <c r="H33" s="153">
        <f t="shared" si="3"/>
        <v>2030602.92</v>
      </c>
      <c r="I33" s="66">
        <f t="shared" si="4"/>
        <v>9.3480839285714282E-2</v>
      </c>
    </row>
    <row r="34" spans="1:20" ht="12" customHeight="1" x14ac:dyDescent="0.2">
      <c r="A34" s="7" t="s">
        <v>64</v>
      </c>
      <c r="B34" s="70">
        <v>0</v>
      </c>
      <c r="C34" s="70">
        <v>0</v>
      </c>
      <c r="D34" s="70">
        <v>0</v>
      </c>
      <c r="E34" s="70">
        <v>0</v>
      </c>
      <c r="F34" s="72">
        <f t="shared" si="2"/>
        <v>60</v>
      </c>
      <c r="G34" s="150">
        <v>105000</v>
      </c>
      <c r="H34" s="153">
        <f t="shared" si="3"/>
        <v>104940</v>
      </c>
      <c r="I34" s="66">
        <f t="shared" si="4"/>
        <v>5.7142857142857147E-4</v>
      </c>
    </row>
    <row r="35" spans="1:20" ht="12" customHeight="1" x14ac:dyDescent="0.2">
      <c r="A35" s="7" t="s">
        <v>76</v>
      </c>
      <c r="B35" s="70">
        <v>0</v>
      </c>
      <c r="C35" s="70">
        <v>0</v>
      </c>
      <c r="D35" s="70">
        <v>0</v>
      </c>
      <c r="E35" s="70">
        <v>0</v>
      </c>
      <c r="F35" s="72">
        <f t="shared" si="2"/>
        <v>1234.23</v>
      </c>
      <c r="G35" s="150">
        <v>15000</v>
      </c>
      <c r="H35" s="153">
        <f t="shared" si="3"/>
        <v>13765.77</v>
      </c>
      <c r="I35" s="66">
        <f t="shared" si="4"/>
        <v>8.2282000000000008E-2</v>
      </c>
      <c r="O35" s="93"/>
      <c r="R35" s="93"/>
      <c r="S35" s="93"/>
    </row>
    <row r="36" spans="1:20" ht="12" customHeight="1" x14ac:dyDescent="0.2">
      <c r="A36" s="51" t="s">
        <v>92</v>
      </c>
      <c r="B36" s="70">
        <v>0</v>
      </c>
      <c r="C36" s="70">
        <v>0</v>
      </c>
      <c r="D36" s="70">
        <v>0</v>
      </c>
      <c r="E36" s="70">
        <v>0</v>
      </c>
      <c r="F36" s="72">
        <f t="shared" si="2"/>
        <v>0</v>
      </c>
      <c r="G36" s="150">
        <v>1000</v>
      </c>
      <c r="H36" s="153">
        <f t="shared" si="3"/>
        <v>1000</v>
      </c>
      <c r="I36" s="66">
        <f t="shared" si="4"/>
        <v>0</v>
      </c>
      <c r="O36" s="93"/>
      <c r="R36" s="93"/>
      <c r="S36" s="93"/>
    </row>
    <row r="37" spans="1:20" ht="12" customHeight="1" x14ac:dyDescent="0.2">
      <c r="A37" s="51" t="s">
        <v>65</v>
      </c>
      <c r="B37" s="70">
        <v>0</v>
      </c>
      <c r="C37" s="70">
        <v>0</v>
      </c>
      <c r="D37" s="70">
        <v>0</v>
      </c>
      <c r="E37" s="70">
        <v>0</v>
      </c>
      <c r="F37" s="72">
        <f t="shared" si="2"/>
        <v>9973.25</v>
      </c>
      <c r="G37" s="150">
        <v>185000</v>
      </c>
      <c r="H37" s="153">
        <f t="shared" si="3"/>
        <v>175026.75</v>
      </c>
      <c r="I37" s="66">
        <f t="shared" si="4"/>
        <v>5.3909459459459456E-2</v>
      </c>
      <c r="O37" s="93"/>
      <c r="P37" s="93"/>
      <c r="R37" s="93"/>
      <c r="S37" s="93"/>
    </row>
    <row r="38" spans="1:20" ht="12" customHeight="1" x14ac:dyDescent="0.2">
      <c r="A38" s="51" t="s">
        <v>66</v>
      </c>
      <c r="B38" s="70">
        <v>0</v>
      </c>
      <c r="C38" s="70">
        <v>0</v>
      </c>
      <c r="D38" s="70">
        <v>0</v>
      </c>
      <c r="E38" s="70">
        <v>0</v>
      </c>
      <c r="F38" s="72">
        <f t="shared" si="2"/>
        <v>15285.570000000002</v>
      </c>
      <c r="G38" s="150">
        <v>212000</v>
      </c>
      <c r="H38" s="153">
        <f t="shared" si="3"/>
        <v>196714.43</v>
      </c>
      <c r="I38" s="66">
        <f t="shared" si="4"/>
        <v>7.2101745283018881E-2</v>
      </c>
      <c r="O38" s="93"/>
      <c r="P38" s="93"/>
      <c r="Q38" s="93"/>
      <c r="R38" s="93"/>
      <c r="S38" s="93"/>
      <c r="T38" s="93"/>
    </row>
    <row r="39" spans="1:20" ht="12" customHeight="1" x14ac:dyDescent="0.2">
      <c r="A39" s="51" t="s">
        <v>67</v>
      </c>
      <c r="B39" s="70">
        <v>0</v>
      </c>
      <c r="C39" s="70">
        <v>0</v>
      </c>
      <c r="D39" s="70">
        <v>0</v>
      </c>
      <c r="E39" s="70">
        <v>0</v>
      </c>
      <c r="F39" s="72">
        <f t="shared" si="2"/>
        <v>623.94000000000005</v>
      </c>
      <c r="G39" s="150">
        <v>3000</v>
      </c>
      <c r="H39" s="153">
        <f t="shared" si="3"/>
        <v>2376.06</v>
      </c>
      <c r="I39" s="66">
        <f t="shared" si="4"/>
        <v>0.20798000000000003</v>
      </c>
      <c r="N39" s="93"/>
      <c r="O39" s="93"/>
      <c r="P39" s="93"/>
      <c r="Q39" s="93"/>
      <c r="R39" s="93"/>
      <c r="S39" s="93"/>
      <c r="T39" s="93"/>
    </row>
    <row r="40" spans="1:20" ht="12" customHeight="1" x14ac:dyDescent="0.2">
      <c r="A40" s="51" t="s">
        <v>68</v>
      </c>
      <c r="B40" s="70">
        <v>0</v>
      </c>
      <c r="C40" s="70">
        <v>0</v>
      </c>
      <c r="D40" s="70">
        <v>0</v>
      </c>
      <c r="E40" s="70">
        <v>0</v>
      </c>
      <c r="F40" s="72">
        <f t="shared" si="2"/>
        <v>0</v>
      </c>
      <c r="G40" s="150">
        <v>35000</v>
      </c>
      <c r="H40" s="153">
        <f t="shared" si="3"/>
        <v>35000</v>
      </c>
      <c r="I40" s="66">
        <f t="shared" si="4"/>
        <v>0</v>
      </c>
      <c r="N40" s="93"/>
      <c r="O40" s="93"/>
      <c r="P40" s="93"/>
      <c r="Q40" s="93"/>
      <c r="R40" s="93"/>
      <c r="S40" s="93"/>
      <c r="T40" s="93"/>
    </row>
    <row r="41" spans="1:20" ht="12" customHeight="1" x14ac:dyDescent="0.2">
      <c r="A41" s="51" t="s">
        <v>69</v>
      </c>
      <c r="B41" s="70">
        <v>0</v>
      </c>
      <c r="C41" s="70">
        <v>0</v>
      </c>
      <c r="D41" s="70">
        <v>0</v>
      </c>
      <c r="E41" s="70">
        <v>0</v>
      </c>
      <c r="F41" s="72">
        <f t="shared" si="2"/>
        <v>1948.6100000000001</v>
      </c>
      <c r="G41" s="150">
        <v>30000</v>
      </c>
      <c r="H41" s="153">
        <f t="shared" si="3"/>
        <v>28051.39</v>
      </c>
      <c r="I41" s="66">
        <f t="shared" si="4"/>
        <v>6.4953666666666673E-2</v>
      </c>
      <c r="N41" s="93"/>
      <c r="O41" s="93"/>
      <c r="Q41" s="93"/>
      <c r="R41" s="93"/>
      <c r="T41" s="93"/>
    </row>
    <row r="42" spans="1:20" ht="12" customHeight="1" x14ac:dyDescent="0.2">
      <c r="A42" s="51" t="s">
        <v>70</v>
      </c>
      <c r="B42" s="70">
        <v>0</v>
      </c>
      <c r="C42" s="70">
        <v>0</v>
      </c>
      <c r="D42" s="70">
        <v>0</v>
      </c>
      <c r="E42" s="70">
        <v>0</v>
      </c>
      <c r="F42" s="72">
        <f t="shared" si="2"/>
        <v>0</v>
      </c>
      <c r="G42" s="150">
        <v>10000</v>
      </c>
      <c r="H42" s="153">
        <f t="shared" si="3"/>
        <v>10000</v>
      </c>
      <c r="I42" s="66">
        <f t="shared" si="4"/>
        <v>0</v>
      </c>
      <c r="N42" s="93"/>
      <c r="O42" s="93"/>
      <c r="P42" s="93"/>
      <c r="Q42" s="93"/>
      <c r="R42" s="93"/>
      <c r="S42" s="93"/>
      <c r="T42" s="93"/>
    </row>
    <row r="43" spans="1:20" ht="12" customHeight="1" x14ac:dyDescent="0.2">
      <c r="A43" s="51" t="s">
        <v>71</v>
      </c>
      <c r="B43" s="70">
        <v>0</v>
      </c>
      <c r="C43" s="70">
        <v>0</v>
      </c>
      <c r="D43" s="70">
        <v>0</v>
      </c>
      <c r="E43" s="70">
        <v>0</v>
      </c>
      <c r="F43" s="72">
        <f t="shared" si="2"/>
        <v>10150.94</v>
      </c>
      <c r="G43" s="150">
        <v>50000</v>
      </c>
      <c r="H43" s="153">
        <f t="shared" si="3"/>
        <v>39849.06</v>
      </c>
      <c r="I43" s="66">
        <f t="shared" si="4"/>
        <v>0.2030188</v>
      </c>
      <c r="N43" s="93"/>
      <c r="O43" s="93"/>
      <c r="P43" s="93"/>
      <c r="Q43" s="93"/>
      <c r="R43" s="93"/>
      <c r="S43" s="93"/>
      <c r="T43" s="93"/>
    </row>
    <row r="44" spans="1:20" ht="12" customHeight="1" x14ac:dyDescent="0.2">
      <c r="A44" s="51" t="s">
        <v>72</v>
      </c>
      <c r="B44" s="70">
        <v>0</v>
      </c>
      <c r="C44" s="70">
        <v>0</v>
      </c>
      <c r="D44" s="70">
        <v>0</v>
      </c>
      <c r="E44" s="70">
        <v>0</v>
      </c>
      <c r="F44" s="72">
        <f t="shared" si="2"/>
        <v>5002.9799999999996</v>
      </c>
      <c r="G44" s="150">
        <v>45000</v>
      </c>
      <c r="H44" s="153">
        <f t="shared" si="3"/>
        <v>39997.020000000004</v>
      </c>
      <c r="I44" s="66">
        <f t="shared" si="4"/>
        <v>0.11117733333333332</v>
      </c>
      <c r="Q44" s="93"/>
      <c r="R44" s="93"/>
      <c r="T44" s="93"/>
    </row>
    <row r="45" spans="1:20" ht="12" customHeight="1" x14ac:dyDescent="0.2">
      <c r="A45" s="51" t="s">
        <v>73</v>
      </c>
      <c r="B45" s="70">
        <v>0</v>
      </c>
      <c r="C45" s="70">
        <v>0</v>
      </c>
      <c r="D45" s="70">
        <v>0</v>
      </c>
      <c r="E45" s="70">
        <v>0</v>
      </c>
      <c r="F45" s="72">
        <f t="shared" si="2"/>
        <v>574.24</v>
      </c>
      <c r="G45" s="150">
        <v>100000</v>
      </c>
      <c r="H45" s="153">
        <f t="shared" si="3"/>
        <v>99425.76</v>
      </c>
      <c r="I45" s="66">
        <f t="shared" si="4"/>
        <v>5.7423999999999999E-3</v>
      </c>
      <c r="O45" s="93"/>
      <c r="Q45" s="93"/>
      <c r="R45" s="93"/>
      <c r="T45" s="93"/>
    </row>
    <row r="46" spans="1:20" ht="12" customHeight="1" x14ac:dyDescent="0.2">
      <c r="A46" s="51" t="s">
        <v>91</v>
      </c>
      <c r="B46" s="70">
        <v>0</v>
      </c>
      <c r="C46" s="70">
        <v>0</v>
      </c>
      <c r="D46" s="70">
        <v>0</v>
      </c>
      <c r="E46" s="70">
        <v>0</v>
      </c>
      <c r="F46" s="72">
        <f t="shared" si="2"/>
        <v>0</v>
      </c>
      <c r="G46" s="150">
        <v>20000</v>
      </c>
      <c r="H46" s="153">
        <f t="shared" si="3"/>
        <v>20000</v>
      </c>
      <c r="I46" s="66">
        <f t="shared" si="4"/>
        <v>0</v>
      </c>
      <c r="N46" s="93"/>
      <c r="O46" s="93"/>
      <c r="P46" s="93"/>
      <c r="Q46" s="93"/>
      <c r="R46" s="93"/>
      <c r="S46" s="93"/>
      <c r="T46" s="93"/>
    </row>
    <row r="47" spans="1:20" ht="12" customHeight="1" x14ac:dyDescent="0.2">
      <c r="A47" s="51" t="s">
        <v>74</v>
      </c>
      <c r="B47" s="138">
        <v>0</v>
      </c>
      <c r="C47" s="138">
        <v>0</v>
      </c>
      <c r="D47" s="138">
        <v>0</v>
      </c>
      <c r="E47" s="138">
        <v>0</v>
      </c>
      <c r="F47" s="72">
        <f t="shared" si="2"/>
        <v>1370.88</v>
      </c>
      <c r="G47" s="150">
        <v>35000</v>
      </c>
      <c r="H47" s="153">
        <f t="shared" si="3"/>
        <v>33629.120000000003</v>
      </c>
      <c r="I47" s="66">
        <f t="shared" si="4"/>
        <v>3.9168000000000001E-2</v>
      </c>
      <c r="Q47" s="93"/>
      <c r="R47" s="93"/>
      <c r="S47" s="93"/>
      <c r="T47" s="93"/>
    </row>
    <row r="48" spans="1:20" ht="12" customHeight="1" x14ac:dyDescent="0.2">
      <c r="A48" s="51" t="s">
        <v>75</v>
      </c>
      <c r="B48" s="70">
        <v>0</v>
      </c>
      <c r="C48" s="70">
        <v>0</v>
      </c>
      <c r="D48" s="70">
        <v>0</v>
      </c>
      <c r="E48" s="70">
        <v>0</v>
      </c>
      <c r="F48" s="72">
        <f t="shared" si="2"/>
        <v>74.989999999999995</v>
      </c>
      <c r="G48" s="150">
        <v>15000</v>
      </c>
      <c r="H48" s="153">
        <f t="shared" si="3"/>
        <v>14925.01</v>
      </c>
      <c r="I48" s="66">
        <f t="shared" si="4"/>
        <v>4.9993333333333331E-3</v>
      </c>
      <c r="O48" s="93"/>
      <c r="P48" s="93"/>
      <c r="R48" s="93"/>
      <c r="S48" s="93"/>
    </row>
    <row r="49" spans="1:20" ht="12" customHeight="1" x14ac:dyDescent="0.2">
      <c r="A49" s="51" t="s">
        <v>86</v>
      </c>
      <c r="B49" s="70">
        <v>0</v>
      </c>
      <c r="C49" s="70">
        <v>0</v>
      </c>
      <c r="D49" s="70">
        <v>0</v>
      </c>
      <c r="E49" s="70">
        <v>0</v>
      </c>
      <c r="F49" s="72">
        <f t="shared" si="2"/>
        <v>991.82</v>
      </c>
      <c r="G49" s="150">
        <v>15000</v>
      </c>
      <c r="H49" s="153">
        <f t="shared" si="3"/>
        <v>14008.18</v>
      </c>
      <c r="I49" s="66">
        <f t="shared" si="4"/>
        <v>6.6121333333333338E-2</v>
      </c>
      <c r="N49" s="93"/>
      <c r="O49" s="93"/>
      <c r="P49" s="93"/>
      <c r="Q49" s="93"/>
      <c r="R49" s="93"/>
      <c r="S49" s="93"/>
      <c r="T49" s="93"/>
    </row>
    <row r="50" spans="1:20" ht="12" customHeight="1" x14ac:dyDescent="0.2">
      <c r="A50" s="68" t="s">
        <v>87</v>
      </c>
      <c r="B50" s="70">
        <v>0</v>
      </c>
      <c r="C50" s="70">
        <v>0</v>
      </c>
      <c r="D50" s="70">
        <v>0</v>
      </c>
      <c r="E50" s="70">
        <v>0</v>
      </c>
      <c r="F50" s="72">
        <f t="shared" si="2"/>
        <v>0</v>
      </c>
      <c r="G50" s="150">
        <v>30000</v>
      </c>
      <c r="H50" s="153">
        <f t="shared" si="3"/>
        <v>30000</v>
      </c>
      <c r="I50" s="66">
        <f t="shared" si="4"/>
        <v>0</v>
      </c>
      <c r="O50" s="93"/>
      <c r="P50" s="93"/>
      <c r="Q50" s="93"/>
      <c r="R50" s="93"/>
      <c r="S50" s="93"/>
      <c r="T50" s="93"/>
    </row>
    <row r="51" spans="1:20" ht="12" customHeight="1" x14ac:dyDescent="0.2">
      <c r="B51" s="6"/>
      <c r="C51" s="6"/>
      <c r="D51" s="6"/>
      <c r="E51" s="6"/>
      <c r="F51" s="6"/>
      <c r="G51" s="151"/>
      <c r="H51" s="151"/>
      <c r="I51" s="5"/>
      <c r="O51" s="93"/>
      <c r="P51" s="93"/>
      <c r="Q51" s="93"/>
      <c r="R51" s="93"/>
      <c r="S51" s="93"/>
      <c r="T51" s="93"/>
    </row>
    <row r="52" spans="1:20" ht="15" customHeight="1" x14ac:dyDescent="0.2">
      <c r="A52" s="79" t="s">
        <v>55</v>
      </c>
      <c r="B52" s="65">
        <f t="shared" ref="B52:H52" si="5">SUM(B31:B51)</f>
        <v>0</v>
      </c>
      <c r="C52" s="65">
        <f t="shared" si="5"/>
        <v>0</v>
      </c>
      <c r="D52" s="65">
        <f t="shared" si="5"/>
        <v>0</v>
      </c>
      <c r="E52" s="65">
        <f t="shared" si="5"/>
        <v>0</v>
      </c>
      <c r="F52" s="89">
        <f t="shared" si="5"/>
        <v>280524.84999999998</v>
      </c>
      <c r="G52" s="152">
        <f t="shared" si="5"/>
        <v>3255000</v>
      </c>
      <c r="H52" s="152">
        <f t="shared" si="5"/>
        <v>2974475.1500000004</v>
      </c>
      <c r="I52" s="67">
        <f>F52/G52</f>
        <v>8.6182749615975413E-2</v>
      </c>
      <c r="N52" s="93"/>
      <c r="O52" s="93"/>
      <c r="Q52" s="93"/>
      <c r="R52" s="93"/>
      <c r="S52" s="93"/>
      <c r="T52" s="93"/>
    </row>
    <row r="53" spans="1:20" ht="12" customHeight="1" x14ac:dyDescent="0.2">
      <c r="O53" s="93"/>
      <c r="Q53" s="93"/>
      <c r="R53" s="93"/>
      <c r="S53" s="93"/>
      <c r="T53" s="93"/>
    </row>
    <row r="54" spans="1:20" ht="12" customHeight="1" x14ac:dyDescent="0.2">
      <c r="O54" s="93"/>
      <c r="Q54" s="93"/>
      <c r="R54" s="93"/>
      <c r="S54" s="93"/>
      <c r="T54" s="93"/>
    </row>
    <row r="55" spans="1:20" ht="12" customHeight="1" x14ac:dyDescent="0.2">
      <c r="Q55" s="93"/>
      <c r="R55" s="93"/>
      <c r="S55" s="93"/>
      <c r="T55" s="93"/>
    </row>
    <row r="56" spans="1:20" ht="12" customHeight="1" x14ac:dyDescent="0.2">
      <c r="O56" s="93"/>
      <c r="P56" s="93"/>
      <c r="Q56" s="93"/>
      <c r="R56" s="93"/>
      <c r="S56" s="93"/>
      <c r="T56" s="93"/>
    </row>
    <row r="57" spans="1:20" ht="12" customHeight="1" x14ac:dyDescent="0.2">
      <c r="Q57" s="93"/>
      <c r="R57" s="93"/>
      <c r="T57" s="93"/>
    </row>
    <row r="58" spans="1:20" ht="12" customHeight="1" x14ac:dyDescent="0.2">
      <c r="O58" s="93"/>
      <c r="Q58" s="93"/>
      <c r="R58" s="93"/>
      <c r="T58" s="93"/>
    </row>
    <row r="59" spans="1:20" ht="12" customHeight="1" x14ac:dyDescent="0.2">
      <c r="N59" s="93"/>
      <c r="O59" s="93"/>
      <c r="Q59" s="93"/>
      <c r="R59" s="93"/>
      <c r="T59" s="93"/>
    </row>
    <row r="60" spans="1:20" ht="12" customHeight="1" x14ac:dyDescent="0.2"/>
    <row r="61" spans="1:20" ht="12" customHeight="1" x14ac:dyDescent="0.2"/>
    <row r="62" spans="1:20" ht="12" customHeight="1" x14ac:dyDescent="0.2"/>
    <row r="63" spans="1:20" ht="12" customHeight="1" x14ac:dyDescent="0.2"/>
    <row r="64" spans="1:20" ht="12" customHeight="1" x14ac:dyDescent="0.2"/>
    <row r="65" spans="5:12" ht="12" customHeight="1" x14ac:dyDescent="0.2"/>
    <row r="66" spans="5:12" ht="12" customHeight="1" x14ac:dyDescent="0.2">
      <c r="E66" s="93"/>
      <c r="H66" s="93"/>
      <c r="K66" s="93"/>
    </row>
    <row r="67" spans="5:12" ht="12" customHeight="1" x14ac:dyDescent="0.2">
      <c r="E67" s="93"/>
      <c r="G67" s="93"/>
      <c r="H67" s="93"/>
      <c r="J67" s="93"/>
    </row>
    <row r="68" spans="5:12" ht="12" customHeight="1" x14ac:dyDescent="0.2">
      <c r="E68" s="93"/>
      <c r="F68" s="93"/>
      <c r="G68" s="93"/>
      <c r="H68" s="93"/>
      <c r="I68" s="93"/>
      <c r="J68" s="93"/>
      <c r="K68" s="93"/>
    </row>
    <row r="69" spans="5:12" ht="12" customHeight="1" x14ac:dyDescent="0.2">
      <c r="E69" s="93"/>
      <c r="F69" s="93"/>
      <c r="G69" s="93"/>
      <c r="H69" s="93"/>
      <c r="I69" s="93"/>
      <c r="J69" s="93"/>
      <c r="K69" s="93"/>
    </row>
    <row r="70" spans="5:12" ht="12" customHeight="1" x14ac:dyDescent="0.2">
      <c r="E70" s="93"/>
      <c r="F70" s="93"/>
      <c r="G70" s="93"/>
      <c r="H70" s="93"/>
      <c r="I70" s="93"/>
      <c r="J70" s="93"/>
      <c r="K70" s="93"/>
    </row>
    <row r="71" spans="5:12" ht="12" customHeight="1" x14ac:dyDescent="0.2">
      <c r="E71" s="93"/>
      <c r="F71" s="93"/>
      <c r="G71" s="93"/>
      <c r="H71" s="93"/>
      <c r="I71" s="93"/>
      <c r="J71" s="93"/>
      <c r="K71" s="93"/>
    </row>
    <row r="72" spans="5:12" ht="12" customHeight="1" x14ac:dyDescent="0.2">
      <c r="E72" s="93"/>
      <c r="F72" s="93"/>
      <c r="G72" s="93"/>
      <c r="H72" s="93"/>
      <c r="I72" s="93"/>
      <c r="J72" s="93"/>
    </row>
    <row r="73" spans="5:12" ht="12" customHeight="1" x14ac:dyDescent="0.2">
      <c r="E73" s="93"/>
      <c r="F73" s="93"/>
      <c r="G73" s="93"/>
      <c r="H73" s="93"/>
      <c r="I73" s="93"/>
      <c r="J73" s="93"/>
      <c r="K73" s="93"/>
    </row>
    <row r="74" spans="5:12" ht="12" customHeight="1" x14ac:dyDescent="0.2">
      <c r="E74" s="93"/>
      <c r="F74" s="93"/>
      <c r="G74" s="93"/>
      <c r="H74" s="93"/>
      <c r="I74" s="93"/>
      <c r="J74" s="93"/>
      <c r="K74" s="93"/>
    </row>
    <row r="75" spans="5:12" ht="12" customHeight="1" x14ac:dyDescent="0.2">
      <c r="F75" s="93"/>
      <c r="G75" s="93"/>
      <c r="I75" s="93"/>
      <c r="J75" s="93"/>
      <c r="L75" s="93"/>
    </row>
    <row r="76" spans="5:12" ht="12" customHeight="1" x14ac:dyDescent="0.2">
      <c r="E76" s="93"/>
      <c r="F76" s="93"/>
      <c r="G76" s="93"/>
      <c r="H76" s="93"/>
      <c r="I76" s="93"/>
      <c r="J76" s="93"/>
      <c r="L76" s="93"/>
    </row>
    <row r="77" spans="5:12" ht="12" customHeight="1" x14ac:dyDescent="0.2">
      <c r="E77" s="93"/>
      <c r="F77" s="93"/>
      <c r="G77" s="93"/>
      <c r="H77" s="93"/>
      <c r="I77" s="93"/>
      <c r="J77" s="93"/>
      <c r="K77" s="93"/>
      <c r="L77" s="93"/>
    </row>
    <row r="78" spans="5:12" ht="12" customHeight="1" x14ac:dyDescent="0.2">
      <c r="E78" s="93"/>
      <c r="F78" s="93"/>
      <c r="G78" s="93"/>
      <c r="H78" s="93"/>
      <c r="I78" s="93"/>
      <c r="J78" s="93"/>
      <c r="L78" s="93"/>
    </row>
    <row r="79" spans="5:12" ht="12" customHeight="1" x14ac:dyDescent="0.2">
      <c r="E79" s="93"/>
      <c r="F79" s="93"/>
      <c r="G79" s="93"/>
      <c r="H79" s="93"/>
      <c r="I79" s="93"/>
      <c r="J79" s="93"/>
      <c r="K79" s="93"/>
      <c r="L79" s="93"/>
    </row>
    <row r="80" spans="5:12" ht="12" customHeight="1" x14ac:dyDescent="0.2">
      <c r="E80" s="93"/>
      <c r="F80" s="93"/>
      <c r="G80" s="93"/>
      <c r="H80" s="93"/>
      <c r="I80" s="93"/>
      <c r="J80" s="93"/>
      <c r="K80" s="93"/>
      <c r="L80" s="93"/>
    </row>
    <row r="81" spans="5:12" ht="12" customHeight="1" x14ac:dyDescent="0.2">
      <c r="F81" s="93"/>
      <c r="G81" s="93"/>
      <c r="H81" s="93"/>
      <c r="I81" s="93"/>
      <c r="J81" s="93"/>
    </row>
    <row r="82" spans="5:12" ht="12" customHeight="1" x14ac:dyDescent="0.2">
      <c r="F82" s="93"/>
      <c r="G82" s="93"/>
      <c r="H82" s="93"/>
      <c r="I82" s="93"/>
      <c r="J82" s="93"/>
      <c r="L82" s="93"/>
    </row>
    <row r="83" spans="5:12" ht="12" customHeight="1" x14ac:dyDescent="0.2">
      <c r="E83" s="93"/>
      <c r="F83" s="93"/>
      <c r="G83" s="93"/>
      <c r="H83" s="93"/>
      <c r="I83" s="93"/>
      <c r="J83" s="93"/>
      <c r="K83" s="93"/>
      <c r="L83" s="93"/>
    </row>
    <row r="84" spans="5:12" ht="12" customHeight="1" x14ac:dyDescent="0.2">
      <c r="F84" s="93"/>
      <c r="G84" s="93"/>
      <c r="H84" s="93"/>
      <c r="I84" s="93"/>
      <c r="J84" s="93"/>
    </row>
    <row r="85" spans="5:12" ht="12" customHeight="1" x14ac:dyDescent="0.2">
      <c r="E85" s="93"/>
      <c r="G85" s="93"/>
      <c r="H85" s="93"/>
      <c r="I85" s="93"/>
      <c r="J85" s="93"/>
      <c r="K85" s="93"/>
    </row>
    <row r="86" spans="5:12" x14ac:dyDescent="0.2">
      <c r="E86" s="93"/>
      <c r="F86" s="93"/>
      <c r="G86" s="93"/>
      <c r="H86" s="93"/>
      <c r="I86" s="93"/>
      <c r="J86" s="93"/>
      <c r="L86" s="93"/>
    </row>
    <row r="87" spans="5:12" x14ac:dyDescent="0.2">
      <c r="E87" s="93"/>
      <c r="F87" s="93"/>
      <c r="H87" s="93"/>
      <c r="I87" s="93"/>
      <c r="J87" s="93"/>
      <c r="K87" s="93"/>
    </row>
    <row r="88" spans="5:12" x14ac:dyDescent="0.2">
      <c r="F88" s="93"/>
      <c r="G88" s="93"/>
      <c r="H88" s="93"/>
      <c r="I88" s="93"/>
      <c r="J88" s="93"/>
      <c r="L88" s="93"/>
    </row>
    <row r="89" spans="5:12" x14ac:dyDescent="0.2">
      <c r="F89" s="93"/>
      <c r="G89" s="93"/>
      <c r="H89" s="93"/>
      <c r="I89" s="93"/>
      <c r="J89" s="93"/>
      <c r="L89" s="93"/>
    </row>
    <row r="90" spans="5:12" x14ac:dyDescent="0.2">
      <c r="E90" s="93"/>
      <c r="F90" s="93"/>
      <c r="G90" s="93"/>
      <c r="H90" s="93"/>
      <c r="I90" s="93"/>
      <c r="J90" s="93"/>
    </row>
    <row r="91" spans="5:12" x14ac:dyDescent="0.2">
      <c r="F91" s="93"/>
      <c r="I91" s="93"/>
    </row>
    <row r="92" spans="5:12" x14ac:dyDescent="0.2">
      <c r="F92" s="93"/>
      <c r="I92" s="93"/>
      <c r="L92" s="93"/>
    </row>
    <row r="93" spans="5:12" x14ac:dyDescent="0.2">
      <c r="L93" s="93"/>
    </row>
    <row r="94" spans="5:12" x14ac:dyDescent="0.2">
      <c r="I94" s="93"/>
      <c r="L94" s="93"/>
    </row>
    <row r="95" spans="5:12" x14ac:dyDescent="0.2">
      <c r="F95" s="93"/>
      <c r="I95" s="93"/>
      <c r="L95" s="93"/>
    </row>
    <row r="96" spans="5:12" x14ac:dyDescent="0.2">
      <c r="I96" s="93"/>
      <c r="L96" s="93"/>
    </row>
    <row r="97" spans="6:9" x14ac:dyDescent="0.2">
      <c r="I97" s="93"/>
    </row>
    <row r="98" spans="6:9" x14ac:dyDescent="0.2">
      <c r="I98" s="93"/>
    </row>
    <row r="99" spans="6:9" x14ac:dyDescent="0.2">
      <c r="F99" s="93"/>
      <c r="I99" s="93"/>
    </row>
  </sheetData>
  <phoneticPr fontId="0" type="noConversion"/>
  <printOptions verticalCentered="1"/>
  <pageMargins left="0.59" right="0.4" top="1.24" bottom="0.82" header="0.69" footer="0.5"/>
  <pageSetup scale="78" orientation="portrait" r:id="rId1"/>
  <headerFooter alignWithMargins="0">
    <oddHeader>&amp;C&amp;"Arial,Bold"&amp;20CESD 2019 Fire Operations
Expenditures</oddHeader>
    <oddFooter>&amp;L&amp;F
&amp;A&amp;C&amp;P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74"/>
  <sheetViews>
    <sheetView view="pageLayout" topLeftCell="A132" zoomScaleNormal="85" workbookViewId="0">
      <selection activeCell="D172" sqref="D172"/>
    </sheetView>
  </sheetViews>
  <sheetFormatPr defaultRowHeight="12.75" x14ac:dyDescent="0.2"/>
  <cols>
    <col min="1" max="1" width="9.140625" style="111"/>
    <col min="2" max="2" width="42.42578125" style="38" bestFit="1" customWidth="1"/>
    <col min="3" max="3" width="13.85546875" customWidth="1"/>
    <col min="4" max="4" width="14" customWidth="1"/>
    <col min="5" max="5" width="13.85546875" customWidth="1"/>
    <col min="6" max="9" width="14.28515625" bestFit="1" customWidth="1"/>
    <col min="10" max="10" width="14.85546875" customWidth="1"/>
    <col min="11" max="14" width="14.28515625" bestFit="1" customWidth="1"/>
    <col min="15" max="15" width="14.42578125" customWidth="1"/>
    <col min="16" max="16" width="9.85546875" bestFit="1" customWidth="1"/>
    <col min="17" max="17" width="11.5703125" bestFit="1" customWidth="1"/>
  </cols>
  <sheetData>
    <row r="1" spans="1:17" s="1" customFormat="1" ht="25.5" x14ac:dyDescent="0.2">
      <c r="A1" s="110"/>
      <c r="B1" s="24" t="s">
        <v>36</v>
      </c>
      <c r="C1" s="23">
        <v>43480</v>
      </c>
      <c r="D1" s="23">
        <f t="shared" ref="D1:N1" si="0">+C1+30</f>
        <v>43510</v>
      </c>
      <c r="E1" s="23">
        <f t="shared" si="0"/>
        <v>43540</v>
      </c>
      <c r="F1" s="23">
        <f t="shared" si="0"/>
        <v>43570</v>
      </c>
      <c r="G1" s="23">
        <f t="shared" si="0"/>
        <v>43600</v>
      </c>
      <c r="H1" s="23">
        <f t="shared" si="0"/>
        <v>43630</v>
      </c>
      <c r="I1" s="23">
        <f t="shared" si="0"/>
        <v>43660</v>
      </c>
      <c r="J1" s="23">
        <f t="shared" si="0"/>
        <v>43690</v>
      </c>
      <c r="K1" s="23">
        <f t="shared" si="0"/>
        <v>43720</v>
      </c>
      <c r="L1" s="23">
        <f t="shared" si="0"/>
        <v>43750</v>
      </c>
      <c r="M1" s="23">
        <f t="shared" si="0"/>
        <v>43780</v>
      </c>
      <c r="N1" s="23">
        <f t="shared" si="0"/>
        <v>43810</v>
      </c>
      <c r="O1" s="24" t="s">
        <v>166</v>
      </c>
    </row>
    <row r="2" spans="1:17" x14ac:dyDescent="0.2">
      <c r="B2" s="45" t="s">
        <v>37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x14ac:dyDescent="0.2">
      <c r="B3" s="7" t="s">
        <v>38</v>
      </c>
      <c r="C3" s="42">
        <f>C12</f>
        <v>0</v>
      </c>
      <c r="D3" s="42">
        <f t="shared" ref="D3:N3" si="1">D12</f>
        <v>0</v>
      </c>
      <c r="E3" s="42">
        <f t="shared" si="1"/>
        <v>0</v>
      </c>
      <c r="F3" s="42">
        <f t="shared" si="1"/>
        <v>0</v>
      </c>
      <c r="G3" s="42">
        <f t="shared" si="1"/>
        <v>0</v>
      </c>
      <c r="H3" s="42">
        <f t="shared" si="1"/>
        <v>0</v>
      </c>
      <c r="I3" s="42">
        <f t="shared" si="1"/>
        <v>0</v>
      </c>
      <c r="J3" s="42">
        <f t="shared" si="1"/>
        <v>0</v>
      </c>
      <c r="K3" s="42">
        <f t="shared" si="1"/>
        <v>0</v>
      </c>
      <c r="L3" s="42">
        <f t="shared" si="1"/>
        <v>0</v>
      </c>
      <c r="M3" s="42">
        <f t="shared" si="1"/>
        <v>0</v>
      </c>
      <c r="N3" s="42">
        <f t="shared" si="1"/>
        <v>0</v>
      </c>
      <c r="O3" s="47">
        <f>SUM(C3:N3)</f>
        <v>0</v>
      </c>
    </row>
    <row r="4" spans="1:17" x14ac:dyDescent="0.2">
      <c r="B4" s="7" t="s">
        <v>103</v>
      </c>
      <c r="C4" s="42">
        <v>210.41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47">
        <f>SUM(C4:N4)</f>
        <v>210.41</v>
      </c>
    </row>
    <row r="5" spans="1:17" ht="12" customHeight="1" x14ac:dyDescent="0.2">
      <c r="B5" s="139" t="s">
        <v>164</v>
      </c>
      <c r="C5" s="49">
        <f>4953.02+881.62+866.93+4723.6+1444.6+356.47+0.09</f>
        <v>13226.330000000002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7">
        <f>SUM(C5:N5)</f>
        <v>13226.330000000002</v>
      </c>
    </row>
    <row r="6" spans="1:17" s="41" customFormat="1" x14ac:dyDescent="0.2">
      <c r="A6" s="111"/>
      <c r="B6" s="43" t="s">
        <v>39</v>
      </c>
      <c r="C6" s="44">
        <f t="shared" ref="C6:O6" si="2">SUM(C2:C5)</f>
        <v>13436.740000000002</v>
      </c>
      <c r="D6" s="44">
        <f t="shared" ref="D6:N6" si="3">SUM(D2:D5)</f>
        <v>0</v>
      </c>
      <c r="E6" s="44">
        <f t="shared" si="3"/>
        <v>0</v>
      </c>
      <c r="F6" s="44">
        <f t="shared" si="3"/>
        <v>0</v>
      </c>
      <c r="G6" s="44">
        <f t="shared" si="3"/>
        <v>0</v>
      </c>
      <c r="H6" s="44">
        <f t="shared" si="3"/>
        <v>0</v>
      </c>
      <c r="I6" s="44">
        <f t="shared" si="3"/>
        <v>0</v>
      </c>
      <c r="J6" s="44">
        <f t="shared" si="3"/>
        <v>0</v>
      </c>
      <c r="K6" s="44">
        <f t="shared" si="3"/>
        <v>0</v>
      </c>
      <c r="L6" s="44">
        <f t="shared" si="3"/>
        <v>0</v>
      </c>
      <c r="M6" s="44">
        <f t="shared" si="3"/>
        <v>0</v>
      </c>
      <c r="N6" s="44">
        <f t="shared" si="3"/>
        <v>0</v>
      </c>
      <c r="O6" s="144">
        <f t="shared" si="2"/>
        <v>13436.740000000002</v>
      </c>
    </row>
    <row r="7" spans="1:17" s="41" customFormat="1" x14ac:dyDescent="0.2">
      <c r="A7" s="111"/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7" x14ac:dyDescent="0.2">
      <c r="B8" s="39" t="s">
        <v>42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7" ht="12.75" customHeight="1" x14ac:dyDescent="0.2">
      <c r="A9" s="111" t="s">
        <v>172</v>
      </c>
      <c r="B9" s="39" t="s">
        <v>78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7" x14ac:dyDescent="0.2">
      <c r="B10" s="7" t="s">
        <v>3</v>
      </c>
      <c r="C10" s="42">
        <v>19970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0"/>
    </row>
    <row r="11" spans="1:17" x14ac:dyDescent="0.2">
      <c r="B11" s="7" t="s">
        <v>35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0"/>
    </row>
    <row r="12" spans="1:17" x14ac:dyDescent="0.2">
      <c r="B12" s="7" t="s">
        <v>34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0"/>
    </row>
    <row r="13" spans="1:17" x14ac:dyDescent="0.2">
      <c r="B13" s="107" t="s">
        <v>136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0"/>
    </row>
    <row r="14" spans="1:17" x14ac:dyDescent="0.2">
      <c r="B14" s="7" t="s">
        <v>77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0"/>
    </row>
    <row r="15" spans="1:17" s="41" customFormat="1" x14ac:dyDescent="0.2">
      <c r="A15" s="111"/>
      <c r="B15" s="46" t="s">
        <v>4</v>
      </c>
      <c r="C15" s="44">
        <f t="shared" ref="C15:D15" si="4">SUM(C10:C14)</f>
        <v>19970</v>
      </c>
      <c r="D15" s="44">
        <f t="shared" si="4"/>
        <v>0</v>
      </c>
      <c r="E15" s="44">
        <f t="shared" ref="E15:N15" si="5">SUM(E10:E14)</f>
        <v>0</v>
      </c>
      <c r="F15" s="44">
        <f t="shared" si="5"/>
        <v>0</v>
      </c>
      <c r="G15" s="44">
        <f t="shared" si="5"/>
        <v>0</v>
      </c>
      <c r="H15" s="44">
        <f t="shared" si="5"/>
        <v>0</v>
      </c>
      <c r="I15" s="44">
        <f t="shared" si="5"/>
        <v>0</v>
      </c>
      <c r="J15" s="44">
        <f t="shared" si="5"/>
        <v>0</v>
      </c>
      <c r="K15" s="44">
        <f t="shared" si="5"/>
        <v>0</v>
      </c>
      <c r="L15" s="44">
        <f t="shared" si="5"/>
        <v>0</v>
      </c>
      <c r="M15" s="44">
        <f t="shared" si="5"/>
        <v>0</v>
      </c>
      <c r="N15" s="44">
        <f t="shared" si="5"/>
        <v>0</v>
      </c>
      <c r="O15" s="48"/>
      <c r="Q15" s="48"/>
    </row>
    <row r="16" spans="1:17" x14ac:dyDescent="0.2">
      <c r="B16" s="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12" customHeight="1" x14ac:dyDescent="0.2">
      <c r="A17" s="111" t="s">
        <v>170</v>
      </c>
      <c r="B17" s="39" t="s">
        <v>79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x14ac:dyDescent="0.2">
      <c r="B18" s="7" t="s">
        <v>3</v>
      </c>
      <c r="C18" s="42">
        <v>-1809.55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0"/>
    </row>
    <row r="19" spans="1:15" x14ac:dyDescent="0.2">
      <c r="B19" s="7" t="s">
        <v>102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0"/>
    </row>
    <row r="20" spans="1:15" x14ac:dyDescent="0.2">
      <c r="B20" s="107" t="s">
        <v>137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0"/>
    </row>
    <row r="21" spans="1:15" x14ac:dyDescent="0.2">
      <c r="B21" s="107" t="s">
        <v>136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0"/>
    </row>
    <row r="22" spans="1:15" x14ac:dyDescent="0.2">
      <c r="B22" s="7" t="s">
        <v>51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0"/>
    </row>
    <row r="23" spans="1:15" s="41" customFormat="1" x14ac:dyDescent="0.2">
      <c r="A23" s="111"/>
      <c r="B23" s="46" t="s">
        <v>4</v>
      </c>
      <c r="C23" s="44">
        <f>SUM(C18:C22)</f>
        <v>-1809.55</v>
      </c>
      <c r="D23" s="44">
        <f>SUM(D18:D22)</f>
        <v>0</v>
      </c>
      <c r="E23" s="44">
        <f t="shared" ref="E23:N23" si="6">SUM(E18:E22)</f>
        <v>0</v>
      </c>
      <c r="F23" s="44">
        <f t="shared" si="6"/>
        <v>0</v>
      </c>
      <c r="G23" s="44">
        <f t="shared" si="6"/>
        <v>0</v>
      </c>
      <c r="H23" s="44">
        <f t="shared" si="6"/>
        <v>0</v>
      </c>
      <c r="I23" s="44">
        <f t="shared" si="6"/>
        <v>0</v>
      </c>
      <c r="J23" s="44">
        <f t="shared" si="6"/>
        <v>0</v>
      </c>
      <c r="K23" s="44">
        <f t="shared" si="6"/>
        <v>0</v>
      </c>
      <c r="L23" s="44">
        <f t="shared" si="6"/>
        <v>0</v>
      </c>
      <c r="M23" s="44">
        <f t="shared" si="6"/>
        <v>0</v>
      </c>
      <c r="N23" s="44">
        <f t="shared" si="6"/>
        <v>0</v>
      </c>
      <c r="O23" s="48"/>
    </row>
    <row r="24" spans="1:15" x14ac:dyDescent="0.2">
      <c r="B24" s="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x14ac:dyDescent="0.2">
      <c r="A25" s="111" t="s">
        <v>175</v>
      </c>
      <c r="B25" s="39" t="s">
        <v>80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x14ac:dyDescent="0.2">
      <c r="B26" s="7" t="s">
        <v>3</v>
      </c>
      <c r="C26" s="42">
        <v>-71.98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0"/>
    </row>
    <row r="27" spans="1:15" x14ac:dyDescent="0.2">
      <c r="B27" s="7" t="s">
        <v>102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0"/>
    </row>
    <row r="28" spans="1:15" x14ac:dyDescent="0.2">
      <c r="B28" s="107" t="s">
        <v>136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0"/>
    </row>
    <row r="29" spans="1:15" x14ac:dyDescent="0.2">
      <c r="B29" s="7" t="s">
        <v>51</v>
      </c>
      <c r="C29" s="42">
        <f>72-0.02</f>
        <v>71.98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0"/>
    </row>
    <row r="30" spans="1:15" x14ac:dyDescent="0.2">
      <c r="B30" s="46" t="s">
        <v>4</v>
      </c>
      <c r="C30" s="44">
        <f t="shared" ref="C30:D30" si="7">SUM(C26:C29)</f>
        <v>0</v>
      </c>
      <c r="D30" s="44">
        <f t="shared" si="7"/>
        <v>0</v>
      </c>
      <c r="E30" s="44">
        <f t="shared" ref="E30:N30" si="8">SUM(E26:E29)</f>
        <v>0</v>
      </c>
      <c r="F30" s="44">
        <f t="shared" si="8"/>
        <v>0</v>
      </c>
      <c r="G30" s="44">
        <f t="shared" si="8"/>
        <v>0</v>
      </c>
      <c r="H30" s="44">
        <f t="shared" si="8"/>
        <v>0</v>
      </c>
      <c r="I30" s="44">
        <f t="shared" si="8"/>
        <v>0</v>
      </c>
      <c r="J30" s="44">
        <f t="shared" si="8"/>
        <v>0</v>
      </c>
      <c r="K30" s="44">
        <f t="shared" si="8"/>
        <v>0</v>
      </c>
      <c r="L30" s="44">
        <f t="shared" si="8"/>
        <v>0</v>
      </c>
      <c r="M30" s="44">
        <f t="shared" si="8"/>
        <v>0</v>
      </c>
      <c r="N30" s="44">
        <f t="shared" si="8"/>
        <v>0</v>
      </c>
      <c r="O30" s="40"/>
    </row>
    <row r="31" spans="1:15" x14ac:dyDescent="0.2">
      <c r="B31" s="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x14ac:dyDescent="0.2">
      <c r="A32" s="111" t="s">
        <v>176</v>
      </c>
      <c r="B32" s="39" t="s">
        <v>81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6" x14ac:dyDescent="0.2">
      <c r="B33" s="7" t="s">
        <v>3</v>
      </c>
      <c r="C33" s="42">
        <v>0</v>
      </c>
      <c r="D33" s="42">
        <f t="shared" ref="D33" si="9">+C38</f>
        <v>0</v>
      </c>
      <c r="E33" s="42">
        <f t="shared" ref="E33" si="10">+D38</f>
        <v>0</v>
      </c>
      <c r="F33" s="42">
        <f t="shared" ref="F33" si="11">+E38</f>
        <v>0</v>
      </c>
      <c r="G33" s="42">
        <f t="shared" ref="G33" si="12">+F38</f>
        <v>0</v>
      </c>
      <c r="H33" s="42">
        <f t="shared" ref="H33" si="13">+G38</f>
        <v>0</v>
      </c>
      <c r="I33" s="42">
        <f t="shared" ref="I33" si="14">+H38</f>
        <v>0</v>
      </c>
      <c r="J33" s="42">
        <f t="shared" ref="J33" si="15">+I38</f>
        <v>0</v>
      </c>
      <c r="K33" s="42">
        <f t="shared" ref="K33" si="16">+J38</f>
        <v>0</v>
      </c>
      <c r="L33" s="42">
        <f t="shared" ref="L33" si="17">+K38</f>
        <v>0</v>
      </c>
      <c r="M33" s="42">
        <f t="shared" ref="M33" si="18">+L38</f>
        <v>0</v>
      </c>
      <c r="N33" s="42">
        <f t="shared" ref="N33" si="19">+M38</f>
        <v>0</v>
      </c>
      <c r="O33" s="40"/>
    </row>
    <row r="34" spans="1:16" x14ac:dyDescent="0.2">
      <c r="B34" s="107" t="s">
        <v>155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0"/>
    </row>
    <row r="35" spans="1:16" x14ac:dyDescent="0.2">
      <c r="B35" s="107" t="s">
        <v>35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0"/>
    </row>
    <row r="36" spans="1:16" x14ac:dyDescent="0.2">
      <c r="B36" s="107" t="s">
        <v>136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0"/>
    </row>
    <row r="37" spans="1:16" x14ac:dyDescent="0.2">
      <c r="B37" s="7" t="s">
        <v>51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0"/>
    </row>
    <row r="38" spans="1:16" x14ac:dyDescent="0.2">
      <c r="B38" s="46" t="s">
        <v>4</v>
      </c>
      <c r="C38" s="44">
        <f t="shared" ref="C38:D38" si="20">SUM(C33:C37)</f>
        <v>0</v>
      </c>
      <c r="D38" s="44">
        <f t="shared" si="20"/>
        <v>0</v>
      </c>
      <c r="E38" s="44">
        <f t="shared" ref="E38:N38" si="21">SUM(E33:E37)</f>
        <v>0</v>
      </c>
      <c r="F38" s="44">
        <f t="shared" si="21"/>
        <v>0</v>
      </c>
      <c r="G38" s="44">
        <f t="shared" si="21"/>
        <v>0</v>
      </c>
      <c r="H38" s="44">
        <f t="shared" si="21"/>
        <v>0</v>
      </c>
      <c r="I38" s="44">
        <f t="shared" si="21"/>
        <v>0</v>
      </c>
      <c r="J38" s="44">
        <f t="shared" si="21"/>
        <v>0</v>
      </c>
      <c r="K38" s="44">
        <f t="shared" si="21"/>
        <v>0</v>
      </c>
      <c r="L38" s="44">
        <f t="shared" si="21"/>
        <v>0</v>
      </c>
      <c r="M38" s="44">
        <f t="shared" si="21"/>
        <v>0</v>
      </c>
      <c r="N38" s="44">
        <f t="shared" si="21"/>
        <v>0</v>
      </c>
      <c r="O38" s="40"/>
    </row>
    <row r="39" spans="1:16" x14ac:dyDescent="0.2">
      <c r="B39" s="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16" x14ac:dyDescent="0.2">
      <c r="A40" s="111" t="s">
        <v>178</v>
      </c>
      <c r="B40" s="39" t="s">
        <v>99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6" x14ac:dyDescent="0.2">
      <c r="B41" s="7" t="s">
        <v>3</v>
      </c>
      <c r="C41" s="42">
        <v>715.94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0"/>
    </row>
    <row r="42" spans="1:16" x14ac:dyDescent="0.2">
      <c r="B42" s="7" t="s">
        <v>102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0"/>
    </row>
    <row r="43" spans="1:16" x14ac:dyDescent="0.2">
      <c r="B43" s="7" t="s">
        <v>51</v>
      </c>
      <c r="C43" s="42">
        <f>-400-25</f>
        <v>-425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0"/>
      <c r="P43" s="40">
        <v>-270</v>
      </c>
    </row>
    <row r="44" spans="1:16" x14ac:dyDescent="0.2">
      <c r="B44" s="46" t="s">
        <v>4</v>
      </c>
      <c r="C44" s="44">
        <f t="shared" ref="C44:D44" si="22">C41+C42+C43</f>
        <v>290.94000000000005</v>
      </c>
      <c r="D44" s="44">
        <f t="shared" si="22"/>
        <v>0</v>
      </c>
      <c r="E44" s="44">
        <f t="shared" ref="E44:N44" si="23">E41+E42+E43</f>
        <v>0</v>
      </c>
      <c r="F44" s="44">
        <f t="shared" si="23"/>
        <v>0</v>
      </c>
      <c r="G44" s="44">
        <f t="shared" si="23"/>
        <v>0</v>
      </c>
      <c r="H44" s="44">
        <f t="shared" si="23"/>
        <v>0</v>
      </c>
      <c r="I44" s="44">
        <f t="shared" si="23"/>
        <v>0</v>
      </c>
      <c r="J44" s="44">
        <f t="shared" si="23"/>
        <v>0</v>
      </c>
      <c r="K44" s="44">
        <f t="shared" si="23"/>
        <v>0</v>
      </c>
      <c r="L44" s="44">
        <f t="shared" si="23"/>
        <v>0</v>
      </c>
      <c r="M44" s="44">
        <f t="shared" si="23"/>
        <v>0</v>
      </c>
      <c r="N44" s="44">
        <f t="shared" si="23"/>
        <v>0</v>
      </c>
      <c r="O44" s="40"/>
    </row>
    <row r="45" spans="1:16" x14ac:dyDescent="0.2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ht="12" customHeight="1" x14ac:dyDescent="0.2">
      <c r="A46" s="111">
        <v>1013</v>
      </c>
      <c r="B46" s="39" t="s">
        <v>82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 x14ac:dyDescent="0.2">
      <c r="B47" s="7" t="s">
        <v>3</v>
      </c>
      <c r="C47" s="42">
        <v>0</v>
      </c>
      <c r="D47" s="42">
        <f t="shared" ref="D47" si="24">+C52</f>
        <v>0</v>
      </c>
      <c r="E47" s="42">
        <f t="shared" ref="E47" si="25">+D52</f>
        <v>0</v>
      </c>
      <c r="F47" s="42">
        <f t="shared" ref="F47" si="26">+E52</f>
        <v>0</v>
      </c>
      <c r="G47" s="42">
        <f t="shared" ref="G47" si="27">+F52</f>
        <v>0</v>
      </c>
      <c r="H47" s="42">
        <f t="shared" ref="H47" si="28">+G52</f>
        <v>0</v>
      </c>
      <c r="I47" s="42">
        <f t="shared" ref="I47" si="29">+H52</f>
        <v>0</v>
      </c>
      <c r="J47" s="42">
        <v>0</v>
      </c>
      <c r="K47" s="42">
        <f>+J52</f>
        <v>0</v>
      </c>
      <c r="L47" s="42">
        <v>0</v>
      </c>
      <c r="M47" s="42">
        <v>0</v>
      </c>
      <c r="N47" s="42">
        <f>+M52</f>
        <v>0</v>
      </c>
      <c r="O47" s="40"/>
    </row>
    <row r="48" spans="1:16" x14ac:dyDescent="0.2">
      <c r="B48" s="7" t="s">
        <v>35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0"/>
    </row>
    <row r="49" spans="1:15" x14ac:dyDescent="0.2">
      <c r="B49" s="7" t="s">
        <v>51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0"/>
    </row>
    <row r="50" spans="1:15" x14ac:dyDescent="0.2">
      <c r="B50" s="107" t="s">
        <v>155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0"/>
    </row>
    <row r="51" spans="1:15" x14ac:dyDescent="0.2">
      <c r="B51" s="107" t="s">
        <v>136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0"/>
    </row>
    <row r="52" spans="1:15" x14ac:dyDescent="0.2">
      <c r="B52" s="46" t="s">
        <v>4</v>
      </c>
      <c r="C52" s="44">
        <f t="shared" ref="C52:N52" si="30">SUM(C47:C51)</f>
        <v>0</v>
      </c>
      <c r="D52" s="44">
        <f t="shared" si="30"/>
        <v>0</v>
      </c>
      <c r="E52" s="44">
        <f t="shared" ref="E52:I52" si="31">SUM(E47:E51)</f>
        <v>0</v>
      </c>
      <c r="F52" s="44">
        <f t="shared" si="31"/>
        <v>0</v>
      </c>
      <c r="G52" s="44">
        <f t="shared" si="31"/>
        <v>0</v>
      </c>
      <c r="H52" s="44">
        <f t="shared" si="31"/>
        <v>0</v>
      </c>
      <c r="I52" s="44">
        <f t="shared" si="31"/>
        <v>0</v>
      </c>
      <c r="J52" s="44">
        <f t="shared" si="30"/>
        <v>0</v>
      </c>
      <c r="K52" s="44">
        <f t="shared" si="30"/>
        <v>0</v>
      </c>
      <c r="L52" s="44">
        <f t="shared" si="30"/>
        <v>0</v>
      </c>
      <c r="M52" s="44">
        <f t="shared" si="30"/>
        <v>0</v>
      </c>
      <c r="N52" s="44">
        <f t="shared" si="30"/>
        <v>0</v>
      </c>
      <c r="O52" s="40"/>
    </row>
    <row r="53" spans="1:15" x14ac:dyDescent="0.2">
      <c r="B53" s="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x14ac:dyDescent="0.2">
      <c r="A54" s="111">
        <v>1018</v>
      </c>
      <c r="B54" s="39" t="s">
        <v>100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</row>
    <row r="55" spans="1:15" x14ac:dyDescent="0.2">
      <c r="B55" s="7" t="s">
        <v>3</v>
      </c>
      <c r="C55" s="42">
        <v>0</v>
      </c>
      <c r="D55" s="42">
        <f>+C59</f>
        <v>0</v>
      </c>
      <c r="E55" s="42">
        <f>+D59</f>
        <v>0</v>
      </c>
      <c r="F55" s="42">
        <f t="shared" ref="F55:H55" si="32">+E59</f>
        <v>0</v>
      </c>
      <c r="G55" s="42">
        <f t="shared" si="32"/>
        <v>0</v>
      </c>
      <c r="H55" s="42">
        <f t="shared" si="32"/>
        <v>0</v>
      </c>
      <c r="I55" s="42">
        <v>0</v>
      </c>
      <c r="J55" s="42">
        <v>0</v>
      </c>
      <c r="K55" s="42">
        <f>+J59</f>
        <v>0</v>
      </c>
      <c r="L55" s="42">
        <v>0</v>
      </c>
      <c r="M55" s="42">
        <v>0</v>
      </c>
      <c r="N55" s="42">
        <f>+M59</f>
        <v>0</v>
      </c>
      <c r="O55" s="40"/>
    </row>
    <row r="56" spans="1:15" x14ac:dyDescent="0.2">
      <c r="B56" s="7" t="s">
        <v>35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0"/>
    </row>
    <row r="57" spans="1:15" x14ac:dyDescent="0.2">
      <c r="B57" s="7" t="s">
        <v>77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0"/>
    </row>
    <row r="58" spans="1:15" x14ac:dyDescent="0.2">
      <c r="B58" s="107" t="s">
        <v>136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0"/>
    </row>
    <row r="59" spans="1:15" x14ac:dyDescent="0.2">
      <c r="B59" s="46" t="s">
        <v>4</v>
      </c>
      <c r="C59" s="44">
        <f>C55+C56+C57+C58</f>
        <v>0</v>
      </c>
      <c r="D59" s="44">
        <f>D55+D56+D57+D58</f>
        <v>0</v>
      </c>
      <c r="E59" s="44">
        <f>E55+E56+E57+E58</f>
        <v>0</v>
      </c>
      <c r="F59" s="44">
        <f t="shared" ref="F59:H59" si="33">F55+F56+F57+F58</f>
        <v>0</v>
      </c>
      <c r="G59" s="44">
        <f t="shared" si="33"/>
        <v>0</v>
      </c>
      <c r="H59" s="44">
        <f t="shared" si="33"/>
        <v>0</v>
      </c>
      <c r="I59" s="44">
        <f t="shared" ref="I59:N59" si="34">I55+I56+I57+I58</f>
        <v>0</v>
      </c>
      <c r="J59" s="44">
        <f t="shared" si="34"/>
        <v>0</v>
      </c>
      <c r="K59" s="44">
        <f t="shared" si="34"/>
        <v>0</v>
      </c>
      <c r="L59" s="44">
        <f t="shared" si="34"/>
        <v>0</v>
      </c>
      <c r="M59" s="44">
        <f t="shared" si="34"/>
        <v>0</v>
      </c>
      <c r="N59" s="44">
        <f t="shared" si="34"/>
        <v>0</v>
      </c>
      <c r="O59" s="40"/>
    </row>
    <row r="60" spans="1:15" x14ac:dyDescent="0.2">
      <c r="B60" s="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ht="12.75" customHeight="1" x14ac:dyDescent="0.2">
      <c r="A61" s="111" t="s">
        <v>173</v>
      </c>
      <c r="B61" s="39" t="s">
        <v>159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x14ac:dyDescent="0.2">
      <c r="B62" s="7" t="s">
        <v>3</v>
      </c>
      <c r="C62" s="42">
        <v>3682280.25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0"/>
    </row>
    <row r="63" spans="1:15" x14ac:dyDescent="0.2">
      <c r="B63" s="7" t="s">
        <v>35</v>
      </c>
      <c r="C63" s="42">
        <v>268350.48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0"/>
    </row>
    <row r="64" spans="1:15" x14ac:dyDescent="0.2">
      <c r="B64" s="107" t="s">
        <v>34</v>
      </c>
      <c r="C64" s="42">
        <f>866.93+4723.6</f>
        <v>5590.5300000000007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0"/>
    </row>
    <row r="65" spans="1:15" x14ac:dyDescent="0.2">
      <c r="B65" s="107" t="s">
        <v>139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0"/>
    </row>
    <row r="66" spans="1:15" x14ac:dyDescent="0.2">
      <c r="B66" s="107" t="s">
        <v>136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0"/>
    </row>
    <row r="67" spans="1:15" x14ac:dyDescent="0.2">
      <c r="B67" s="46" t="s">
        <v>4</v>
      </c>
      <c r="C67" s="44">
        <f>C62+C63+C64+C65+C66</f>
        <v>3956221.26</v>
      </c>
      <c r="D67" s="44">
        <f t="shared" ref="D67" si="35">D62+D63+D64+D65+D66</f>
        <v>0</v>
      </c>
      <c r="E67" s="44">
        <f t="shared" ref="E67" si="36">E62+E63+E64+E65+E66</f>
        <v>0</v>
      </c>
      <c r="F67" s="44">
        <f t="shared" ref="F67" si="37">F62+F63+F64+F65+F66</f>
        <v>0</v>
      </c>
      <c r="G67" s="44">
        <f t="shared" ref="G67" si="38">G62+G63+G64+G65+G66</f>
        <v>0</v>
      </c>
      <c r="H67" s="44">
        <f t="shared" ref="H67" si="39">H62+H63+H64+H65+H66</f>
        <v>0</v>
      </c>
      <c r="I67" s="44">
        <f t="shared" ref="I67" si="40">I62+I63+I64+I65+I66</f>
        <v>0</v>
      </c>
      <c r="J67" s="44">
        <f t="shared" ref="J67" si="41">J62+J63+J64+J65+J66</f>
        <v>0</v>
      </c>
      <c r="K67" s="44">
        <f t="shared" ref="K67" si="42">K62+K63+K64+K65+K66</f>
        <v>0</v>
      </c>
      <c r="L67" s="44">
        <f t="shared" ref="L67" si="43">L62+L63+L64+L65+L66</f>
        <v>0</v>
      </c>
      <c r="M67" s="44">
        <f t="shared" ref="M67" si="44">M62+M63+M64+M65+M66</f>
        <v>0</v>
      </c>
      <c r="N67" s="44">
        <f t="shared" ref="N67" si="45">N62+N63+N64+N65+N66</f>
        <v>0</v>
      </c>
      <c r="O67" s="40"/>
    </row>
    <row r="68" spans="1:15" x14ac:dyDescent="0.2">
      <c r="B68" s="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ht="12.75" customHeight="1" x14ac:dyDescent="0.2">
      <c r="A69" s="111" t="s">
        <v>174</v>
      </c>
      <c r="B69" s="39" t="s">
        <v>160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B70" s="7" t="s">
        <v>3</v>
      </c>
      <c r="C70" s="42">
        <v>1208058.71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0"/>
    </row>
    <row r="71" spans="1:15" x14ac:dyDescent="0.2">
      <c r="B71" s="7" t="s">
        <v>35</v>
      </c>
      <c r="C71" s="42">
        <f>748.24+773702.94</f>
        <v>774451.17999999993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0"/>
    </row>
    <row r="72" spans="1:15" x14ac:dyDescent="0.2">
      <c r="B72" s="107" t="s">
        <v>34</v>
      </c>
      <c r="C72" s="42">
        <f>1444.6+356.47</f>
        <v>1801.07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0"/>
    </row>
    <row r="73" spans="1:15" x14ac:dyDescent="0.2">
      <c r="B73" s="107" t="s">
        <v>139</v>
      </c>
      <c r="C73" s="42">
        <f>-142900-309300-7400</f>
        <v>-459600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0"/>
    </row>
    <row r="74" spans="1:15" x14ac:dyDescent="0.2">
      <c r="B74" s="107" t="s">
        <v>136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0"/>
    </row>
    <row r="75" spans="1:15" x14ac:dyDescent="0.2">
      <c r="B75" s="46" t="s">
        <v>4</v>
      </c>
      <c r="C75" s="44">
        <f>C70+C71+C72+C73+C74</f>
        <v>1524710.96</v>
      </c>
      <c r="D75" s="44">
        <f t="shared" ref="D75" si="46">D70+D71+D72+D73+D74</f>
        <v>0</v>
      </c>
      <c r="E75" s="44">
        <f t="shared" ref="E75" si="47">E70+E71+E72+E73+E74</f>
        <v>0</v>
      </c>
      <c r="F75" s="44">
        <f t="shared" ref="F75" si="48">F70+F71+F72+F73+F74</f>
        <v>0</v>
      </c>
      <c r="G75" s="44">
        <f t="shared" ref="G75" si="49">G70+G71+G72+G73+G74</f>
        <v>0</v>
      </c>
      <c r="H75" s="44">
        <f t="shared" ref="H75" si="50">H70+H71+H72+H73+H74</f>
        <v>0</v>
      </c>
      <c r="I75" s="44">
        <f t="shared" ref="I75" si="51">I70+I71+I72+I73+I74</f>
        <v>0</v>
      </c>
      <c r="J75" s="44">
        <f t="shared" ref="J75" si="52">J70+J71+J72+J73+J74</f>
        <v>0</v>
      </c>
      <c r="K75" s="44">
        <f t="shared" ref="K75" si="53">K70+K71+K72+K73+K74</f>
        <v>0</v>
      </c>
      <c r="L75" s="44">
        <f t="shared" ref="L75" si="54">L70+L71+L72+L73+L74</f>
        <v>0</v>
      </c>
      <c r="M75" s="44">
        <f t="shared" ref="M75" si="55">M70+M71+M72+M73+M74</f>
        <v>0</v>
      </c>
      <c r="N75" s="44">
        <f t="shared" ref="N75" si="56">N70+N71+N72+N73+N74</f>
        <v>0</v>
      </c>
      <c r="O75" s="40"/>
    </row>
    <row r="76" spans="1:15" x14ac:dyDescent="0.2">
      <c r="B76" s="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1:15" ht="12" customHeight="1" x14ac:dyDescent="0.2">
      <c r="A77" s="111" t="s">
        <v>179</v>
      </c>
      <c r="B77" s="39" t="s">
        <v>161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x14ac:dyDescent="0.2">
      <c r="B78" s="7" t="s">
        <v>3</v>
      </c>
      <c r="C78" s="42">
        <v>-161218.12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0"/>
    </row>
    <row r="79" spans="1:15" x14ac:dyDescent="0.2">
      <c r="B79" s="7" t="s">
        <v>102</v>
      </c>
      <c r="C79" s="42">
        <v>309300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0"/>
    </row>
    <row r="80" spans="1:15" x14ac:dyDescent="0.2">
      <c r="B80" s="107" t="s">
        <v>137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0"/>
    </row>
    <row r="81" spans="1:15" x14ac:dyDescent="0.2">
      <c r="B81" s="107" t="s">
        <v>35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0"/>
    </row>
    <row r="82" spans="1:15" x14ac:dyDescent="0.2">
      <c r="B82" s="107" t="s">
        <v>136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0"/>
    </row>
    <row r="83" spans="1:15" x14ac:dyDescent="0.2">
      <c r="B83" s="7" t="s">
        <v>51</v>
      </c>
      <c r="C83" s="42">
        <f>-128322+1394+119.09+98.06+506.65+231-535.91-82.44-66.07-654.93-98.06-655-543.56-1660-113.5-386.84-76.81-116876.36</f>
        <v>-247722.68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0"/>
    </row>
    <row r="84" spans="1:15" s="41" customFormat="1" x14ac:dyDescent="0.2">
      <c r="A84" s="111"/>
      <c r="B84" s="46" t="s">
        <v>4</v>
      </c>
      <c r="C84" s="44">
        <f t="shared" ref="C84" si="57">SUM(C78:C83)</f>
        <v>-99640.799999999988</v>
      </c>
      <c r="D84" s="44">
        <f t="shared" ref="D84:N84" si="58">SUM(D78:D83)</f>
        <v>0</v>
      </c>
      <c r="E84" s="44">
        <f t="shared" si="58"/>
        <v>0</v>
      </c>
      <c r="F84" s="44">
        <f t="shared" si="58"/>
        <v>0</v>
      </c>
      <c r="G84" s="44">
        <f t="shared" si="58"/>
        <v>0</v>
      </c>
      <c r="H84" s="44">
        <f t="shared" si="58"/>
        <v>0</v>
      </c>
      <c r="I84" s="44">
        <f t="shared" si="58"/>
        <v>0</v>
      </c>
      <c r="J84" s="44">
        <f t="shared" si="58"/>
        <v>0</v>
      </c>
      <c r="K84" s="44">
        <f t="shared" si="58"/>
        <v>0</v>
      </c>
      <c r="L84" s="44">
        <f t="shared" si="58"/>
        <v>0</v>
      </c>
      <c r="M84" s="44">
        <f t="shared" si="58"/>
        <v>0</v>
      </c>
      <c r="N84" s="44">
        <f t="shared" si="58"/>
        <v>0</v>
      </c>
      <c r="O84" s="48"/>
    </row>
    <row r="85" spans="1:15" x14ac:dyDescent="0.2">
      <c r="B85" s="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1:15" x14ac:dyDescent="0.2">
      <c r="A86" s="111" t="s">
        <v>180</v>
      </c>
      <c r="B86" s="39" t="s">
        <v>162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1:15" x14ac:dyDescent="0.2">
      <c r="B87" s="7" t="s">
        <v>3</v>
      </c>
      <c r="C87" s="42">
        <v>94298.49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0"/>
    </row>
    <row r="88" spans="1:15" x14ac:dyDescent="0.2">
      <c r="B88" s="7" t="s">
        <v>102</v>
      </c>
      <c r="C88" s="42">
        <v>142900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0"/>
    </row>
    <row r="89" spans="1:15" x14ac:dyDescent="0.2">
      <c r="B89" s="107" t="s">
        <v>136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0"/>
    </row>
    <row r="90" spans="1:15" x14ac:dyDescent="0.2">
      <c r="B90" s="7" t="s">
        <v>51</v>
      </c>
      <c r="C90" s="42">
        <v>-209392.25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0"/>
    </row>
    <row r="91" spans="1:15" x14ac:dyDescent="0.2">
      <c r="B91" s="46" t="s">
        <v>4</v>
      </c>
      <c r="C91" s="44">
        <f t="shared" ref="C91" si="59">SUM(C87:C90)</f>
        <v>27806.239999999991</v>
      </c>
      <c r="D91" s="44">
        <f t="shared" ref="D91:N91" si="60">SUM(D87:D90)</f>
        <v>0</v>
      </c>
      <c r="E91" s="44">
        <f t="shared" si="60"/>
        <v>0</v>
      </c>
      <c r="F91" s="44">
        <f t="shared" si="60"/>
        <v>0</v>
      </c>
      <c r="G91" s="44">
        <f t="shared" si="60"/>
        <v>0</v>
      </c>
      <c r="H91" s="44">
        <f t="shared" si="60"/>
        <v>0</v>
      </c>
      <c r="I91" s="44">
        <f t="shared" si="60"/>
        <v>0</v>
      </c>
      <c r="J91" s="44">
        <f t="shared" si="60"/>
        <v>0</v>
      </c>
      <c r="K91" s="44">
        <f t="shared" si="60"/>
        <v>0</v>
      </c>
      <c r="L91" s="44">
        <f t="shared" si="60"/>
        <v>0</v>
      </c>
      <c r="M91" s="44">
        <f t="shared" si="60"/>
        <v>0</v>
      </c>
      <c r="N91" s="44">
        <f t="shared" si="60"/>
        <v>0</v>
      </c>
      <c r="O91" s="40"/>
    </row>
    <row r="92" spans="1:15" x14ac:dyDescent="0.2">
      <c r="B92" s="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1:15" x14ac:dyDescent="0.2">
      <c r="A93" s="111" t="s">
        <v>181</v>
      </c>
      <c r="B93" s="39" t="s">
        <v>163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pans="1:15" x14ac:dyDescent="0.2">
      <c r="B94" s="107" t="s">
        <v>3</v>
      </c>
      <c r="C94" s="42">
        <v>1116.42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0"/>
    </row>
    <row r="95" spans="1:15" x14ac:dyDescent="0.2">
      <c r="B95" s="7" t="s">
        <v>102</v>
      </c>
      <c r="C95" s="42">
        <v>7400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0"/>
    </row>
    <row r="96" spans="1:15" x14ac:dyDescent="0.2">
      <c r="B96" s="107" t="s">
        <v>35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0"/>
    </row>
    <row r="97" spans="1:15" x14ac:dyDescent="0.2">
      <c r="B97" s="107" t="s">
        <v>136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0"/>
    </row>
    <row r="98" spans="1:15" x14ac:dyDescent="0.2">
      <c r="B98" s="7" t="s">
        <v>51</v>
      </c>
      <c r="C98" s="42">
        <v>-8480.73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0"/>
    </row>
    <row r="99" spans="1:15" x14ac:dyDescent="0.2">
      <c r="B99" s="46" t="s">
        <v>4</v>
      </c>
      <c r="C99" s="44">
        <f t="shared" ref="C99" si="61">SUM(C94:C98)</f>
        <v>35.690000000000509</v>
      </c>
      <c r="D99" s="44">
        <f t="shared" ref="D99:N99" si="62">SUM(D94:D98)</f>
        <v>0</v>
      </c>
      <c r="E99" s="44">
        <f t="shared" si="62"/>
        <v>0</v>
      </c>
      <c r="F99" s="44">
        <f t="shared" si="62"/>
        <v>0</v>
      </c>
      <c r="G99" s="44">
        <f t="shared" si="62"/>
        <v>0</v>
      </c>
      <c r="H99" s="44">
        <f t="shared" si="62"/>
        <v>0</v>
      </c>
      <c r="I99" s="44">
        <f t="shared" si="62"/>
        <v>0</v>
      </c>
      <c r="J99" s="44">
        <f t="shared" si="62"/>
        <v>0</v>
      </c>
      <c r="K99" s="44">
        <f t="shared" si="62"/>
        <v>0</v>
      </c>
      <c r="L99" s="44">
        <f t="shared" si="62"/>
        <v>0</v>
      </c>
      <c r="M99" s="44">
        <f t="shared" si="62"/>
        <v>0</v>
      </c>
      <c r="N99" s="44">
        <f t="shared" si="62"/>
        <v>0</v>
      </c>
      <c r="O99" s="40"/>
    </row>
    <row r="100" spans="1:15" x14ac:dyDescent="0.2">
      <c r="B100" s="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5" x14ac:dyDescent="0.2">
      <c r="A101" s="111" t="s">
        <v>169</v>
      </c>
      <c r="B101" s="39" t="s">
        <v>158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5" x14ac:dyDescent="0.2">
      <c r="B102" s="107" t="s">
        <v>3</v>
      </c>
      <c r="C102" s="42">
        <v>4017451.63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0"/>
    </row>
    <row r="103" spans="1:15" x14ac:dyDescent="0.2">
      <c r="B103" s="7" t="s">
        <v>102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0"/>
    </row>
    <row r="104" spans="1:15" x14ac:dyDescent="0.2">
      <c r="B104" s="107" t="s">
        <v>35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0"/>
    </row>
    <row r="105" spans="1:15" x14ac:dyDescent="0.2">
      <c r="B105" s="107" t="s">
        <v>34</v>
      </c>
      <c r="C105" s="42">
        <f>4953.02+881.62</f>
        <v>5834.64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0"/>
    </row>
    <row r="106" spans="1:15" x14ac:dyDescent="0.2">
      <c r="B106" s="7" t="s">
        <v>51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0"/>
    </row>
    <row r="107" spans="1:15" x14ac:dyDescent="0.2">
      <c r="B107" s="46" t="s">
        <v>4</v>
      </c>
      <c r="C107" s="44">
        <f t="shared" ref="C107" si="63">SUM(C102:C106)</f>
        <v>4023286.27</v>
      </c>
      <c r="D107" s="44">
        <f t="shared" ref="D107" si="64">SUM(D102:D106)</f>
        <v>0</v>
      </c>
      <c r="E107" s="44">
        <f t="shared" ref="E107:N107" si="65">SUM(E102:E106)</f>
        <v>0</v>
      </c>
      <c r="F107" s="44">
        <f t="shared" si="65"/>
        <v>0</v>
      </c>
      <c r="G107" s="44">
        <f t="shared" si="65"/>
        <v>0</v>
      </c>
      <c r="H107" s="44">
        <f t="shared" si="65"/>
        <v>0</v>
      </c>
      <c r="I107" s="44">
        <f t="shared" si="65"/>
        <v>0</v>
      </c>
      <c r="J107" s="44">
        <f t="shared" si="65"/>
        <v>0</v>
      </c>
      <c r="K107" s="44">
        <f t="shared" si="65"/>
        <v>0</v>
      </c>
      <c r="L107" s="44">
        <f t="shared" si="65"/>
        <v>0</v>
      </c>
      <c r="M107" s="44">
        <f t="shared" si="65"/>
        <v>0</v>
      </c>
      <c r="N107" s="44">
        <f t="shared" si="65"/>
        <v>0</v>
      </c>
      <c r="O107" s="40"/>
    </row>
    <row r="108" spans="1:15" x14ac:dyDescent="0.2">
      <c r="B108" s="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5" x14ac:dyDescent="0.2">
      <c r="A109" s="111" t="s">
        <v>177</v>
      </c>
      <c r="B109" s="39" t="s">
        <v>101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5" x14ac:dyDescent="0.2">
      <c r="B110" s="7" t="s">
        <v>3</v>
      </c>
      <c r="C110" s="42">
        <v>3385.57</v>
      </c>
      <c r="D110" s="42">
        <v>0</v>
      </c>
      <c r="E110" s="42">
        <f t="shared" ref="E110:H110" si="66">+D115</f>
        <v>0</v>
      </c>
      <c r="F110" s="42">
        <f t="shared" si="66"/>
        <v>0</v>
      </c>
      <c r="G110" s="42">
        <f t="shared" si="66"/>
        <v>0</v>
      </c>
      <c r="H110" s="42">
        <f t="shared" si="66"/>
        <v>0</v>
      </c>
      <c r="I110" s="42">
        <f t="shared" ref="I110" si="67">+H115</f>
        <v>0</v>
      </c>
      <c r="J110" s="42">
        <f t="shared" ref="J110" si="68">+I115</f>
        <v>0</v>
      </c>
      <c r="K110" s="42">
        <f t="shared" ref="K110" si="69">+J115</f>
        <v>0</v>
      </c>
      <c r="L110" s="42">
        <f t="shared" ref="L110" si="70">+K115</f>
        <v>0</v>
      </c>
      <c r="M110" s="42">
        <f t="shared" ref="M110" si="71">+L115</f>
        <v>0</v>
      </c>
      <c r="N110" s="42">
        <f t="shared" ref="N110" si="72">+M115</f>
        <v>0</v>
      </c>
      <c r="O110" s="40"/>
    </row>
    <row r="111" spans="1:15" x14ac:dyDescent="0.2">
      <c r="B111" s="7" t="s">
        <v>102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0"/>
    </row>
    <row r="112" spans="1:15" x14ac:dyDescent="0.2">
      <c r="B112" s="7" t="s">
        <v>51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0"/>
    </row>
    <row r="113" spans="1:20" x14ac:dyDescent="0.2">
      <c r="B113" s="107" t="s">
        <v>34</v>
      </c>
      <c r="C113" s="42">
        <v>0.09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0"/>
    </row>
    <row r="114" spans="1:20" x14ac:dyDescent="0.2">
      <c r="B114" s="107" t="s">
        <v>136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0"/>
    </row>
    <row r="115" spans="1:20" x14ac:dyDescent="0.2">
      <c r="B115" s="46" t="s">
        <v>4</v>
      </c>
      <c r="C115" s="44">
        <f>SUM(C110:C114)</f>
        <v>3385.6600000000003</v>
      </c>
      <c r="D115" s="44">
        <f t="shared" ref="D115" si="73">D110+D111+D112+D114</f>
        <v>0</v>
      </c>
      <c r="E115" s="44">
        <f t="shared" ref="E115:H115" si="74">E110+E111+E112+E114</f>
        <v>0</v>
      </c>
      <c r="F115" s="44">
        <f t="shared" si="74"/>
        <v>0</v>
      </c>
      <c r="G115" s="44">
        <f t="shared" si="74"/>
        <v>0</v>
      </c>
      <c r="H115" s="44">
        <f t="shared" si="74"/>
        <v>0</v>
      </c>
      <c r="I115" s="44">
        <f t="shared" ref="I115:N115" si="75">I110+I111+I112+I114</f>
        <v>0</v>
      </c>
      <c r="J115" s="44">
        <f t="shared" si="75"/>
        <v>0</v>
      </c>
      <c r="K115" s="44">
        <f t="shared" si="75"/>
        <v>0</v>
      </c>
      <c r="L115" s="44">
        <f t="shared" si="75"/>
        <v>0</v>
      </c>
      <c r="M115" s="44">
        <f t="shared" si="75"/>
        <v>0</v>
      </c>
      <c r="N115" s="44">
        <f t="shared" si="75"/>
        <v>0</v>
      </c>
      <c r="O115" s="40"/>
    </row>
    <row r="116" spans="1:20" x14ac:dyDescent="0.2">
      <c r="B116" s="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T116" t="s">
        <v>132</v>
      </c>
    </row>
    <row r="117" spans="1:20" x14ac:dyDescent="0.2">
      <c r="A117" s="111" t="s">
        <v>171</v>
      </c>
      <c r="B117" s="39" t="s">
        <v>104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spans="1:20" x14ac:dyDescent="0.2">
      <c r="B118" s="7" t="s">
        <v>3</v>
      </c>
      <c r="C118" s="42">
        <v>125120.98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0"/>
    </row>
    <row r="119" spans="1:20" x14ac:dyDescent="0.2">
      <c r="B119" s="7" t="s">
        <v>57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0"/>
    </row>
    <row r="120" spans="1:20" x14ac:dyDescent="0.2">
      <c r="B120" s="52" t="s">
        <v>34</v>
      </c>
      <c r="C120" s="42">
        <v>210.41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0"/>
      <c r="P120" s="40">
        <v>412.31</v>
      </c>
    </row>
    <row r="121" spans="1:20" x14ac:dyDescent="0.2">
      <c r="B121" s="46" t="s">
        <v>4</v>
      </c>
      <c r="C121" s="44">
        <f t="shared" ref="C121:D121" si="76">C118+C119+C120</f>
        <v>125331.39</v>
      </c>
      <c r="D121" s="44">
        <f t="shared" si="76"/>
        <v>0</v>
      </c>
      <c r="E121" s="44">
        <f t="shared" ref="E121:N121" si="77">E118+E119+E120</f>
        <v>0</v>
      </c>
      <c r="F121" s="44">
        <f t="shared" si="77"/>
        <v>0</v>
      </c>
      <c r="G121" s="44">
        <f t="shared" si="77"/>
        <v>0</v>
      </c>
      <c r="H121" s="44">
        <f t="shared" si="77"/>
        <v>0</v>
      </c>
      <c r="I121" s="44">
        <f t="shared" si="77"/>
        <v>0</v>
      </c>
      <c r="J121" s="44">
        <f t="shared" si="77"/>
        <v>0</v>
      </c>
      <c r="K121" s="44">
        <f t="shared" si="77"/>
        <v>0</v>
      </c>
      <c r="L121" s="44">
        <f t="shared" si="77"/>
        <v>0</v>
      </c>
      <c r="M121" s="44">
        <f t="shared" si="77"/>
        <v>0</v>
      </c>
      <c r="N121" s="44">
        <f t="shared" si="77"/>
        <v>0</v>
      </c>
      <c r="O121" s="40"/>
    </row>
    <row r="122" spans="1:20" ht="13.5" thickBot="1" x14ac:dyDescent="0.25">
      <c r="B122" s="91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</row>
    <row r="123" spans="1:20" ht="13.5" thickBot="1" x14ac:dyDescent="0.25">
      <c r="B123" s="56" t="s">
        <v>52</v>
      </c>
      <c r="C123" s="57">
        <f t="shared" ref="C123:N123" si="78">C15+C23+C30+C38+C44+C52+C59+C115+C121+C67+C75+C84+C91+C99+C107</f>
        <v>9579588.0600000005</v>
      </c>
      <c r="D123" s="57">
        <f t="shared" si="78"/>
        <v>0</v>
      </c>
      <c r="E123" s="57">
        <f t="shared" si="78"/>
        <v>0</v>
      </c>
      <c r="F123" s="57">
        <f t="shared" si="78"/>
        <v>0</v>
      </c>
      <c r="G123" s="57">
        <f t="shared" si="78"/>
        <v>0</v>
      </c>
      <c r="H123" s="57">
        <f t="shared" si="78"/>
        <v>0</v>
      </c>
      <c r="I123" s="57">
        <f t="shared" si="78"/>
        <v>0</v>
      </c>
      <c r="J123" s="57">
        <f t="shared" si="78"/>
        <v>0</v>
      </c>
      <c r="K123" s="57">
        <f t="shared" si="78"/>
        <v>0</v>
      </c>
      <c r="L123" s="57">
        <f t="shared" si="78"/>
        <v>0</v>
      </c>
      <c r="M123" s="57">
        <f t="shared" si="78"/>
        <v>0</v>
      </c>
      <c r="N123" s="57">
        <f t="shared" si="78"/>
        <v>0</v>
      </c>
      <c r="O123" s="40"/>
    </row>
    <row r="124" spans="1:20" x14ac:dyDescent="0.2">
      <c r="B124"/>
      <c r="F124" s="40"/>
    </row>
    <row r="125" spans="1:20" ht="18" x14ac:dyDescent="0.25">
      <c r="B125" s="159" t="s">
        <v>151</v>
      </c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</row>
    <row r="126" spans="1:20" ht="13.5" thickBot="1" x14ac:dyDescent="0.25">
      <c r="B126"/>
    </row>
    <row r="127" spans="1:20" ht="13.5" thickBot="1" x14ac:dyDescent="0.25">
      <c r="B127" s="58" t="s">
        <v>36</v>
      </c>
      <c r="C127" s="59" t="s">
        <v>16</v>
      </c>
      <c r="D127" s="59" t="s">
        <v>17</v>
      </c>
      <c r="E127" s="59" t="s">
        <v>18</v>
      </c>
      <c r="F127" s="59" t="s">
        <v>19</v>
      </c>
      <c r="G127" s="59" t="s">
        <v>20</v>
      </c>
      <c r="H127" s="59" t="s">
        <v>21</v>
      </c>
      <c r="I127" s="59" t="s">
        <v>22</v>
      </c>
      <c r="J127" s="59" t="s">
        <v>23</v>
      </c>
      <c r="K127" s="59" t="s">
        <v>24</v>
      </c>
      <c r="L127" s="59" t="s">
        <v>25</v>
      </c>
      <c r="M127" s="59" t="s">
        <v>26</v>
      </c>
      <c r="N127" s="59" t="s">
        <v>27</v>
      </c>
    </row>
    <row r="128" spans="1:20" x14ac:dyDescent="0.2">
      <c r="B128"/>
      <c r="Q128" s="145">
        <v>42855</v>
      </c>
    </row>
    <row r="129" spans="2:17" x14ac:dyDescent="0.2">
      <c r="B129" s="41" t="s">
        <v>112</v>
      </c>
      <c r="Q129" s="145">
        <v>43190</v>
      </c>
    </row>
    <row r="130" spans="2:17" x14ac:dyDescent="0.2">
      <c r="B130" s="68" t="s">
        <v>113</v>
      </c>
      <c r="C130" s="42">
        <f t="shared" ref="C130:N130" si="79">C15+C23+C30+C38+C52+C59</f>
        <v>18160.45</v>
      </c>
      <c r="D130" s="42">
        <f t="shared" si="79"/>
        <v>0</v>
      </c>
      <c r="E130" s="42">
        <f t="shared" si="79"/>
        <v>0</v>
      </c>
      <c r="F130" s="42">
        <f t="shared" si="79"/>
        <v>0</v>
      </c>
      <c r="G130" s="42">
        <f t="shared" si="79"/>
        <v>0</v>
      </c>
      <c r="H130" s="42">
        <f t="shared" si="79"/>
        <v>0</v>
      </c>
      <c r="I130" s="42">
        <f t="shared" si="79"/>
        <v>0</v>
      </c>
      <c r="J130" s="42">
        <f t="shared" si="79"/>
        <v>0</v>
      </c>
      <c r="K130" s="42">
        <f t="shared" si="79"/>
        <v>0</v>
      </c>
      <c r="L130" s="42">
        <f t="shared" si="79"/>
        <v>0</v>
      </c>
      <c r="M130" s="42">
        <f t="shared" si="79"/>
        <v>0</v>
      </c>
      <c r="N130" s="42">
        <f t="shared" si="79"/>
        <v>0</v>
      </c>
    </row>
    <row r="131" spans="2:17" x14ac:dyDescent="0.2">
      <c r="B131" s="68" t="s">
        <v>117</v>
      </c>
      <c r="C131" s="42">
        <v>250000</v>
      </c>
      <c r="D131" s="42">
        <v>250000</v>
      </c>
      <c r="E131" s="42">
        <v>250000</v>
      </c>
      <c r="F131" s="42">
        <v>250000</v>
      </c>
      <c r="G131" s="42">
        <v>250000</v>
      </c>
      <c r="H131" s="42">
        <v>250000</v>
      </c>
      <c r="I131" s="42">
        <v>250000</v>
      </c>
      <c r="J131" s="42">
        <v>250000</v>
      </c>
      <c r="K131" s="42">
        <v>250000</v>
      </c>
      <c r="L131" s="42">
        <v>250000</v>
      </c>
      <c r="M131" s="42">
        <v>250000</v>
      </c>
      <c r="N131" s="42">
        <v>250000</v>
      </c>
      <c r="Q131" s="146">
        <f>+Q129-Q128</f>
        <v>335</v>
      </c>
    </row>
    <row r="132" spans="2:17" x14ac:dyDescent="0.2">
      <c r="B132" s="68" t="s">
        <v>118</v>
      </c>
      <c r="C132" s="98">
        <v>0</v>
      </c>
      <c r="D132" s="98">
        <v>0</v>
      </c>
      <c r="E132" s="98">
        <v>0</v>
      </c>
      <c r="F132" s="98">
        <v>0</v>
      </c>
      <c r="G132" s="98">
        <v>0</v>
      </c>
      <c r="H132" s="98">
        <v>0</v>
      </c>
      <c r="I132" s="98">
        <v>0</v>
      </c>
      <c r="J132" s="98">
        <v>0</v>
      </c>
      <c r="K132" s="98">
        <v>0</v>
      </c>
      <c r="L132" s="98">
        <v>0</v>
      </c>
      <c r="M132" s="98">
        <v>0</v>
      </c>
      <c r="N132" s="98">
        <v>0</v>
      </c>
    </row>
    <row r="133" spans="2:17" x14ac:dyDescent="0.2">
      <c r="B133" s="97" t="s">
        <v>111</v>
      </c>
      <c r="C133" s="44">
        <f t="shared" ref="C133:F133" si="80">C131+C132-C130</f>
        <v>231839.55</v>
      </c>
      <c r="D133" s="44">
        <f t="shared" si="80"/>
        <v>250000</v>
      </c>
      <c r="E133" s="44">
        <f t="shared" si="80"/>
        <v>250000</v>
      </c>
      <c r="F133" s="44">
        <f t="shared" si="80"/>
        <v>250000</v>
      </c>
      <c r="G133" s="44">
        <f t="shared" ref="G133:H133" si="81">G131+G132-G130</f>
        <v>250000</v>
      </c>
      <c r="H133" s="44">
        <f t="shared" si="81"/>
        <v>250000</v>
      </c>
      <c r="I133" s="44">
        <f t="shared" ref="I133:J133" si="82">I131+I132-I130</f>
        <v>250000</v>
      </c>
      <c r="J133" s="44">
        <f t="shared" si="82"/>
        <v>250000</v>
      </c>
      <c r="K133" s="44">
        <f t="shared" ref="K133:L133" si="83">K131+K132-K130</f>
        <v>250000</v>
      </c>
      <c r="L133" s="44">
        <f t="shared" si="83"/>
        <v>250000</v>
      </c>
      <c r="M133" s="44">
        <f t="shared" ref="M133:N133" si="84">M131+M132-M130</f>
        <v>250000</v>
      </c>
      <c r="N133" s="44">
        <f t="shared" si="84"/>
        <v>250000</v>
      </c>
    </row>
    <row r="134" spans="2:17" x14ac:dyDescent="0.2">
      <c r="B134"/>
    </row>
    <row r="135" spans="2:17" x14ac:dyDescent="0.2">
      <c r="B135" s="41" t="s">
        <v>182</v>
      </c>
    </row>
    <row r="136" spans="2:17" x14ac:dyDescent="0.2">
      <c r="B136" s="68" t="s">
        <v>113</v>
      </c>
      <c r="C136" s="42">
        <f>+C67+C75+C84+C91+C99</f>
        <v>5409133.3500000006</v>
      </c>
      <c r="D136" s="42">
        <f t="shared" ref="D136:N136" si="85">+D67+D75+D84+D91+D99</f>
        <v>0</v>
      </c>
      <c r="E136" s="42">
        <f t="shared" si="85"/>
        <v>0</v>
      </c>
      <c r="F136" s="42">
        <f t="shared" si="85"/>
        <v>0</v>
      </c>
      <c r="G136" s="42">
        <f t="shared" si="85"/>
        <v>0</v>
      </c>
      <c r="H136" s="42">
        <f t="shared" si="85"/>
        <v>0</v>
      </c>
      <c r="I136" s="42">
        <f t="shared" si="85"/>
        <v>0</v>
      </c>
      <c r="J136" s="42">
        <f t="shared" si="85"/>
        <v>0</v>
      </c>
      <c r="K136" s="42">
        <f t="shared" si="85"/>
        <v>0</v>
      </c>
      <c r="L136" s="42">
        <f t="shared" si="85"/>
        <v>0</v>
      </c>
      <c r="M136" s="42">
        <f t="shared" si="85"/>
        <v>0</v>
      </c>
      <c r="N136" s="42">
        <f t="shared" si="85"/>
        <v>0</v>
      </c>
    </row>
    <row r="137" spans="2:17" x14ac:dyDescent="0.2">
      <c r="B137" s="68" t="s">
        <v>117</v>
      </c>
      <c r="C137" s="42">
        <v>250000</v>
      </c>
      <c r="D137" s="42">
        <v>250000</v>
      </c>
      <c r="E137" s="42">
        <v>250000</v>
      </c>
      <c r="F137" s="42">
        <v>250000</v>
      </c>
      <c r="G137" s="42">
        <v>250000</v>
      </c>
      <c r="H137" s="42">
        <v>250000</v>
      </c>
      <c r="I137" s="42">
        <v>250000</v>
      </c>
      <c r="J137" s="42">
        <v>250000</v>
      </c>
      <c r="K137" s="42">
        <v>250000</v>
      </c>
      <c r="L137" s="42">
        <v>250000</v>
      </c>
      <c r="M137" s="42">
        <v>250000</v>
      </c>
      <c r="N137" s="42">
        <v>250000</v>
      </c>
    </row>
    <row r="138" spans="2:17" x14ac:dyDescent="0.2">
      <c r="B138" s="68" t="s">
        <v>118</v>
      </c>
      <c r="C138" s="98">
        <v>6000000</v>
      </c>
      <c r="D138" s="98">
        <v>6000000</v>
      </c>
      <c r="E138" s="98">
        <v>6000000</v>
      </c>
      <c r="F138" s="98">
        <v>6000000</v>
      </c>
      <c r="G138" s="98">
        <v>6000000</v>
      </c>
      <c r="H138" s="98">
        <v>6000000</v>
      </c>
      <c r="I138" s="98">
        <v>6000000</v>
      </c>
      <c r="J138" s="98">
        <v>6000000</v>
      </c>
      <c r="K138" s="98">
        <v>6000000</v>
      </c>
      <c r="L138" s="98">
        <v>6000000</v>
      </c>
      <c r="M138" s="98">
        <v>6000000</v>
      </c>
      <c r="N138" s="98">
        <v>6000000</v>
      </c>
    </row>
    <row r="139" spans="2:17" x14ac:dyDescent="0.2">
      <c r="B139" s="97" t="s">
        <v>111</v>
      </c>
      <c r="C139" s="44">
        <f t="shared" ref="C139" si="86">C137+C138-C136</f>
        <v>840866.64999999944</v>
      </c>
      <c r="D139" s="44">
        <f t="shared" ref="D139:N139" si="87">D137+D138-D136</f>
        <v>6250000</v>
      </c>
      <c r="E139" s="44">
        <f t="shared" si="87"/>
        <v>6250000</v>
      </c>
      <c r="F139" s="44">
        <f t="shared" si="87"/>
        <v>6250000</v>
      </c>
      <c r="G139" s="44">
        <f t="shared" si="87"/>
        <v>6250000</v>
      </c>
      <c r="H139" s="44">
        <f t="shared" si="87"/>
        <v>6250000</v>
      </c>
      <c r="I139" s="44">
        <f t="shared" si="87"/>
        <v>6250000</v>
      </c>
      <c r="J139" s="44">
        <f t="shared" si="87"/>
        <v>6250000</v>
      </c>
      <c r="K139" s="44">
        <f t="shared" si="87"/>
        <v>6250000</v>
      </c>
      <c r="L139" s="44">
        <f t="shared" si="87"/>
        <v>6250000</v>
      </c>
      <c r="M139" s="44">
        <f t="shared" si="87"/>
        <v>6250000</v>
      </c>
      <c r="N139" s="44">
        <f t="shared" si="87"/>
        <v>6250000</v>
      </c>
    </row>
    <row r="140" spans="2:17" x14ac:dyDescent="0.2">
      <c r="B140" s="100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</row>
    <row r="141" spans="2:17" x14ac:dyDescent="0.2">
      <c r="B141" s="41" t="s">
        <v>115</v>
      </c>
    </row>
    <row r="142" spans="2:17" x14ac:dyDescent="0.2">
      <c r="B142" s="68" t="s">
        <v>113</v>
      </c>
      <c r="C142" s="42">
        <f t="shared" ref="C142:F142" si="88">C115</f>
        <v>3385.6600000000003</v>
      </c>
      <c r="D142" s="42">
        <f t="shared" si="88"/>
        <v>0</v>
      </c>
      <c r="E142" s="42">
        <f t="shared" si="88"/>
        <v>0</v>
      </c>
      <c r="F142" s="42">
        <f t="shared" si="88"/>
        <v>0</v>
      </c>
      <c r="G142" s="42">
        <f t="shared" ref="G142:H142" si="89">G115</f>
        <v>0</v>
      </c>
      <c r="H142" s="42">
        <f t="shared" si="89"/>
        <v>0</v>
      </c>
      <c r="I142" s="42">
        <f t="shared" ref="I142:J142" si="90">I115</f>
        <v>0</v>
      </c>
      <c r="J142" s="42">
        <f t="shared" si="90"/>
        <v>0</v>
      </c>
      <c r="K142" s="42">
        <f t="shared" ref="K142:L142" si="91">K115</f>
        <v>0</v>
      </c>
      <c r="L142" s="42">
        <f t="shared" si="91"/>
        <v>0</v>
      </c>
      <c r="M142" s="42">
        <f t="shared" ref="M142:N142" si="92">M115</f>
        <v>0</v>
      </c>
      <c r="N142" s="42">
        <f t="shared" si="92"/>
        <v>0</v>
      </c>
    </row>
    <row r="143" spans="2:17" x14ac:dyDescent="0.2">
      <c r="B143" s="68" t="s">
        <v>117</v>
      </c>
      <c r="C143" s="98">
        <v>250000</v>
      </c>
      <c r="D143" s="98">
        <v>250000</v>
      </c>
      <c r="E143" s="98">
        <v>250000</v>
      </c>
      <c r="F143" s="98">
        <v>250000</v>
      </c>
      <c r="G143" s="98">
        <v>250000</v>
      </c>
      <c r="H143" s="98">
        <v>250000</v>
      </c>
      <c r="I143" s="98">
        <v>250000</v>
      </c>
      <c r="J143" s="98">
        <v>250000</v>
      </c>
      <c r="K143" s="98">
        <v>250000</v>
      </c>
      <c r="L143" s="98">
        <v>250000</v>
      </c>
      <c r="M143" s="98">
        <v>250000</v>
      </c>
      <c r="N143" s="98">
        <v>250000</v>
      </c>
    </row>
    <row r="144" spans="2:17" x14ac:dyDescent="0.2">
      <c r="B144" s="97" t="s">
        <v>111</v>
      </c>
      <c r="C144" s="99">
        <f t="shared" ref="C144:F144" si="93">C143-C142</f>
        <v>246614.34</v>
      </c>
      <c r="D144" s="99">
        <f t="shared" si="93"/>
        <v>250000</v>
      </c>
      <c r="E144" s="99">
        <f t="shared" si="93"/>
        <v>250000</v>
      </c>
      <c r="F144" s="99">
        <f t="shared" si="93"/>
        <v>250000</v>
      </c>
      <c r="G144" s="99">
        <f t="shared" ref="G144:H144" si="94">G143-G142</f>
        <v>250000</v>
      </c>
      <c r="H144" s="99">
        <f t="shared" si="94"/>
        <v>250000</v>
      </c>
      <c r="I144" s="99">
        <f t="shared" ref="I144:J144" si="95">I143-I142</f>
        <v>250000</v>
      </c>
      <c r="J144" s="99">
        <f t="shared" si="95"/>
        <v>250000</v>
      </c>
      <c r="K144" s="99">
        <f t="shared" ref="K144:L144" si="96">K143-K142</f>
        <v>250000</v>
      </c>
      <c r="L144" s="99">
        <f t="shared" si="96"/>
        <v>250000</v>
      </c>
      <c r="M144" s="99">
        <f t="shared" ref="M144:N144" si="97">M143-M142</f>
        <v>250000</v>
      </c>
      <c r="N144" s="99">
        <f t="shared" si="97"/>
        <v>250000</v>
      </c>
    </row>
    <row r="145" spans="1:42" x14ac:dyDescent="0.2">
      <c r="B145" s="100"/>
      <c r="C145" s="101"/>
    </row>
    <row r="146" spans="1:42" x14ac:dyDescent="0.2">
      <c r="B146" s="41" t="s">
        <v>116</v>
      </c>
    </row>
    <row r="147" spans="1:42" x14ac:dyDescent="0.2">
      <c r="B147" s="68" t="s">
        <v>113</v>
      </c>
      <c r="C147" s="42">
        <f t="shared" ref="C147:F147" si="98">C121</f>
        <v>125331.39</v>
      </c>
      <c r="D147" s="42">
        <f t="shared" si="98"/>
        <v>0</v>
      </c>
      <c r="E147" s="42">
        <f t="shared" si="98"/>
        <v>0</v>
      </c>
      <c r="F147" s="42">
        <f t="shared" si="98"/>
        <v>0</v>
      </c>
      <c r="G147" s="42">
        <f t="shared" ref="G147:H147" si="99">G121</f>
        <v>0</v>
      </c>
      <c r="H147" s="42">
        <f t="shared" si="99"/>
        <v>0</v>
      </c>
      <c r="I147" s="42">
        <f t="shared" ref="I147:J147" si="100">I121</f>
        <v>0</v>
      </c>
      <c r="J147" s="42">
        <f t="shared" si="100"/>
        <v>0</v>
      </c>
      <c r="K147" s="42">
        <f t="shared" ref="K147:L147" si="101">K121</f>
        <v>0</v>
      </c>
      <c r="L147" s="42">
        <f t="shared" si="101"/>
        <v>0</v>
      </c>
      <c r="M147" s="42">
        <f t="shared" ref="M147:N147" si="102">M121</f>
        <v>0</v>
      </c>
      <c r="N147" s="42">
        <f t="shared" si="102"/>
        <v>0</v>
      </c>
    </row>
    <row r="148" spans="1:42" x14ac:dyDescent="0.2">
      <c r="B148" s="68" t="s">
        <v>114</v>
      </c>
      <c r="C148" s="98">
        <v>250000</v>
      </c>
      <c r="D148" s="98">
        <v>250000</v>
      </c>
      <c r="E148" s="98">
        <v>250000</v>
      </c>
      <c r="F148" s="98">
        <v>250000</v>
      </c>
      <c r="G148" s="98">
        <v>250000</v>
      </c>
      <c r="H148" s="98">
        <v>250000</v>
      </c>
      <c r="I148" s="98">
        <v>250000</v>
      </c>
      <c r="J148" s="98">
        <v>250000</v>
      </c>
      <c r="K148" s="98">
        <v>250000</v>
      </c>
      <c r="L148" s="98">
        <v>250000</v>
      </c>
      <c r="M148" s="98">
        <v>250000</v>
      </c>
      <c r="N148" s="98">
        <v>250000</v>
      </c>
    </row>
    <row r="149" spans="1:42" x14ac:dyDescent="0.2">
      <c r="B149" s="97" t="s">
        <v>111</v>
      </c>
      <c r="C149" s="99">
        <f t="shared" ref="C149:F149" si="103">C148-C147</f>
        <v>124668.61</v>
      </c>
      <c r="D149" s="99">
        <f t="shared" si="103"/>
        <v>250000</v>
      </c>
      <c r="E149" s="99">
        <f t="shared" si="103"/>
        <v>250000</v>
      </c>
      <c r="F149" s="99">
        <f t="shared" si="103"/>
        <v>250000</v>
      </c>
      <c r="G149" s="99">
        <f t="shared" ref="G149:H149" si="104">G148-G147</f>
        <v>250000</v>
      </c>
      <c r="H149" s="99">
        <f t="shared" si="104"/>
        <v>250000</v>
      </c>
      <c r="I149" s="99">
        <f t="shared" ref="I149:J149" si="105">I148-I147</f>
        <v>250000</v>
      </c>
      <c r="J149" s="99">
        <f t="shared" si="105"/>
        <v>250000</v>
      </c>
      <c r="K149" s="99">
        <f t="shared" ref="K149:L149" si="106">K148-K147</f>
        <v>250000</v>
      </c>
      <c r="L149" s="99">
        <f t="shared" si="106"/>
        <v>250000</v>
      </c>
      <c r="M149" s="99">
        <f t="shared" ref="M149:N149" si="107">M148-M147</f>
        <v>250000</v>
      </c>
      <c r="N149" s="99">
        <f t="shared" si="107"/>
        <v>250000</v>
      </c>
    </row>
    <row r="150" spans="1:42" x14ac:dyDescent="0.2">
      <c r="B150" s="100"/>
      <c r="C150" s="101"/>
    </row>
    <row r="151" spans="1:42" ht="18" x14ac:dyDescent="0.25">
      <c r="B151" s="159" t="s">
        <v>152</v>
      </c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</row>
    <row r="152" spans="1:42" ht="13.5" thickBot="1" x14ac:dyDescent="0.25">
      <c r="B152"/>
    </row>
    <row r="153" spans="1:42" ht="13.5" thickBot="1" x14ac:dyDescent="0.25">
      <c r="B153" s="58" t="s">
        <v>36</v>
      </c>
      <c r="C153" s="59" t="s">
        <v>16</v>
      </c>
      <c r="D153" s="59" t="s">
        <v>17</v>
      </c>
      <c r="E153" s="59" t="s">
        <v>18</v>
      </c>
      <c r="F153" s="59" t="s">
        <v>19</v>
      </c>
      <c r="G153" s="59" t="s">
        <v>20</v>
      </c>
      <c r="H153" s="59" t="s">
        <v>21</v>
      </c>
      <c r="I153" s="59" t="s">
        <v>22</v>
      </c>
      <c r="J153" s="59" t="s">
        <v>23</v>
      </c>
      <c r="K153" s="59" t="s">
        <v>24</v>
      </c>
      <c r="L153" s="59" t="s">
        <v>25</v>
      </c>
      <c r="M153" s="59" t="s">
        <v>26</v>
      </c>
      <c r="N153" s="59" t="s">
        <v>27</v>
      </c>
    </row>
    <row r="154" spans="1:42" x14ac:dyDescent="0.2">
      <c r="B154" s="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42" x14ac:dyDescent="0.2">
      <c r="B155" s="60">
        <v>2003</v>
      </c>
      <c r="C155" s="61">
        <v>696336.94</v>
      </c>
      <c r="D155" s="61">
        <v>870487.72</v>
      </c>
      <c r="E155" s="61">
        <v>849735.46</v>
      </c>
      <c r="F155" s="61">
        <v>822859.39</v>
      </c>
      <c r="G155" s="61">
        <v>778509.05</v>
      </c>
      <c r="H155" s="61">
        <v>728284.78</v>
      </c>
      <c r="I155" s="61">
        <v>650784.14</v>
      </c>
      <c r="J155" s="61">
        <v>609454.48</v>
      </c>
      <c r="K155" s="61">
        <v>534324.65</v>
      </c>
      <c r="L155" s="61">
        <v>457489.13</v>
      </c>
      <c r="M155" s="61">
        <v>437431</v>
      </c>
      <c r="N155" s="61">
        <v>517072.99</v>
      </c>
    </row>
    <row r="156" spans="1:42" s="41" customFormat="1" x14ac:dyDescent="0.2">
      <c r="A156" s="111"/>
      <c r="B156" s="60" t="s">
        <v>28</v>
      </c>
      <c r="C156" s="61">
        <v>853751.26</v>
      </c>
      <c r="D156" s="61">
        <v>1064598.6100000001</v>
      </c>
      <c r="E156" s="61">
        <v>973151.64</v>
      </c>
      <c r="F156" s="61">
        <v>898541.01</v>
      </c>
      <c r="G156" s="61">
        <v>861392.09</v>
      </c>
      <c r="H156" s="61">
        <v>823317.92</v>
      </c>
      <c r="I156" s="61">
        <v>772521.07</v>
      </c>
      <c r="J156" s="61">
        <v>741798.25</v>
      </c>
      <c r="K156" s="61">
        <v>686949.39</v>
      </c>
      <c r="L156" s="61">
        <v>614536.43999999994</v>
      </c>
      <c r="M156" s="61">
        <v>615473.77</v>
      </c>
      <c r="N156" s="61">
        <v>827598.69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x14ac:dyDescent="0.2">
      <c r="B157" s="60" t="s">
        <v>29</v>
      </c>
      <c r="C157" s="61">
        <v>1092342.77</v>
      </c>
      <c r="D157" s="61">
        <v>1309894.1499999999</v>
      </c>
      <c r="E157" s="61">
        <v>1285824.67</v>
      </c>
      <c r="F157" s="61">
        <v>1230164.45</v>
      </c>
      <c r="G157" s="61">
        <v>1196782.8500000001</v>
      </c>
      <c r="H157" s="61">
        <v>1172538.3600000001</v>
      </c>
      <c r="I157" s="61">
        <v>1129069.76</v>
      </c>
      <c r="J157" s="61">
        <v>1094718.3400000001</v>
      </c>
      <c r="K157" s="61">
        <v>1063040.76</v>
      </c>
      <c r="L157" s="61">
        <v>980066.52</v>
      </c>
      <c r="M157" s="61">
        <v>938862.85</v>
      </c>
      <c r="N157" s="61">
        <v>966579.11</v>
      </c>
    </row>
    <row r="158" spans="1:42" x14ac:dyDescent="0.2">
      <c r="B158" s="62" t="s">
        <v>30</v>
      </c>
      <c r="C158" s="61">
        <v>1449758.57</v>
      </c>
      <c r="D158" s="61">
        <v>1639708.11</v>
      </c>
      <c r="E158" s="61">
        <v>1626495.07</v>
      </c>
      <c r="F158" s="61">
        <v>1598404.89</v>
      </c>
      <c r="G158" s="61">
        <v>1581600.76</v>
      </c>
      <c r="H158" s="61">
        <v>1537226.82</v>
      </c>
      <c r="I158" s="61">
        <v>1491826.06</v>
      </c>
      <c r="J158" s="61">
        <v>1465928.04</v>
      </c>
      <c r="K158" s="61">
        <v>1437482.16</v>
      </c>
      <c r="L158" s="61">
        <v>1353526.48</v>
      </c>
      <c r="M158" s="61">
        <v>1299013.32</v>
      </c>
      <c r="N158" s="61">
        <v>1405615.31</v>
      </c>
      <c r="O158" s="40"/>
    </row>
    <row r="159" spans="1:42" x14ac:dyDescent="0.2">
      <c r="B159" s="60" t="s">
        <v>33</v>
      </c>
      <c r="C159" s="61">
        <v>1781151.28</v>
      </c>
      <c r="D159" s="61">
        <v>1849926.88</v>
      </c>
      <c r="E159" s="61">
        <v>1804064.55</v>
      </c>
      <c r="F159" s="61">
        <v>1762645.17</v>
      </c>
      <c r="G159" s="61">
        <v>1751416.3</v>
      </c>
      <c r="H159" s="61">
        <v>1712796.5</v>
      </c>
      <c r="I159" s="61">
        <v>1589166.69</v>
      </c>
      <c r="J159" s="61">
        <v>1521484.82</v>
      </c>
      <c r="K159" s="61">
        <v>1441548.69</v>
      </c>
      <c r="L159" s="61">
        <v>1368322.57</v>
      </c>
      <c r="M159" s="61">
        <v>1267350.01</v>
      </c>
      <c r="N159" s="61">
        <v>1354330.15</v>
      </c>
    </row>
    <row r="160" spans="1:42" x14ac:dyDescent="0.2">
      <c r="B160" s="60" t="s">
        <v>40</v>
      </c>
      <c r="C160" s="61">
        <v>1776004.19</v>
      </c>
      <c r="D160" s="61">
        <v>1955150.4</v>
      </c>
      <c r="E160" s="61">
        <v>1899862.63</v>
      </c>
      <c r="F160" s="61">
        <v>1859905.56</v>
      </c>
      <c r="G160" s="61">
        <v>1791882.29</v>
      </c>
      <c r="H160" s="61">
        <v>1748976.13</v>
      </c>
      <c r="I160" s="61">
        <v>1612811.49</v>
      </c>
      <c r="J160" s="61">
        <v>1560382.79</v>
      </c>
      <c r="K160" s="61">
        <v>1588944.79</v>
      </c>
      <c r="L160" s="61">
        <v>1389338.76</v>
      </c>
      <c r="M160" s="61">
        <v>1296282.05</v>
      </c>
      <c r="N160" s="61">
        <v>1309130.18</v>
      </c>
    </row>
    <row r="161" spans="2:14" x14ac:dyDescent="0.2">
      <c r="B161" s="60" t="s">
        <v>43</v>
      </c>
      <c r="C161" s="61">
        <v>1742289.53</v>
      </c>
      <c r="D161" s="61">
        <v>2038970.66</v>
      </c>
      <c r="E161" s="61">
        <v>2029979.3</v>
      </c>
      <c r="F161" s="61">
        <v>1966999.27</v>
      </c>
      <c r="G161" s="61">
        <v>1897091.66</v>
      </c>
      <c r="H161" s="61">
        <v>1860031.09</v>
      </c>
      <c r="I161" s="61">
        <v>1211972.6000000001</v>
      </c>
      <c r="J161" s="61">
        <v>1124268.47</v>
      </c>
      <c r="K161" s="61">
        <v>1052577.2</v>
      </c>
      <c r="L161" s="61">
        <v>1110529.6499999999</v>
      </c>
      <c r="M161" s="61">
        <v>1057543.83</v>
      </c>
      <c r="N161" s="61">
        <v>1237575.6100000001</v>
      </c>
    </row>
    <row r="162" spans="2:14" x14ac:dyDescent="0.2">
      <c r="B162" s="60" t="s">
        <v>56</v>
      </c>
      <c r="C162" s="61">
        <v>1670880.75</v>
      </c>
      <c r="D162" s="61">
        <v>2009963.98</v>
      </c>
      <c r="E162" s="61">
        <v>2035770.87</v>
      </c>
      <c r="F162" s="61">
        <v>2016304.84</v>
      </c>
      <c r="G162" s="61">
        <v>1964316.97</v>
      </c>
      <c r="H162" s="61">
        <v>1865461.64</v>
      </c>
      <c r="I162" s="61">
        <v>1343767.41</v>
      </c>
      <c r="J162" s="61">
        <v>1184678.1399999999</v>
      </c>
      <c r="K162" s="61">
        <v>1064857.75</v>
      </c>
      <c r="L162" s="61">
        <v>941603.95</v>
      </c>
      <c r="M162" s="61">
        <v>1151630.1100000001</v>
      </c>
      <c r="N162" s="61">
        <v>1337292.8999999999</v>
      </c>
    </row>
    <row r="163" spans="2:14" x14ac:dyDescent="0.2">
      <c r="B163" s="60" t="s">
        <v>88</v>
      </c>
      <c r="C163" s="61">
        <v>1776477.32</v>
      </c>
      <c r="D163" s="61">
        <v>2027326.7</v>
      </c>
      <c r="E163" s="61">
        <v>1932600.13</v>
      </c>
      <c r="F163" s="61">
        <v>1834293.21</v>
      </c>
      <c r="G163" s="61">
        <v>1706567.67</v>
      </c>
      <c r="H163" s="61">
        <v>1178372.52</v>
      </c>
      <c r="I163" s="61">
        <v>1072100.8999999999</v>
      </c>
      <c r="J163" s="61">
        <v>1006906.06</v>
      </c>
      <c r="K163" s="61">
        <v>902521.17</v>
      </c>
      <c r="L163" s="61">
        <v>771581.55</v>
      </c>
      <c r="M163" s="61">
        <v>753053.88</v>
      </c>
      <c r="N163" s="61">
        <v>1037408.94</v>
      </c>
    </row>
    <row r="164" spans="2:14" x14ac:dyDescent="0.2">
      <c r="B164" s="60" t="s">
        <v>93</v>
      </c>
      <c r="C164" s="61">
        <v>1808196.25</v>
      </c>
      <c r="D164" s="61">
        <v>2112929.39</v>
      </c>
      <c r="E164" s="61">
        <v>2069173.95</v>
      </c>
      <c r="F164" s="61">
        <v>1971591.55</v>
      </c>
      <c r="G164" s="61">
        <v>1847450.82</v>
      </c>
      <c r="H164" s="61">
        <v>1731625.53</v>
      </c>
      <c r="I164" s="61">
        <v>1238913.77</v>
      </c>
      <c r="J164" s="61">
        <v>1122060.6299999999</v>
      </c>
      <c r="K164" s="61">
        <v>1061349.29</v>
      </c>
      <c r="L164" s="61">
        <v>954424.56</v>
      </c>
      <c r="M164" s="61">
        <v>870713.09</v>
      </c>
      <c r="N164" s="61">
        <v>1191818.6599999999</v>
      </c>
    </row>
    <row r="165" spans="2:14" x14ac:dyDescent="0.2">
      <c r="B165" s="60" t="s">
        <v>96</v>
      </c>
      <c r="C165" s="61">
        <v>1928564.07</v>
      </c>
      <c r="D165" s="61">
        <v>2326438.94</v>
      </c>
      <c r="E165" s="61">
        <v>2207219.15</v>
      </c>
      <c r="F165" s="61">
        <v>2096942.67</v>
      </c>
      <c r="G165" s="61">
        <v>1949136.32</v>
      </c>
      <c r="H165" s="61">
        <v>1847424.36</v>
      </c>
      <c r="I165" s="61">
        <v>1285314.45</v>
      </c>
      <c r="J165" s="61">
        <v>1205988.95</v>
      </c>
      <c r="K165" s="61">
        <v>1088140.71</v>
      </c>
      <c r="L165" s="61">
        <v>942806.82</v>
      </c>
      <c r="M165" s="61">
        <v>921240.55</v>
      </c>
      <c r="N165" s="61">
        <v>1233401.8799999999</v>
      </c>
    </row>
    <row r="166" spans="2:14" x14ac:dyDescent="0.2">
      <c r="B166" s="60" t="s">
        <v>109</v>
      </c>
      <c r="C166" s="61">
        <v>1971094.38</v>
      </c>
      <c r="D166" s="61">
        <v>2638458.2000000002</v>
      </c>
      <c r="E166" s="61">
        <v>2593266.2799999998</v>
      </c>
      <c r="F166" s="61">
        <v>2524029.86</v>
      </c>
      <c r="G166" s="61">
        <v>2429491.83</v>
      </c>
      <c r="H166" s="61">
        <v>2374197.39</v>
      </c>
      <c r="I166" s="61">
        <v>1968976.27</v>
      </c>
      <c r="J166" s="61">
        <v>1904657.43</v>
      </c>
      <c r="K166" s="61">
        <v>1720656.11</v>
      </c>
      <c r="L166" s="61">
        <v>1599841.23</v>
      </c>
      <c r="M166" s="61">
        <v>1626290.19</v>
      </c>
      <c r="N166" s="61">
        <v>2170026.1</v>
      </c>
    </row>
    <row r="167" spans="2:14" x14ac:dyDescent="0.2">
      <c r="B167" s="60" t="s">
        <v>119</v>
      </c>
      <c r="C167" s="61">
        <v>2645434.9500000002</v>
      </c>
      <c r="D167" s="61">
        <v>3377080.75</v>
      </c>
      <c r="E167" s="61">
        <v>3343428.18</v>
      </c>
      <c r="F167" s="61">
        <v>3241640.83</v>
      </c>
      <c r="G167" s="61">
        <v>3190840.55</v>
      </c>
      <c r="H167" s="61">
        <v>3226311.02</v>
      </c>
      <c r="I167" s="61">
        <v>3145966.52</v>
      </c>
      <c r="J167" s="61">
        <v>2828137.44</v>
      </c>
      <c r="K167" s="61">
        <v>2758003.96</v>
      </c>
      <c r="L167" s="61">
        <v>2663266.48</v>
      </c>
      <c r="M167" s="61">
        <v>2679132.2599999998</v>
      </c>
      <c r="N167" s="61">
        <v>2927138.26</v>
      </c>
    </row>
    <row r="168" spans="2:14" x14ac:dyDescent="0.2">
      <c r="B168" s="60" t="s">
        <v>123</v>
      </c>
      <c r="C168" s="61">
        <v>3794748.34</v>
      </c>
      <c r="D168" s="61">
        <v>4528706.87</v>
      </c>
      <c r="E168" s="61">
        <v>3283965.8</v>
      </c>
      <c r="F168" s="61">
        <v>3232710.04</v>
      </c>
      <c r="G168" s="61">
        <v>3182370.3</v>
      </c>
      <c r="H168" s="61">
        <v>3154808.23</v>
      </c>
      <c r="I168" s="61">
        <v>2683930.1800000002</v>
      </c>
      <c r="J168" s="61">
        <v>2689008.68</v>
      </c>
      <c r="K168" s="61">
        <v>2574196.1</v>
      </c>
      <c r="L168" s="61">
        <v>2523304.62</v>
      </c>
      <c r="M168" s="61">
        <v>2488519.8199999998</v>
      </c>
      <c r="N168" s="61">
        <v>2805915.99</v>
      </c>
    </row>
    <row r="169" spans="2:14" x14ac:dyDescent="0.2">
      <c r="B169" s="60" t="s">
        <v>131</v>
      </c>
      <c r="C169" s="61">
        <v>3842583.68</v>
      </c>
      <c r="D169" s="61">
        <v>4303863.6100000003</v>
      </c>
      <c r="E169" s="61">
        <v>3767231.7</v>
      </c>
      <c r="F169" s="61">
        <v>3730690.77</v>
      </c>
      <c r="G169" s="61">
        <v>3694576.11</v>
      </c>
      <c r="H169" s="61">
        <v>3680994.04</v>
      </c>
      <c r="I169" s="61">
        <v>3256150.5999999996</v>
      </c>
      <c r="J169" s="61">
        <v>3173539.83</v>
      </c>
      <c r="K169" s="61">
        <v>3060295.83</v>
      </c>
      <c r="L169" s="61">
        <v>3089233.36</v>
      </c>
      <c r="M169" s="61">
        <v>3083951.78</v>
      </c>
      <c r="N169" s="61">
        <v>3842583.68</v>
      </c>
    </row>
    <row r="170" spans="2:14" x14ac:dyDescent="0.2">
      <c r="B170" s="60" t="s">
        <v>142</v>
      </c>
      <c r="C170" s="61">
        <v>4728932.8299999991</v>
      </c>
      <c r="D170" s="61">
        <v>5465845.3499999987</v>
      </c>
      <c r="E170" s="61">
        <v>5293711.0299999984</v>
      </c>
      <c r="F170" s="61">
        <v>5251185.42</v>
      </c>
      <c r="G170" s="61">
        <v>5241860.6500000004</v>
      </c>
      <c r="H170" s="61">
        <v>5156957.0500000007</v>
      </c>
      <c r="I170" s="61">
        <v>5104935.8000000007</v>
      </c>
      <c r="J170" s="61">
        <v>4531228.97</v>
      </c>
      <c r="K170" s="61">
        <v>8276581.9999999991</v>
      </c>
      <c r="L170" s="61">
        <v>8231594.7499999991</v>
      </c>
      <c r="M170" s="61">
        <v>8353246.3199999994</v>
      </c>
      <c r="N170" s="61">
        <v>8989298.3399999999</v>
      </c>
    </row>
    <row r="171" spans="2:14" x14ac:dyDescent="0.2">
      <c r="B171" s="60" t="s">
        <v>189</v>
      </c>
      <c r="C171" s="61">
        <f>+C123</f>
        <v>9579588.0600000005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2:14" x14ac:dyDescent="0.2">
      <c r="B172" s="142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2:14" ht="13.5" thickBot="1" x14ac:dyDescent="0.25">
      <c r="B173" s="18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2:14" ht="13.5" thickBot="1" x14ac:dyDescent="0.25">
      <c r="B174" s="63" t="s">
        <v>150</v>
      </c>
      <c r="C174" s="64">
        <f>+C171-C170</f>
        <v>4850655.2300000014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</sheetData>
  <mergeCells count="2">
    <mergeCell ref="B151:N151"/>
    <mergeCell ref="B125:N125"/>
  </mergeCells>
  <phoneticPr fontId="0" type="noConversion"/>
  <printOptions horizontalCentered="1"/>
  <pageMargins left="0.5" right="0.5" top="0.91" bottom="0.7" header="0.41" footer="0.31"/>
  <pageSetup scale="55" fitToHeight="0" orientation="landscape" r:id="rId1"/>
  <headerFooter alignWithMargins="0">
    <oddHeader>&amp;C&amp;"Arial,Bold"&amp;18HCESD #29
2019 Bank Account Summary</oddHeader>
    <oddFooter>&amp;L&amp;8&amp;F
&amp;A&amp;C&amp;9&amp;P of &amp;N</oddFooter>
  </headerFooter>
  <rowBreaks count="2" manualBreakCount="2">
    <brk id="67" max="14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2019 YTD Cash Summary</vt:lpstr>
      <vt:lpstr>2019 Budget Year Report</vt:lpstr>
      <vt:lpstr>2019 Fire Operations Report</vt:lpstr>
      <vt:lpstr>Bank Acct Summary</vt:lpstr>
      <vt:lpstr>Cash Asset Summary Chart</vt:lpstr>
      <vt:lpstr>'2019 Budget Year Report'!Print_Area</vt:lpstr>
      <vt:lpstr>'2019 Fire Operations Report'!Print_Area</vt:lpstr>
      <vt:lpstr>'2019 YTD Cash Summary'!Print_Area</vt:lpstr>
      <vt:lpstr>'Bank Acct Summary'!Print_Area</vt:lpstr>
      <vt:lpstr>'2019 Budget Year Report'!Print_Titles</vt:lpstr>
      <vt:lpstr>'2019 YTD Cash Summary'!Print_Titles</vt:lpstr>
      <vt:lpstr>'Bank Acct Summary'!Print_Titles</vt:lpstr>
    </vt:vector>
  </TitlesOfParts>
  <Company>Independence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Coenen</dc:creator>
  <cp:lastModifiedBy>Dan Shelor</cp:lastModifiedBy>
  <cp:lastPrinted>2019-03-07T19:13:36Z</cp:lastPrinted>
  <dcterms:created xsi:type="dcterms:W3CDTF">2001-04-17T22:22:46Z</dcterms:created>
  <dcterms:modified xsi:type="dcterms:W3CDTF">2019-03-07T22:12:47Z</dcterms:modified>
</cp:coreProperties>
</file>