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Z:\Budget\2018\"/>
    </mc:Choice>
  </mc:AlternateContent>
  <xr:revisionPtr revIDLastSave="0" documentId="8_{040740D0-C4E3-4B4A-ACFA-926EC7942F6A}" xr6:coauthVersionLast="40" xr6:coauthVersionMax="40" xr10:uidLastSave="{00000000-0000-0000-0000-000000000000}"/>
  <bookViews>
    <workbookView xWindow="0" yWindow="0" windowWidth="21570" windowHeight="7920" tabRatio="637" xr2:uid="{00000000-000D-0000-FFFF-FFFF00000000}"/>
  </bookViews>
  <sheets>
    <sheet name="2018 YTD Cash Summary" sheetId="72" r:id="rId1"/>
    <sheet name="2018 Budget Year Report" sheetId="71" r:id="rId2"/>
    <sheet name="2018 Fire Operations Report" sheetId="70" r:id="rId3"/>
    <sheet name="Bank Acct Summary" sheetId="69" r:id="rId4"/>
    <sheet name="Cash Asset Summary Chart" sheetId="68" r:id="rId5"/>
  </sheets>
  <definedNames>
    <definedName name="_xlnm.Print_Area" localSheetId="1">'2018 Budget Year Report'!$A$2:$R$54</definedName>
    <definedName name="_xlnm.Print_Area" localSheetId="2">'2018 Fire Operations Report'!$A$1:$I$52</definedName>
    <definedName name="_xlnm.Print_Area" localSheetId="0">'2018 YTD Cash Summary'!$A$1:$R$58</definedName>
    <definedName name="_xlnm.Print_Area" localSheetId="3">'Bank Acct Summary'!$A$1:$O$173</definedName>
    <definedName name="_xlnm.Print_Titles" localSheetId="1">'2018 Budget Year Report'!$A:$A,'2018 Budget Year Report'!$1:$2</definedName>
    <definedName name="_xlnm.Print_Titles" localSheetId="0">'2018 YTD Cash Summary'!$A:$A</definedName>
    <definedName name="_xlnm.Print_Titles" localSheetId="3">'Bank Acct Summary'!$1:$1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90" i="69" l="1"/>
  <c r="E33" i="70"/>
  <c r="P24" i="72"/>
  <c r="P34" i="72"/>
  <c r="E41" i="70"/>
  <c r="E38" i="70"/>
  <c r="N5" i="69" l="1"/>
  <c r="P3" i="72"/>
  <c r="N98" i="69"/>
  <c r="N83" i="69"/>
  <c r="N113" i="69"/>
  <c r="N73" i="69"/>
  <c r="N72" i="69"/>
  <c r="N71" i="69"/>
  <c r="N64" i="69"/>
  <c r="N65" i="69"/>
  <c r="D33" i="70" l="1"/>
  <c r="C33" i="70"/>
  <c r="L79" i="69" l="1"/>
  <c r="L65" i="69"/>
  <c r="M65" i="69"/>
  <c r="L71" i="69"/>
  <c r="C107" i="69" l="1"/>
  <c r="D107" i="69"/>
  <c r="E102" i="69" s="1"/>
  <c r="E107" i="69" s="1"/>
  <c r="F102" i="69" s="1"/>
  <c r="F107" i="69" s="1"/>
  <c r="G102" i="69" s="1"/>
  <c r="G107" i="69" s="1"/>
  <c r="H102" i="69" s="1"/>
  <c r="H107" i="69" s="1"/>
  <c r="I102" i="69" s="1"/>
  <c r="I107" i="69" s="1"/>
  <c r="J102" i="69" s="1"/>
  <c r="J107" i="69" s="1"/>
  <c r="K102" i="69" s="1"/>
  <c r="K107" i="69" s="1"/>
  <c r="L102" i="69" s="1"/>
  <c r="L107" i="69" s="1"/>
  <c r="M102" i="69" s="1"/>
  <c r="M107" i="69" s="1"/>
  <c r="N102" i="69" s="1"/>
  <c r="N107" i="69" s="1"/>
  <c r="K5" i="69" l="1"/>
  <c r="K65" i="69"/>
  <c r="K79" i="69" l="1"/>
  <c r="I6" i="70" l="1"/>
  <c r="I7" i="70" l="1"/>
  <c r="I14" i="70"/>
  <c r="I11" i="70"/>
  <c r="J5" i="69" l="1"/>
  <c r="J90" i="69" l="1"/>
  <c r="J83" i="69"/>
  <c r="J79" i="69"/>
  <c r="J73" i="69"/>
  <c r="J71" i="69"/>
  <c r="J29" i="69"/>
  <c r="J28" i="72" l="1"/>
  <c r="H16" i="70"/>
  <c r="J3" i="72"/>
  <c r="J24" i="72"/>
  <c r="H14" i="70"/>
  <c r="I81" i="69" l="1"/>
  <c r="I43" i="69"/>
  <c r="I35" i="69"/>
  <c r="I29" i="69"/>
  <c r="I19" i="69" l="1"/>
  <c r="I14" i="69" l="1"/>
  <c r="I11" i="69"/>
  <c r="H5" i="69"/>
  <c r="H29" i="71" l="1"/>
  <c r="G11" i="70"/>
  <c r="G22" i="70"/>
  <c r="G8" i="70"/>
  <c r="H36" i="71"/>
  <c r="H24" i="71"/>
  <c r="H3" i="71"/>
  <c r="I25" i="70"/>
  <c r="G20" i="70"/>
  <c r="G14" i="70"/>
  <c r="J17" i="71" l="1"/>
  <c r="K16" i="72"/>
  <c r="H95" i="69"/>
  <c r="H50" i="69"/>
  <c r="H34" i="69"/>
  <c r="H14" i="69"/>
  <c r="H11" i="69"/>
  <c r="G29" i="71" l="1"/>
  <c r="G28" i="72"/>
  <c r="G36" i="71"/>
  <c r="G5" i="69"/>
  <c r="F11" i="70"/>
  <c r="F14" i="70"/>
  <c r="G14" i="69" l="1"/>
  <c r="G11" i="69"/>
  <c r="E11" i="70" l="1"/>
  <c r="E14" i="70"/>
  <c r="F36" i="71" l="1"/>
  <c r="F6" i="72" l="1"/>
  <c r="I6" i="72" s="1"/>
  <c r="F5" i="69"/>
  <c r="F9" i="71"/>
  <c r="F8" i="72" s="1"/>
  <c r="F3" i="71"/>
  <c r="F3" i="72" s="1"/>
  <c r="F58" i="69"/>
  <c r="F37" i="69"/>
  <c r="F14" i="69"/>
  <c r="F11" i="69"/>
  <c r="D17" i="70" l="1"/>
  <c r="E5" i="69"/>
  <c r="D22" i="72"/>
  <c r="D34" i="72"/>
  <c r="D16" i="70" l="1"/>
  <c r="D11" i="70"/>
  <c r="D14" i="70"/>
  <c r="E29" i="69" l="1"/>
  <c r="E19" i="69" l="1"/>
  <c r="E11" i="69"/>
  <c r="E14" i="69"/>
  <c r="Q131" i="69" l="1"/>
  <c r="C34" i="72" l="1"/>
  <c r="D5" i="69" l="1"/>
  <c r="C24" i="72"/>
  <c r="C11" i="70"/>
  <c r="C22" i="70"/>
  <c r="C14" i="70"/>
  <c r="C10" i="70"/>
  <c r="D19" i="69" l="1"/>
  <c r="D14" i="69"/>
  <c r="B11" i="70" l="1"/>
  <c r="B24" i="72"/>
  <c r="B14" i="70"/>
  <c r="B22" i="70"/>
  <c r="Q39" i="72"/>
  <c r="M39" i="72"/>
  <c r="I39" i="72"/>
  <c r="E39" i="72"/>
  <c r="Q38" i="72"/>
  <c r="M38" i="72"/>
  <c r="I38" i="72"/>
  <c r="E38" i="72"/>
  <c r="R39" i="72" l="1"/>
  <c r="R38" i="72"/>
  <c r="C5" i="69"/>
  <c r="O5" i="69" s="1"/>
  <c r="C22" i="69"/>
  <c r="C19" i="69"/>
  <c r="C23" i="69" s="1"/>
  <c r="D18" i="69" s="1"/>
  <c r="D23" i="69" s="1"/>
  <c r="E18" i="69" s="1"/>
  <c r="C11" i="69"/>
  <c r="C14" i="69"/>
  <c r="B20" i="70" l="1"/>
  <c r="M59" i="69"/>
  <c r="N55" i="69" s="1"/>
  <c r="N59" i="69" s="1"/>
  <c r="L59" i="69"/>
  <c r="J59" i="69"/>
  <c r="K55" i="69" s="1"/>
  <c r="K59" i="69" s="1"/>
  <c r="I59" i="69"/>
  <c r="N52" i="69"/>
  <c r="M52" i="69"/>
  <c r="N47" i="69" s="1"/>
  <c r="L52" i="69"/>
  <c r="J52" i="69"/>
  <c r="K47" i="69" s="1"/>
  <c r="K52" i="69" s="1"/>
  <c r="E23" i="69"/>
  <c r="F18" i="69" s="1"/>
  <c r="F23" i="69" s="1"/>
  <c r="G18" i="69" s="1"/>
  <c r="G23" i="69" s="1"/>
  <c r="H18" i="69" s="1"/>
  <c r="H23" i="69" s="1"/>
  <c r="I18" i="69" s="1"/>
  <c r="I23" i="69" s="1"/>
  <c r="J18" i="69" s="1"/>
  <c r="J23" i="69" s="1"/>
  <c r="K18" i="69" s="1"/>
  <c r="K23" i="69" s="1"/>
  <c r="L18" i="69" s="1"/>
  <c r="L23" i="69" s="1"/>
  <c r="M18" i="69" s="1"/>
  <c r="M23" i="69" s="1"/>
  <c r="N18" i="69" s="1"/>
  <c r="N23" i="69" s="1"/>
  <c r="N4" i="69"/>
  <c r="K4" i="69"/>
  <c r="G4" i="69"/>
  <c r="F4" i="69"/>
  <c r="E4" i="69"/>
  <c r="N3" i="69"/>
  <c r="N6" i="69" s="1"/>
  <c r="P8" i="72" s="1"/>
  <c r="M3" i="69"/>
  <c r="L3" i="69"/>
  <c r="K3" i="69"/>
  <c r="J3" i="69"/>
  <c r="J6" i="69" s="1"/>
  <c r="I3" i="69"/>
  <c r="H3" i="69"/>
  <c r="G3" i="69"/>
  <c r="F3" i="69"/>
  <c r="E3" i="69"/>
  <c r="K8" i="72" l="1"/>
  <c r="J9" i="71"/>
  <c r="K6" i="69"/>
  <c r="E6" i="69"/>
  <c r="D8" i="72" s="1"/>
  <c r="G6" i="69"/>
  <c r="F6" i="69"/>
  <c r="H6" i="69"/>
  <c r="L6" i="69"/>
  <c r="N8" i="72" s="1"/>
  <c r="N13" i="72" s="1"/>
  <c r="I6" i="69"/>
  <c r="J8" i="72" s="1"/>
  <c r="J13" i="72" s="1"/>
  <c r="M6" i="69"/>
  <c r="O8" i="72" s="1"/>
  <c r="F13" i="72"/>
  <c r="O41" i="71"/>
  <c r="Q41" i="71" s="1"/>
  <c r="R40" i="71"/>
  <c r="Q40" i="71"/>
  <c r="R28" i="71"/>
  <c r="Q28" i="71"/>
  <c r="R23" i="71"/>
  <c r="Q23" i="71"/>
  <c r="C1" i="70"/>
  <c r="D1" i="70" s="1"/>
  <c r="E1" i="70" s="1"/>
  <c r="F1" i="70" s="1"/>
  <c r="G1" i="70" s="1"/>
  <c r="H1" i="70" s="1"/>
  <c r="I1" i="70" s="1"/>
  <c r="B28" i="70" s="1"/>
  <c r="C28" i="70" s="1"/>
  <c r="D28" i="70" s="1"/>
  <c r="E28" i="70" s="1"/>
  <c r="D1" i="71"/>
  <c r="E1" i="71" s="1"/>
  <c r="F1" i="71" s="1"/>
  <c r="G1" i="71" s="1"/>
  <c r="H1" i="71" s="1"/>
  <c r="I1" i="71" s="1"/>
  <c r="J1" i="71" s="1"/>
  <c r="K1" i="71" s="1"/>
  <c r="L1" i="71" s="1"/>
  <c r="M1" i="71" s="1"/>
  <c r="N32" i="71"/>
  <c r="K32" i="71"/>
  <c r="J32" i="71"/>
  <c r="N14" i="71"/>
  <c r="L14" i="71"/>
  <c r="K14" i="71"/>
  <c r="J14" i="71"/>
  <c r="I14" i="71"/>
  <c r="H14" i="71"/>
  <c r="G14" i="71"/>
  <c r="F14" i="71"/>
  <c r="E14" i="71"/>
  <c r="P42" i="72"/>
  <c r="O42" i="72"/>
  <c r="N42" i="72"/>
  <c r="P13" i="72"/>
  <c r="L42" i="72"/>
  <c r="L30" i="72"/>
  <c r="L13" i="72"/>
  <c r="K42" i="72"/>
  <c r="K30" i="72"/>
  <c r="K13" i="72"/>
  <c r="J42" i="72"/>
  <c r="H42" i="72"/>
  <c r="H30" i="72"/>
  <c r="H13" i="72"/>
  <c r="G42" i="72"/>
  <c r="G30" i="72"/>
  <c r="G13" i="72"/>
  <c r="F42" i="72"/>
  <c r="F30" i="72"/>
  <c r="D42" i="72"/>
  <c r="D13" i="72"/>
  <c r="C42" i="72"/>
  <c r="C1" i="72"/>
  <c r="D1" i="72" s="1"/>
  <c r="F1" i="72" s="1"/>
  <c r="G1" i="72" s="1"/>
  <c r="H1" i="72" s="1"/>
  <c r="J1" i="72" s="1"/>
  <c r="K1" i="72" s="1"/>
  <c r="L1" i="72" s="1"/>
  <c r="N1" i="72" s="1"/>
  <c r="O1" i="72" s="1"/>
  <c r="P1" i="72" s="1"/>
  <c r="D1" i="69"/>
  <c r="E1" i="69" s="1"/>
  <c r="F1" i="69" s="1"/>
  <c r="G1" i="69" s="1"/>
  <c r="H1" i="69" s="1"/>
  <c r="I1" i="69" s="1"/>
  <c r="J1" i="69" s="1"/>
  <c r="K1" i="69" s="1"/>
  <c r="L1" i="69" s="1"/>
  <c r="M1" i="69" s="1"/>
  <c r="N1" i="69" s="1"/>
  <c r="O13" i="72" l="1"/>
  <c r="M9" i="71"/>
  <c r="M14" i="71" s="1"/>
  <c r="R41" i="71"/>
  <c r="J44" i="71"/>
  <c r="J51" i="71" s="1"/>
  <c r="J53" i="71" s="1"/>
  <c r="N44" i="71"/>
  <c r="N51" i="71" s="1"/>
  <c r="N53" i="71" s="1"/>
  <c r="K44" i="71"/>
  <c r="F44" i="72"/>
  <c r="F51" i="72" s="1"/>
  <c r="L44" i="72"/>
  <c r="L51" i="72" s="1"/>
  <c r="H44" i="72"/>
  <c r="H51" i="72" s="1"/>
  <c r="K44" i="72"/>
  <c r="K51" i="72" s="1"/>
  <c r="G44" i="72"/>
  <c r="G51" i="72" s="1"/>
  <c r="K53" i="71" l="1"/>
  <c r="K51" i="71"/>
  <c r="C75" i="69"/>
  <c r="D70" i="69" s="1"/>
  <c r="D75" i="69" s="1"/>
  <c r="E70" i="69" s="1"/>
  <c r="E75" i="69" s="1"/>
  <c r="F70" i="69" s="1"/>
  <c r="F75" i="69" s="1"/>
  <c r="G70" i="69" s="1"/>
  <c r="G75" i="69" s="1"/>
  <c r="H70" i="69" s="1"/>
  <c r="H75" i="69" s="1"/>
  <c r="I70" i="69" s="1"/>
  <c r="I75" i="69" s="1"/>
  <c r="J70" i="69" s="1"/>
  <c r="J75" i="69" s="1"/>
  <c r="K70" i="69" s="1"/>
  <c r="K75" i="69" s="1"/>
  <c r="L70" i="69" s="1"/>
  <c r="L75" i="69" s="1"/>
  <c r="M70" i="69" s="1"/>
  <c r="M75" i="69" s="1"/>
  <c r="N70" i="69" s="1"/>
  <c r="N75" i="69" s="1"/>
  <c r="C67" i="69"/>
  <c r="D62" i="69" s="1"/>
  <c r="D67" i="69" s="1"/>
  <c r="E62" i="69" s="1"/>
  <c r="E67" i="69" s="1"/>
  <c r="C99" i="69"/>
  <c r="D94" i="69" s="1"/>
  <c r="D99" i="69" s="1"/>
  <c r="E94" i="69" s="1"/>
  <c r="E99" i="69" s="1"/>
  <c r="F94" i="69" s="1"/>
  <c r="F99" i="69" s="1"/>
  <c r="G94" i="69" s="1"/>
  <c r="G99" i="69" s="1"/>
  <c r="H94" i="69" s="1"/>
  <c r="H99" i="69" s="1"/>
  <c r="I94" i="69" s="1"/>
  <c r="I99" i="69" s="1"/>
  <c r="J94" i="69" s="1"/>
  <c r="J99" i="69" s="1"/>
  <c r="K94" i="69" s="1"/>
  <c r="K99" i="69" s="1"/>
  <c r="L94" i="69" s="1"/>
  <c r="L99" i="69" s="1"/>
  <c r="M94" i="69" s="1"/>
  <c r="M99" i="69" s="1"/>
  <c r="N94" i="69" s="1"/>
  <c r="N99" i="69" s="1"/>
  <c r="C91" i="69"/>
  <c r="D87" i="69" s="1"/>
  <c r="D91" i="69" s="1"/>
  <c r="E87" i="69" s="1"/>
  <c r="E91" i="69" s="1"/>
  <c r="F87" i="69" s="1"/>
  <c r="F91" i="69" s="1"/>
  <c r="G87" i="69" s="1"/>
  <c r="G91" i="69" s="1"/>
  <c r="H87" i="69" s="1"/>
  <c r="H91" i="69" s="1"/>
  <c r="I87" i="69" s="1"/>
  <c r="I91" i="69" s="1"/>
  <c r="J87" i="69" s="1"/>
  <c r="J91" i="69" s="1"/>
  <c r="K87" i="69" s="1"/>
  <c r="K91" i="69" s="1"/>
  <c r="L87" i="69" s="1"/>
  <c r="L91" i="69" s="1"/>
  <c r="M87" i="69" s="1"/>
  <c r="M91" i="69" s="1"/>
  <c r="N87" i="69" s="1"/>
  <c r="N91" i="69" s="1"/>
  <c r="C84" i="69"/>
  <c r="D78" i="69" s="1"/>
  <c r="D84" i="69" s="1"/>
  <c r="E78" i="69" s="1"/>
  <c r="E84" i="69" s="1"/>
  <c r="F78" i="69" s="1"/>
  <c r="F84" i="69" s="1"/>
  <c r="G78" i="69" s="1"/>
  <c r="G84" i="69" s="1"/>
  <c r="H78" i="69" s="1"/>
  <c r="H84" i="69" s="1"/>
  <c r="I78" i="69" l="1"/>
  <c r="I84" i="69" s="1"/>
  <c r="J78" i="69" s="1"/>
  <c r="J84" i="69" s="1"/>
  <c r="K78" i="69" s="1"/>
  <c r="K84" i="69" s="1"/>
  <c r="L78" i="69" s="1"/>
  <c r="L84" i="69" s="1"/>
  <c r="M78" i="69" s="1"/>
  <c r="M84" i="69" s="1"/>
  <c r="N78" i="69" s="1"/>
  <c r="N84" i="69" s="1"/>
  <c r="F62" i="69"/>
  <c r="F67" i="69" s="1"/>
  <c r="E136" i="69"/>
  <c r="E139" i="69" s="1"/>
  <c r="D136" i="69"/>
  <c r="D139" i="69" s="1"/>
  <c r="C136" i="69"/>
  <c r="C139" i="69" s="1"/>
  <c r="F136" i="69" l="1"/>
  <c r="F139" i="69" s="1"/>
  <c r="G62" i="69"/>
  <c r="G67" i="69" s="1"/>
  <c r="Q27" i="72"/>
  <c r="G136" i="69" l="1"/>
  <c r="G139" i="69" s="1"/>
  <c r="H62" i="69"/>
  <c r="H67" i="69" s="1"/>
  <c r="C115" i="69"/>
  <c r="D110" i="69" s="1"/>
  <c r="I62" i="69" l="1"/>
  <c r="I67" i="69" s="1"/>
  <c r="H136" i="69"/>
  <c r="H139" i="69" s="1"/>
  <c r="M27" i="72"/>
  <c r="I136" i="69" l="1"/>
  <c r="I139" i="69" s="1"/>
  <c r="J62" i="69"/>
  <c r="J67" i="69" s="1"/>
  <c r="C52" i="69"/>
  <c r="D47" i="69" s="1"/>
  <c r="C59" i="69"/>
  <c r="D55" i="69" s="1"/>
  <c r="K62" i="69" l="1"/>
  <c r="K67" i="69" s="1"/>
  <c r="J136" i="69"/>
  <c r="J139" i="69" s="1"/>
  <c r="I27" i="72"/>
  <c r="K136" i="69" l="1"/>
  <c r="K139" i="69" s="1"/>
  <c r="L62" i="69"/>
  <c r="L67" i="69" s="1"/>
  <c r="O49" i="71"/>
  <c r="Q49" i="71" s="1"/>
  <c r="O25" i="71"/>
  <c r="Q47" i="72"/>
  <c r="M47" i="72"/>
  <c r="I47" i="72"/>
  <c r="E47" i="72"/>
  <c r="M62" i="69" l="1"/>
  <c r="M67" i="69" s="1"/>
  <c r="L136" i="69"/>
  <c r="L139" i="69" s="1"/>
  <c r="Q25" i="71"/>
  <c r="R25" i="71"/>
  <c r="R47" i="72"/>
  <c r="N62" i="69" l="1"/>
  <c r="N67" i="69" s="1"/>
  <c r="N136" i="69" s="1"/>
  <c r="N139" i="69" s="1"/>
  <c r="M136" i="69"/>
  <c r="M139" i="69" s="1"/>
  <c r="E27" i="72"/>
  <c r="R27" i="72" s="1"/>
  <c r="B25" i="70" l="1"/>
  <c r="C17" i="71" s="1"/>
  <c r="B16" i="72" s="1"/>
  <c r="D4" i="69"/>
  <c r="D6" i="69" s="1"/>
  <c r="Q26" i="72" l="1"/>
  <c r="M26" i="72"/>
  <c r="I26" i="72"/>
  <c r="E26" i="72"/>
  <c r="R26" i="72" l="1"/>
  <c r="P14" i="71"/>
  <c r="O3" i="71" l="1"/>
  <c r="Q3" i="71" s="1"/>
  <c r="O4" i="71"/>
  <c r="Q4" i="71" s="1"/>
  <c r="O5" i="71"/>
  <c r="Q5" i="71" s="1"/>
  <c r="O6" i="71"/>
  <c r="Q6" i="71" s="1"/>
  <c r="O7" i="71"/>
  <c r="Q7" i="71" s="1"/>
  <c r="O8" i="71"/>
  <c r="R8" i="71" s="1"/>
  <c r="O10" i="71"/>
  <c r="Q10" i="71" s="1"/>
  <c r="O11" i="71"/>
  <c r="O12" i="71"/>
  <c r="D14" i="71"/>
  <c r="O18" i="71"/>
  <c r="Q18" i="71" s="1"/>
  <c r="O19" i="71"/>
  <c r="O20" i="71"/>
  <c r="Q20" i="71" s="1"/>
  <c r="O21" i="71"/>
  <c r="Q21" i="71" s="1"/>
  <c r="O22" i="71"/>
  <c r="Q22" i="71" s="1"/>
  <c r="O24" i="71"/>
  <c r="Q24" i="71" s="1"/>
  <c r="O26" i="71"/>
  <c r="O27" i="71"/>
  <c r="Q27" i="71" s="1"/>
  <c r="O29" i="71"/>
  <c r="Q29" i="71" s="1"/>
  <c r="C32" i="71"/>
  <c r="P32" i="71"/>
  <c r="O35" i="71"/>
  <c r="O36" i="71"/>
  <c r="R36" i="71" s="1"/>
  <c r="O39" i="71"/>
  <c r="R39" i="71" s="1"/>
  <c r="O42" i="71"/>
  <c r="O47" i="71"/>
  <c r="R47" i="71" s="1"/>
  <c r="O48" i="71"/>
  <c r="R48" i="71" s="1"/>
  <c r="C25" i="70"/>
  <c r="D17" i="71" s="1"/>
  <c r="C16" i="72" s="1"/>
  <c r="C30" i="72" s="1"/>
  <c r="C44" i="72" s="1"/>
  <c r="C51" i="72" s="1"/>
  <c r="D25" i="70"/>
  <c r="E17" i="71" s="1"/>
  <c r="E25" i="70"/>
  <c r="F17" i="71" s="1"/>
  <c r="F32" i="71" s="1"/>
  <c r="F44" i="71" s="1"/>
  <c r="F51" i="71" s="1"/>
  <c r="F53" i="71" s="1"/>
  <c r="F25" i="70"/>
  <c r="G17" i="71" s="1"/>
  <c r="G32" i="71" s="1"/>
  <c r="G44" i="71" s="1"/>
  <c r="G51" i="71" s="1"/>
  <c r="G53" i="71" s="1"/>
  <c r="G25" i="70"/>
  <c r="H17" i="71" s="1"/>
  <c r="H32" i="71" s="1"/>
  <c r="H44" i="71" s="1"/>
  <c r="H51" i="71" s="1"/>
  <c r="H53" i="71" s="1"/>
  <c r="H25" i="70"/>
  <c r="F31" i="70"/>
  <c r="H31" i="70" s="1"/>
  <c r="F32" i="70"/>
  <c r="I32" i="70" s="1"/>
  <c r="F33" i="70"/>
  <c r="H33" i="70" s="1"/>
  <c r="F34" i="70"/>
  <c r="H34" i="70" s="1"/>
  <c r="F35" i="70"/>
  <c r="H35" i="70" s="1"/>
  <c r="F36" i="70"/>
  <c r="H36" i="70" s="1"/>
  <c r="F37" i="70"/>
  <c r="H37" i="70" s="1"/>
  <c r="F38" i="70"/>
  <c r="H38" i="70" s="1"/>
  <c r="F39" i="70"/>
  <c r="I39" i="70" s="1"/>
  <c r="F40" i="70"/>
  <c r="H40" i="70" s="1"/>
  <c r="F41" i="70"/>
  <c r="H41" i="70" s="1"/>
  <c r="F42" i="70"/>
  <c r="I42" i="70" s="1"/>
  <c r="F43" i="70"/>
  <c r="H43" i="70" s="1"/>
  <c r="F44" i="70"/>
  <c r="H44" i="70" s="1"/>
  <c r="F45" i="70"/>
  <c r="H45" i="70" s="1"/>
  <c r="F46" i="70"/>
  <c r="I46" i="70" s="1"/>
  <c r="F47" i="70"/>
  <c r="I47" i="70" s="1"/>
  <c r="F48" i="70"/>
  <c r="I48" i="70" s="1"/>
  <c r="F49" i="70"/>
  <c r="H49" i="70" s="1"/>
  <c r="F50" i="70"/>
  <c r="H50" i="70" s="1"/>
  <c r="B52" i="70"/>
  <c r="C52" i="70"/>
  <c r="D52" i="70"/>
  <c r="E52" i="70"/>
  <c r="P16" i="72" s="1"/>
  <c r="P30" i="72" s="1"/>
  <c r="P44" i="72" s="1"/>
  <c r="P51" i="72" s="1"/>
  <c r="G52" i="70"/>
  <c r="E3" i="72"/>
  <c r="I3" i="72"/>
  <c r="M3" i="72"/>
  <c r="Q3" i="72"/>
  <c r="E4" i="72"/>
  <c r="I4" i="72"/>
  <c r="M4" i="72"/>
  <c r="Q4" i="72"/>
  <c r="E5" i="72"/>
  <c r="I5" i="72"/>
  <c r="M5" i="72"/>
  <c r="Q5" i="72"/>
  <c r="E6" i="72"/>
  <c r="M6" i="72"/>
  <c r="Q6" i="72"/>
  <c r="E7" i="72"/>
  <c r="I7" i="72"/>
  <c r="M7" i="72"/>
  <c r="Q7" i="72"/>
  <c r="M8" i="72"/>
  <c r="Q8" i="72"/>
  <c r="E9" i="72"/>
  <c r="I9" i="72"/>
  <c r="M9" i="72"/>
  <c r="Q9" i="72"/>
  <c r="E10" i="72"/>
  <c r="I10" i="72"/>
  <c r="M10" i="72"/>
  <c r="Q10" i="72"/>
  <c r="E11" i="72"/>
  <c r="I11" i="72"/>
  <c r="M11" i="72"/>
  <c r="Q11" i="72"/>
  <c r="E17" i="72"/>
  <c r="I17" i="72"/>
  <c r="M17" i="72"/>
  <c r="Q17" i="72"/>
  <c r="E18" i="72"/>
  <c r="I18" i="72"/>
  <c r="M18" i="72"/>
  <c r="Q18" i="72"/>
  <c r="E19" i="72"/>
  <c r="I19" i="72"/>
  <c r="M19" i="72"/>
  <c r="Q19" i="72"/>
  <c r="E20" i="72"/>
  <c r="I20" i="72"/>
  <c r="M20" i="72"/>
  <c r="Q20" i="72"/>
  <c r="E21" i="72"/>
  <c r="I21" i="72"/>
  <c r="M21" i="72"/>
  <c r="Q21" i="72"/>
  <c r="E22" i="72"/>
  <c r="I22" i="72"/>
  <c r="M22" i="72"/>
  <c r="Q22" i="72"/>
  <c r="E23" i="72"/>
  <c r="I23" i="72"/>
  <c r="M23" i="72"/>
  <c r="Q23" i="72"/>
  <c r="E24" i="72"/>
  <c r="I24" i="72"/>
  <c r="M24" i="72"/>
  <c r="Q24" i="72"/>
  <c r="E25" i="72"/>
  <c r="I25" i="72"/>
  <c r="M25" i="72"/>
  <c r="Q25" i="72"/>
  <c r="E28" i="72"/>
  <c r="I28" i="72"/>
  <c r="M28" i="72"/>
  <c r="Q28" i="72"/>
  <c r="B30" i="72"/>
  <c r="E33" i="72"/>
  <c r="I33" i="72"/>
  <c r="M33" i="72"/>
  <c r="Q33" i="72"/>
  <c r="E34" i="72"/>
  <c r="I34" i="72"/>
  <c r="M34" i="72"/>
  <c r="Q34" i="72"/>
  <c r="E37" i="72"/>
  <c r="I37" i="72"/>
  <c r="M37" i="72"/>
  <c r="Q37" i="72"/>
  <c r="E40" i="72"/>
  <c r="I40" i="72"/>
  <c r="M40" i="72"/>
  <c r="Q40" i="72"/>
  <c r="B42" i="72"/>
  <c r="E48" i="72"/>
  <c r="I48" i="72"/>
  <c r="M48" i="72"/>
  <c r="Q48" i="72"/>
  <c r="E49" i="72"/>
  <c r="I49" i="72"/>
  <c r="M49" i="72"/>
  <c r="Q49" i="72"/>
  <c r="C3" i="69"/>
  <c r="C4" i="69"/>
  <c r="O4" i="69" s="1"/>
  <c r="C8" i="72"/>
  <c r="C13" i="72" s="1"/>
  <c r="I8" i="72"/>
  <c r="C15" i="69"/>
  <c r="D10" i="69" s="1"/>
  <c r="C30" i="69"/>
  <c r="D26" i="69" s="1"/>
  <c r="C38" i="69"/>
  <c r="D33" i="69" s="1"/>
  <c r="C44" i="69"/>
  <c r="D41" i="69" s="1"/>
  <c r="C121" i="69"/>
  <c r="D118" i="69" s="1"/>
  <c r="L17" i="71" l="1"/>
  <c r="L32" i="71" s="1"/>
  <c r="L44" i="71" s="1"/>
  <c r="L51" i="71" s="1"/>
  <c r="L53" i="71" s="1"/>
  <c r="N16" i="72"/>
  <c r="N30" i="72" s="1"/>
  <c r="N44" i="72" s="1"/>
  <c r="N51" i="72" s="1"/>
  <c r="M17" i="71"/>
  <c r="M32" i="71" s="1"/>
  <c r="M44" i="71" s="1"/>
  <c r="M51" i="71" s="1"/>
  <c r="M53" i="71" s="1"/>
  <c r="O16" i="72"/>
  <c r="O30" i="72" s="1"/>
  <c r="O44" i="72" s="1"/>
  <c r="O51" i="72" s="1"/>
  <c r="O53" i="72" s="1"/>
  <c r="I17" i="71"/>
  <c r="I32" i="71" s="1"/>
  <c r="I44" i="71" s="1"/>
  <c r="I51" i="71" s="1"/>
  <c r="I53" i="71" s="1"/>
  <c r="J16" i="72"/>
  <c r="C44" i="71"/>
  <c r="C51" i="71" s="1"/>
  <c r="D32" i="71"/>
  <c r="C6" i="69"/>
  <c r="C9" i="71" s="1"/>
  <c r="O9" i="71" s="1"/>
  <c r="Q9" i="71" s="1"/>
  <c r="D16" i="72"/>
  <c r="E32" i="71"/>
  <c r="E44" i="71" s="1"/>
  <c r="E51" i="71" s="1"/>
  <c r="E53" i="71" s="1"/>
  <c r="C123" i="69"/>
  <c r="C170" i="69" s="1"/>
  <c r="C173" i="69" s="1"/>
  <c r="O3" i="69"/>
  <c r="O6" i="69" s="1"/>
  <c r="D115" i="69"/>
  <c r="D52" i="69"/>
  <c r="E47" i="69" s="1"/>
  <c r="E52" i="69" s="1"/>
  <c r="F47" i="69" s="1"/>
  <c r="F52" i="69" s="1"/>
  <c r="G47" i="69" s="1"/>
  <c r="G52" i="69" s="1"/>
  <c r="H47" i="69" s="1"/>
  <c r="H52" i="69" s="1"/>
  <c r="I47" i="69" s="1"/>
  <c r="I52" i="69" s="1"/>
  <c r="D38" i="69"/>
  <c r="E33" i="69" s="1"/>
  <c r="E38" i="69" s="1"/>
  <c r="F33" i="69" s="1"/>
  <c r="F38" i="69" s="1"/>
  <c r="G33" i="69" s="1"/>
  <c r="G38" i="69" s="1"/>
  <c r="H33" i="69" s="1"/>
  <c r="H38" i="69" s="1"/>
  <c r="I33" i="69" s="1"/>
  <c r="I38" i="69" s="1"/>
  <c r="J33" i="69" s="1"/>
  <c r="J38" i="69" s="1"/>
  <c r="K33" i="69" s="1"/>
  <c r="K38" i="69" s="1"/>
  <c r="L33" i="69" s="1"/>
  <c r="L38" i="69" s="1"/>
  <c r="M33" i="69" s="1"/>
  <c r="M38" i="69" s="1"/>
  <c r="N33" i="69" s="1"/>
  <c r="N38" i="69" s="1"/>
  <c r="D121" i="69"/>
  <c r="E118" i="69" s="1"/>
  <c r="E121" i="69" s="1"/>
  <c r="F118" i="69" s="1"/>
  <c r="F121" i="69" s="1"/>
  <c r="D59" i="69"/>
  <c r="E55" i="69" s="1"/>
  <c r="E59" i="69" s="1"/>
  <c r="F55" i="69" s="1"/>
  <c r="F59" i="69" s="1"/>
  <c r="G55" i="69" s="1"/>
  <c r="G59" i="69" s="1"/>
  <c r="H55" i="69" s="1"/>
  <c r="H59" i="69" s="1"/>
  <c r="D44" i="69"/>
  <c r="E41" i="69" s="1"/>
  <c r="E44" i="69" s="1"/>
  <c r="F41" i="69" s="1"/>
  <c r="F44" i="69" s="1"/>
  <c r="G41" i="69" s="1"/>
  <c r="G44" i="69" s="1"/>
  <c r="H41" i="69" s="1"/>
  <c r="H44" i="69" s="1"/>
  <c r="I41" i="69" s="1"/>
  <c r="I44" i="69" s="1"/>
  <c r="J41" i="69" s="1"/>
  <c r="J44" i="69" s="1"/>
  <c r="K41" i="69" s="1"/>
  <c r="K44" i="69" s="1"/>
  <c r="L41" i="69" s="1"/>
  <c r="L44" i="69" s="1"/>
  <c r="M41" i="69" s="1"/>
  <c r="M44" i="69" s="1"/>
  <c r="N41" i="69" s="1"/>
  <c r="N44" i="69" s="1"/>
  <c r="D15" i="69"/>
  <c r="E10" i="69" s="1"/>
  <c r="E15" i="69" s="1"/>
  <c r="H47" i="70"/>
  <c r="Q26" i="71"/>
  <c r="R4" i="71"/>
  <c r="Q19" i="71"/>
  <c r="R19" i="71"/>
  <c r="P44" i="71"/>
  <c r="P51" i="71" s="1"/>
  <c r="B44" i="72"/>
  <c r="B51" i="72" s="1"/>
  <c r="Q35" i="71"/>
  <c r="R35" i="71"/>
  <c r="Q12" i="71"/>
  <c r="Q11" i="71"/>
  <c r="P53" i="72"/>
  <c r="H46" i="70"/>
  <c r="F53" i="72"/>
  <c r="R21" i="72"/>
  <c r="R17" i="72"/>
  <c r="I43" i="70"/>
  <c r="H32" i="70"/>
  <c r="I31" i="70"/>
  <c r="Q42" i="71"/>
  <c r="L53" i="72"/>
  <c r="H42" i="70"/>
  <c r="I36" i="70"/>
  <c r="C147" i="69"/>
  <c r="C149" i="69" s="1"/>
  <c r="C130" i="69"/>
  <c r="C133" i="69" s="1"/>
  <c r="Q48" i="71"/>
  <c r="Q47" i="71"/>
  <c r="Q39" i="71"/>
  <c r="R24" i="71"/>
  <c r="R20" i="71"/>
  <c r="R7" i="71"/>
  <c r="Q8" i="71"/>
  <c r="E42" i="72"/>
  <c r="Q42" i="72"/>
  <c r="R40" i="72"/>
  <c r="R33" i="72"/>
  <c r="I16" i="72"/>
  <c r="I30" i="72" s="1"/>
  <c r="R49" i="72"/>
  <c r="I42" i="72"/>
  <c r="R10" i="72"/>
  <c r="R6" i="72"/>
  <c r="R48" i="72"/>
  <c r="R24" i="72"/>
  <c r="R23" i="72"/>
  <c r="R28" i="72"/>
  <c r="R19" i="72"/>
  <c r="K53" i="72"/>
  <c r="R9" i="72"/>
  <c r="R5" i="72"/>
  <c r="I49" i="70"/>
  <c r="H48" i="70"/>
  <c r="H39" i="70"/>
  <c r="I34" i="70"/>
  <c r="Q36" i="71"/>
  <c r="R29" i="71"/>
  <c r="R22" i="71"/>
  <c r="R21" i="71"/>
  <c r="R18" i="71"/>
  <c r="R6" i="71"/>
  <c r="R5" i="71"/>
  <c r="R3" i="71"/>
  <c r="R37" i="72"/>
  <c r="R25" i="72"/>
  <c r="R22" i="72"/>
  <c r="R20" i="72"/>
  <c r="R18" i="72"/>
  <c r="R11" i="72"/>
  <c r="R7" i="72"/>
  <c r="R4" i="72"/>
  <c r="R3" i="72"/>
  <c r="I45" i="70"/>
  <c r="I44" i="70"/>
  <c r="I41" i="70"/>
  <c r="I40" i="70"/>
  <c r="I38" i="70"/>
  <c r="I37" i="70"/>
  <c r="I35" i="70"/>
  <c r="I33" i="70"/>
  <c r="C142" i="69"/>
  <c r="C144" i="69" s="1"/>
  <c r="D30" i="69"/>
  <c r="E26" i="69" s="1"/>
  <c r="E30" i="69" s="1"/>
  <c r="F26" i="69" s="1"/>
  <c r="F30" i="69" s="1"/>
  <c r="G26" i="69" s="1"/>
  <c r="G30" i="69" s="1"/>
  <c r="H26" i="69" s="1"/>
  <c r="H30" i="69" s="1"/>
  <c r="I26" i="69" s="1"/>
  <c r="I30" i="69" s="1"/>
  <c r="J26" i="69" s="1"/>
  <c r="J30" i="69" s="1"/>
  <c r="K26" i="69" s="1"/>
  <c r="K30" i="69" s="1"/>
  <c r="L26" i="69" s="1"/>
  <c r="L30" i="69" s="1"/>
  <c r="M26" i="69" s="1"/>
  <c r="M30" i="69" s="1"/>
  <c r="N26" i="69" s="1"/>
  <c r="N30" i="69" s="1"/>
  <c r="R34" i="72"/>
  <c r="Q13" i="72"/>
  <c r="M13" i="72"/>
  <c r="I13" i="72"/>
  <c r="F52" i="70"/>
  <c r="I52" i="70" s="1"/>
  <c r="M42" i="72"/>
  <c r="G53" i="72"/>
  <c r="I50" i="70"/>
  <c r="O17" i="71" l="1"/>
  <c r="O32" i="71" s="1"/>
  <c r="R32" i="71" s="1"/>
  <c r="J30" i="72"/>
  <c r="J44" i="72" s="1"/>
  <c r="J51" i="72" s="1"/>
  <c r="J53" i="72" s="1"/>
  <c r="M53" i="72" s="1"/>
  <c r="M16" i="72"/>
  <c r="M30" i="72" s="1"/>
  <c r="M44" i="72" s="1"/>
  <c r="M51" i="72" s="1"/>
  <c r="R9" i="71"/>
  <c r="G118" i="69"/>
  <c r="G121" i="69" s="1"/>
  <c r="B8" i="72"/>
  <c r="E8" i="72" s="1"/>
  <c r="D44" i="71"/>
  <c r="D51" i="71" s="1"/>
  <c r="D53" i="71" s="1"/>
  <c r="O14" i="71"/>
  <c r="Q14" i="71" s="1"/>
  <c r="D142" i="69"/>
  <c r="D144" i="69" s="1"/>
  <c r="E110" i="69"/>
  <c r="E115" i="69" s="1"/>
  <c r="F110" i="69" s="1"/>
  <c r="F115" i="69" s="1"/>
  <c r="G110" i="69" s="1"/>
  <c r="G115" i="69" s="1"/>
  <c r="H110" i="69" s="1"/>
  <c r="H115" i="69" s="1"/>
  <c r="I110" i="69" s="1"/>
  <c r="I115" i="69" s="1"/>
  <c r="J110" i="69" s="1"/>
  <c r="J115" i="69" s="1"/>
  <c r="K110" i="69" s="1"/>
  <c r="K115" i="69" s="1"/>
  <c r="L110" i="69" s="1"/>
  <c r="L115" i="69" s="1"/>
  <c r="M110" i="69" s="1"/>
  <c r="M115" i="69" s="1"/>
  <c r="N110" i="69" s="1"/>
  <c r="N115" i="69" s="1"/>
  <c r="F10" i="69"/>
  <c r="F15" i="69" s="1"/>
  <c r="G10" i="69" s="1"/>
  <c r="G15" i="69" s="1"/>
  <c r="E130" i="69"/>
  <c r="C14" i="71"/>
  <c r="C53" i="71" s="1"/>
  <c r="D30" i="72"/>
  <c r="D44" i="72" s="1"/>
  <c r="D51" i="72" s="1"/>
  <c r="D53" i="72" s="1"/>
  <c r="E16" i="72"/>
  <c r="E30" i="72" s="1"/>
  <c r="E44" i="72" s="1"/>
  <c r="E51" i="72" s="1"/>
  <c r="D123" i="69"/>
  <c r="D170" i="69" s="1"/>
  <c r="D173" i="69" s="1"/>
  <c r="N53" i="72"/>
  <c r="Q16" i="72"/>
  <c r="Q30" i="72" s="1"/>
  <c r="Q44" i="72" s="1"/>
  <c r="Q51" i="72" s="1"/>
  <c r="D147" i="69"/>
  <c r="D149" i="69" s="1"/>
  <c r="C53" i="72"/>
  <c r="D130" i="69"/>
  <c r="D133" i="69" s="1"/>
  <c r="B58" i="72"/>
  <c r="C57" i="72" s="1"/>
  <c r="P53" i="71"/>
  <c r="I44" i="72"/>
  <c r="I51" i="72" s="1"/>
  <c r="H53" i="72"/>
  <c r="H52" i="70"/>
  <c r="R42" i="72"/>
  <c r="B13" i="72"/>
  <c r="B53" i="72" s="1"/>
  <c r="B63" i="72" s="1"/>
  <c r="Q32" i="71" l="1"/>
  <c r="O44" i="71"/>
  <c r="O51" i="71" s="1"/>
  <c r="O53" i="71" s="1"/>
  <c r="Q53" i="71" s="1"/>
  <c r="R17" i="71"/>
  <c r="Q17" i="71"/>
  <c r="G123" i="69"/>
  <c r="G170" i="69" s="1"/>
  <c r="G173" i="69" s="1"/>
  <c r="H118" i="69"/>
  <c r="H121" i="69" s="1"/>
  <c r="I118" i="69" s="1"/>
  <c r="I121" i="69" s="1"/>
  <c r="J118" i="69" s="1"/>
  <c r="J121" i="69" s="1"/>
  <c r="K118" i="69" s="1"/>
  <c r="K121" i="69" s="1"/>
  <c r="L118" i="69" s="1"/>
  <c r="L121" i="69" s="1"/>
  <c r="M118" i="69" s="1"/>
  <c r="M121" i="69" s="1"/>
  <c r="N118" i="69" s="1"/>
  <c r="N121" i="69" s="1"/>
  <c r="G130" i="69"/>
  <c r="H10" i="69"/>
  <c r="H15" i="69" s="1"/>
  <c r="E123" i="69"/>
  <c r="E170" i="69" s="1"/>
  <c r="E173" i="69" s="1"/>
  <c r="R14" i="71"/>
  <c r="F130" i="69"/>
  <c r="F123" i="69"/>
  <c r="F170" i="69" s="1"/>
  <c r="F173" i="69" s="1"/>
  <c r="E142" i="69"/>
  <c r="E144" i="69" s="1"/>
  <c r="R16" i="72"/>
  <c r="R30" i="72" s="1"/>
  <c r="R44" i="72" s="1"/>
  <c r="R51" i="72" s="1"/>
  <c r="F142" i="69"/>
  <c r="F144" i="69" s="1"/>
  <c r="E147" i="69"/>
  <c r="E149" i="69" s="1"/>
  <c r="C63" i="72"/>
  <c r="E133" i="69"/>
  <c r="B65" i="72"/>
  <c r="C58" i="72"/>
  <c r="R8" i="72"/>
  <c r="R13" i="72" s="1"/>
  <c r="E13" i="72"/>
  <c r="Q44" i="71" l="1"/>
  <c r="Q51" i="71" s="1"/>
  <c r="R44" i="71"/>
  <c r="I10" i="69"/>
  <c r="I15" i="69" s="1"/>
  <c r="J10" i="69" s="1"/>
  <c r="J15" i="69" s="1"/>
  <c r="H130" i="69"/>
  <c r="H123" i="69"/>
  <c r="H170" i="69" s="1"/>
  <c r="H173" i="69" s="1"/>
  <c r="C65" i="72"/>
  <c r="G142" i="69"/>
  <c r="G144" i="69" s="1"/>
  <c r="F147" i="69"/>
  <c r="F149" i="69" s="1"/>
  <c r="F133" i="69"/>
  <c r="D58" i="72"/>
  <c r="F57" i="72" s="1"/>
  <c r="F63" i="72" s="1"/>
  <c r="R51" i="71"/>
  <c r="R53" i="72"/>
  <c r="R63" i="72" s="1"/>
  <c r="D57" i="72"/>
  <c r="D63" i="72" s="1"/>
  <c r="K10" i="69" l="1"/>
  <c r="K15" i="69" s="1"/>
  <c r="J130" i="69"/>
  <c r="J123" i="69"/>
  <c r="J170" i="69" s="1"/>
  <c r="J173" i="69" s="1"/>
  <c r="I130" i="69"/>
  <c r="I123" i="69"/>
  <c r="I170" i="69" s="1"/>
  <c r="I173" i="69" s="1"/>
  <c r="G147" i="69"/>
  <c r="G149" i="69" s="1"/>
  <c r="H142" i="69"/>
  <c r="H144" i="69" s="1"/>
  <c r="D65" i="72"/>
  <c r="R65" i="72"/>
  <c r="F58" i="72"/>
  <c r="G57" i="72" s="1"/>
  <c r="G63" i="72" s="1"/>
  <c r="L10" i="69" l="1"/>
  <c r="L15" i="69" s="1"/>
  <c r="K123" i="69"/>
  <c r="K170" i="69" s="1"/>
  <c r="K173" i="69" s="1"/>
  <c r="K130" i="69"/>
  <c r="G133" i="69"/>
  <c r="H147" i="69"/>
  <c r="H149" i="69" s="1"/>
  <c r="I142" i="69"/>
  <c r="I144" i="69" s="1"/>
  <c r="F65" i="72"/>
  <c r="M10" i="69" l="1"/>
  <c r="M15" i="69" s="1"/>
  <c r="L123" i="69"/>
  <c r="L170" i="69" s="1"/>
  <c r="L173" i="69" s="1"/>
  <c r="L130" i="69"/>
  <c r="G58" i="72"/>
  <c r="G65" i="72" s="1"/>
  <c r="I147" i="69"/>
  <c r="I149" i="69" s="1"/>
  <c r="J142" i="69"/>
  <c r="J144" i="69" s="1"/>
  <c r="N10" i="69" l="1"/>
  <c r="N15" i="69" s="1"/>
  <c r="M130" i="69"/>
  <c r="M123" i="69"/>
  <c r="M170" i="69" s="1"/>
  <c r="M173" i="69" s="1"/>
  <c r="H57" i="72"/>
  <c r="H63" i="72" s="1"/>
  <c r="K142" i="69"/>
  <c r="K144" i="69" s="1"/>
  <c r="J147" i="69"/>
  <c r="J149" i="69" s="1"/>
  <c r="N123" i="69" l="1"/>
  <c r="N170" i="69" s="1"/>
  <c r="N173" i="69" s="1"/>
  <c r="N130" i="69"/>
  <c r="L142" i="69"/>
  <c r="L144" i="69" s="1"/>
  <c r="K147" i="69"/>
  <c r="K149" i="69" s="1"/>
  <c r="M142" i="69" l="1"/>
  <c r="M144" i="69" s="1"/>
  <c r="N142" i="69"/>
  <c r="N144" i="69" s="1"/>
  <c r="L147" i="69"/>
  <c r="L149" i="69" s="1"/>
  <c r="M147" i="69" l="1"/>
  <c r="M149" i="69" s="1"/>
  <c r="N147" i="69"/>
  <c r="N149" i="69" s="1"/>
  <c r="H58" i="72" l="1"/>
  <c r="H65" i="72" s="1"/>
  <c r="H133" i="69"/>
  <c r="I133" i="69" l="1"/>
  <c r="J58" i="72"/>
  <c r="K57" i="72" s="1"/>
  <c r="K63" i="72" s="1"/>
  <c r="J133" i="69"/>
  <c r="K133" i="69"/>
  <c r="J57" i="72"/>
  <c r="J63" i="72" s="1"/>
  <c r="K58" i="72" l="1"/>
  <c r="L57" i="72" s="1"/>
  <c r="L63" i="72" s="1"/>
  <c r="L133" i="69"/>
  <c r="L58" i="72"/>
  <c r="N57" i="72" s="1"/>
  <c r="N63" i="72" s="1"/>
  <c r="J65" i="72"/>
  <c r="N133" i="69" l="1"/>
  <c r="K65" i="72"/>
  <c r="L65" i="72"/>
  <c r="M133" i="69"/>
  <c r="N58" i="72"/>
  <c r="P58" i="72" l="1"/>
  <c r="O58" i="72"/>
  <c r="P57" i="72" s="1"/>
  <c r="P63" i="72" s="1"/>
  <c r="O57" i="72"/>
  <c r="O63" i="72" s="1"/>
  <c r="N65" i="72"/>
  <c r="P65" i="72" l="1"/>
  <c r="O65" i="72"/>
  <c r="O67" i="72" s="1"/>
</calcChain>
</file>

<file path=xl/sharedStrings.xml><?xml version="1.0" encoding="utf-8"?>
<sst xmlns="http://schemas.openxmlformats.org/spreadsheetml/2006/main" count="331" uniqueCount="175">
  <si>
    <t>Income</t>
  </si>
  <si>
    <t>Total Income</t>
  </si>
  <si>
    <t>CASH POSITION CHANGE</t>
  </si>
  <si>
    <t>Opening Balance</t>
  </si>
  <si>
    <t>Closing Balance</t>
  </si>
  <si>
    <t>Tax Penalty &amp; Interest</t>
  </si>
  <si>
    <t>Tax Prep &amp; Publishing</t>
  </si>
  <si>
    <t>Legal Fees</t>
  </si>
  <si>
    <t>Audit Fees</t>
  </si>
  <si>
    <t>Tax Revenue (MM Acct)</t>
  </si>
  <si>
    <t>YTD % of Budget</t>
  </si>
  <si>
    <t>Revenue</t>
  </si>
  <si>
    <t>Bank Interest</t>
  </si>
  <si>
    <t>Tax Preparation/ Publishing</t>
  </si>
  <si>
    <t>Audit Fee</t>
  </si>
  <si>
    <t>Notes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</si>
  <si>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</si>
  <si>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</si>
  <si>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</si>
  <si>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</si>
  <si>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</si>
  <si>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</si>
  <si>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</si>
  <si>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</si>
  <si>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</si>
  <si>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</si>
  <si>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</si>
  <si>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</si>
  <si>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2004</t>
  </si>
  <si>
    <t>2005</t>
  </si>
  <si>
    <t>2006</t>
  </si>
  <si>
    <t>(Harris Co. Tax Collection Fees)</t>
  </si>
  <si>
    <t>(Harris County Fee)</t>
  </si>
  <si>
    <t>2007</t>
  </si>
  <si>
    <t>Interest</t>
  </si>
  <si>
    <t>Deposits</t>
  </si>
  <si>
    <t>Description</t>
  </si>
  <si>
    <t>Interest Income</t>
  </si>
  <si>
    <t>Amegy Bank - MM Acct</t>
  </si>
  <si>
    <t>Total</t>
  </si>
  <si>
    <t>2008</t>
  </si>
  <si>
    <t>Bank Interest (See Summary)</t>
  </si>
  <si>
    <t>Cash Assets:</t>
  </si>
  <si>
    <t>Administrative Services</t>
  </si>
  <si>
    <t>2009</t>
  </si>
  <si>
    <t>HCAD Charges</t>
  </si>
  <si>
    <t>Financing Expenditures</t>
  </si>
  <si>
    <t>Operating Expenditures</t>
  </si>
  <si>
    <t>Total Budget Year Revenue</t>
  </si>
  <si>
    <t>Excess/(Deficiency) of Revenue less Expenditures</t>
  </si>
  <si>
    <t>Other Financing Sources</t>
  </si>
  <si>
    <t>Oper. Expend. (HCESD#11)</t>
  </si>
  <si>
    <t>ESD #29 Expenditures</t>
  </si>
  <si>
    <t>Total Cash Assets</t>
  </si>
  <si>
    <t>Total Current Cash Assets</t>
  </si>
  <si>
    <t>Total Operating Expenditures</t>
  </si>
  <si>
    <t>Total Expenditures</t>
  </si>
  <si>
    <t>2010</t>
  </si>
  <si>
    <t>Transferred From MMA Account</t>
  </si>
  <si>
    <t>Bank Charges/Misc.</t>
  </si>
  <si>
    <t>CESD Fire Operations Expense</t>
  </si>
  <si>
    <t>YTD Budget Remaining</t>
  </si>
  <si>
    <t>Commuications</t>
  </si>
  <si>
    <t>Computer Network</t>
  </si>
  <si>
    <t>Payroll</t>
  </si>
  <si>
    <t>Equipment</t>
  </si>
  <si>
    <t>Insurance</t>
  </si>
  <si>
    <t>Maintenance</t>
  </si>
  <si>
    <t>Medical Supplies</t>
  </si>
  <si>
    <t>Medical Physicals</t>
  </si>
  <si>
    <t>Supplies</t>
  </si>
  <si>
    <t>Subscriptions/Dues</t>
  </si>
  <si>
    <t>Training</t>
  </si>
  <si>
    <t>Utilities</t>
  </si>
  <si>
    <t>Fire Gear</t>
  </si>
  <si>
    <t>Uniforms</t>
  </si>
  <si>
    <t>Public Relations</t>
  </si>
  <si>
    <t>Fuel</t>
  </si>
  <si>
    <t>Transfer To Other Accounts</t>
  </si>
  <si>
    <t>Amegy Bank MM Acct. #***470</t>
  </si>
  <si>
    <t>Amegy Bank Oper. Acct. #***372</t>
  </si>
  <si>
    <t>Amegy Bank Pay. Acct. #***600</t>
  </si>
  <si>
    <t>Amegy Bank Stat. Acct. #***678</t>
  </si>
  <si>
    <t>Amegy Bank Don. Acct. #***635</t>
  </si>
  <si>
    <t>Bank Charges</t>
  </si>
  <si>
    <t>Total Net Expenditures</t>
  </si>
  <si>
    <t>CESD Fire Operations Expenses</t>
  </si>
  <si>
    <t>Event Hosting</t>
  </si>
  <si>
    <t>Traffic Preemption Payments</t>
  </si>
  <si>
    <t>2011</t>
  </si>
  <si>
    <t>Donations and Contributions</t>
  </si>
  <si>
    <t>Total Operating</t>
  </si>
  <si>
    <t>Fire Gear Maintenance</t>
  </si>
  <si>
    <t>Recognition</t>
  </si>
  <si>
    <t>2012</t>
  </si>
  <si>
    <t>Election Expense</t>
  </si>
  <si>
    <t>Principal &amp; Interest (HCESD#11)</t>
  </si>
  <si>
    <t>2013</t>
  </si>
  <si>
    <t>Other Income</t>
  </si>
  <si>
    <t>Alarm Overage Fees</t>
  </si>
  <si>
    <t>Petty Cash Account</t>
  </si>
  <si>
    <t>Amegy Bank ST Acct. #***193</t>
  </si>
  <si>
    <t>Wells Fargo Loan Acct. #***149</t>
  </si>
  <si>
    <t>Transfer From Other Accounts</t>
  </si>
  <si>
    <t xml:space="preserve">CD Interest </t>
  </si>
  <si>
    <t>Trustmark CD Acct. #***847</t>
  </si>
  <si>
    <t>Capital Expenditures</t>
  </si>
  <si>
    <t>Sales Tax Revenue</t>
  </si>
  <si>
    <t>(Texas Comptroller Fee)</t>
  </si>
  <si>
    <t>Delinguent Tax Revenue</t>
  </si>
  <si>
    <t>2014</t>
  </si>
  <si>
    <t>.</t>
  </si>
  <si>
    <t>Surplus (Deficit) Collateral</t>
  </si>
  <si>
    <t>Amegy Bank</t>
  </si>
  <si>
    <t>Total Demand Deposits</t>
  </si>
  <si>
    <t>FDIC Insurance &amp; Pledged Collateral</t>
  </si>
  <si>
    <t>Wells Fargo Bank</t>
  </si>
  <si>
    <t>Trust Mark Bank</t>
  </si>
  <si>
    <t>FDIC Insurance</t>
  </si>
  <si>
    <t>Pledged Securities</t>
  </si>
  <si>
    <t>2015</t>
  </si>
  <si>
    <t>Sales Tax Audit Charges</t>
  </si>
  <si>
    <t>Sales Tax Audit Fees</t>
  </si>
  <si>
    <t>Human Resources Consulting</t>
  </si>
  <si>
    <t>2016</t>
  </si>
  <si>
    <t>2nd Quarter</t>
  </si>
  <si>
    <t>3rd Quarter</t>
  </si>
  <si>
    <t>1st Quarter</t>
  </si>
  <si>
    <t>Property Tax Review</t>
  </si>
  <si>
    <t>Westside Land Acquisition</t>
  </si>
  <si>
    <t>ISO Consulting</t>
  </si>
  <si>
    <t>Donations &amp; Contributions</t>
  </si>
  <si>
    <t>Loan Proceeds for Truck Purchase</t>
  </si>
  <si>
    <t>Fire Marshall Services</t>
  </si>
  <si>
    <t>2017</t>
  </si>
  <si>
    <t>LL</t>
  </si>
  <si>
    <r>
      <t>(1)</t>
    </r>
    <r>
      <rPr>
        <sz val="8"/>
        <color indexed="10"/>
        <rFont val="Arial"/>
        <family val="2"/>
      </rPr>
      <t>Budget year 2017 tax revenue collected in 2016: Nov. $29.409.62; Dec. $393,910.26.</t>
    </r>
  </si>
  <si>
    <t>Fire Operations  Expenses</t>
  </si>
  <si>
    <t>Human Resource Consulting</t>
  </si>
  <si>
    <t>Analysis Fee</t>
  </si>
  <si>
    <t>NSF Fee</t>
  </si>
  <si>
    <r>
      <t xml:space="preserve">Cash Assets: </t>
    </r>
    <r>
      <rPr>
        <sz val="10"/>
        <rFont val="Arial"/>
        <family val="2"/>
      </rPr>
      <t>(See Bank Summary)</t>
    </r>
  </si>
  <si>
    <t>Transfer To/ From Other Accounts</t>
  </si>
  <si>
    <t>Icon Bank</t>
  </si>
  <si>
    <t>2018 YTD Totals</t>
  </si>
  <si>
    <t>4th Quarter</t>
  </si>
  <si>
    <t>2018 Total</t>
  </si>
  <si>
    <t>2018 Approved Budget</t>
  </si>
  <si>
    <t>2018 Budget</t>
  </si>
  <si>
    <t>2018</t>
  </si>
  <si>
    <t>Election Expenses</t>
  </si>
  <si>
    <t>Administrative/Bookkeeping Services</t>
  </si>
  <si>
    <t>Architect Fees</t>
  </si>
  <si>
    <t>Thermal Imaging Equipment</t>
  </si>
  <si>
    <t>Principal &amp; Interest (Pumper Trucks)</t>
  </si>
  <si>
    <t>Principal &amp; Interest (Tower Truck)</t>
  </si>
  <si>
    <t>Principal &amp; Interest (Station 11)</t>
  </si>
  <si>
    <t>Principal &amp; Interest (Station 12)</t>
  </si>
  <si>
    <t>Change From 2017</t>
  </si>
  <si>
    <t>2018 Month End Demand Deposit/Collateral Report</t>
  </si>
  <si>
    <t>2003 - 2018 Month End Cash Asset Comparison</t>
  </si>
  <si>
    <t>Thermal Inaging Equipment</t>
  </si>
  <si>
    <t>Principal &amp; Interest (HCESD # 11)</t>
  </si>
  <si>
    <t>Nov-Dec 2017</t>
  </si>
  <si>
    <r>
      <t>2017 Budget Year Tax Revenue</t>
    </r>
    <r>
      <rPr>
        <b/>
        <vertAlign val="superscript"/>
        <sz val="10"/>
        <rFont val="Arial"/>
        <family val="2"/>
      </rPr>
      <t xml:space="preserve"> (1)</t>
    </r>
  </si>
  <si>
    <t>Transfer (To)/From Other Accounts</t>
  </si>
  <si>
    <t>Total Capital &amp; Financing</t>
  </si>
  <si>
    <t>Loan proceeds for Station Construction</t>
  </si>
  <si>
    <t>BancorpSouth Construction Acct # ****912</t>
  </si>
  <si>
    <t>BancorpSouth Sales Tax (MM) Acct. #***215</t>
  </si>
  <si>
    <t>BancorpSouth HCAD (MM) Acct. #***215</t>
  </si>
  <si>
    <t>BancorpSouth Oper. Acct. #***6245</t>
  </si>
  <si>
    <t>BancorpSouth Pay. Acct. #***613</t>
  </si>
  <si>
    <t>BancorpSouth Station Acct. #***712</t>
  </si>
  <si>
    <t>BancorpSouth - MM Acct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</si>
</sst>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.00_);_(&quot;$&quot;* \(#,##0.00\);_(&quot;$&quot;* &quot;-&quot;_);_(@_)"/>
  </numFmts>
  <fonts count="2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i/>
      <u/>
      <sz val="10"/>
      <name val="Arial"/>
      <family val="2"/>
    </font>
    <font>
      <i/>
      <sz val="10"/>
      <name val="Arial"/>
      <family val="2"/>
    </font>
    <font>
      <b/>
      <vertAlign val="superscript"/>
      <sz val="10"/>
      <name val="Arial"/>
      <family val="2"/>
    </font>
    <font>
      <b/>
      <u/>
      <sz val="8"/>
      <name val="Arial"/>
      <family val="2"/>
    </font>
    <font>
      <b/>
      <sz val="10"/>
      <name val="Arial"/>
      <family val="2"/>
    </font>
    <font>
      <vertAlign val="superscript"/>
      <sz val="8"/>
      <color indexed="10"/>
      <name val="Arial"/>
      <family val="2"/>
    </font>
    <font>
      <i/>
      <sz val="9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b/>
      <u/>
      <sz val="11"/>
      <name val="Arial"/>
      <family val="2"/>
    </font>
    <font>
      <sz val="8"/>
      <color indexed="10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i/>
      <u/>
      <sz val="10"/>
      <name val="Arial Narrow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9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7" fontId="2" fillId="0" borderId="0" xfId="0" applyNumberFormat="1" applyFont="1" applyAlignment="1">
      <alignment wrapText="1"/>
    </xf>
    <xf numFmtId="7" fontId="5" fillId="0" borderId="0" xfId="0" applyNumberFormat="1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vertical="top" wrapText="1"/>
    </xf>
    <xf numFmtId="164" fontId="5" fillId="2" borderId="1" xfId="0" applyNumberFormat="1" applyFont="1" applyFill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wrapText="1"/>
    </xf>
    <xf numFmtId="7" fontId="2" fillId="3" borderId="1" xfId="0" applyNumberFormat="1" applyFont="1" applyFill="1" applyBorder="1" applyAlignment="1">
      <alignment wrapText="1"/>
    </xf>
    <xf numFmtId="164" fontId="5" fillId="2" borderId="1" xfId="0" applyNumberFormat="1" applyFont="1" applyFill="1" applyBorder="1" applyAlignment="1">
      <alignment wrapText="1"/>
    </xf>
    <xf numFmtId="5" fontId="5" fillId="0" borderId="0" xfId="0" applyNumberFormat="1" applyFont="1" applyFill="1" applyBorder="1" applyAlignment="1">
      <alignment wrapText="1"/>
    </xf>
    <xf numFmtId="164" fontId="5" fillId="0" borderId="0" xfId="0" applyNumberFormat="1" applyFont="1" applyFill="1" applyBorder="1" applyAlignment="1">
      <alignment wrapText="1"/>
    </xf>
    <xf numFmtId="0" fontId="3" fillId="0" borderId="0" xfId="0" applyFont="1" applyAlignment="1">
      <alignment horizontal="right" wrapText="1"/>
    </xf>
    <xf numFmtId="7" fontId="2" fillId="3" borderId="1" xfId="0" applyNumberFormat="1" applyFont="1" applyFill="1" applyBorder="1" applyAlignment="1">
      <alignment horizontal="right" vertical="top"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right" vertical="top" wrapText="1"/>
    </xf>
    <xf numFmtId="7" fontId="8" fillId="0" borderId="0" xfId="0" applyNumberFormat="1" applyFont="1" applyAlignment="1">
      <alignment horizontal="left" vertical="top" wrapText="1"/>
    </xf>
    <xf numFmtId="7" fontId="2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0" fontId="10" fillId="0" borderId="1" xfId="0" applyFont="1" applyBorder="1" applyAlignment="1">
      <alignment horizontal="right" vertical="top" wrapText="1"/>
    </xf>
    <xf numFmtId="49" fontId="3" fillId="4" borderId="1" xfId="0" applyNumberFormat="1" applyFont="1" applyFill="1" applyBorder="1" applyAlignment="1">
      <alignment horizontal="center" vertical="center" wrapText="1"/>
    </xf>
    <xf numFmtId="17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7" fontId="2" fillId="0" borderId="0" xfId="0" applyNumberFormat="1" applyFont="1" applyFill="1" applyAlignment="1">
      <alignment vertical="top" wrapText="1"/>
    </xf>
    <xf numFmtId="7" fontId="2" fillId="0" borderId="0" xfId="0" applyNumberFormat="1" applyFont="1" applyAlignment="1">
      <alignment vertical="top" wrapText="1"/>
    </xf>
    <xf numFmtId="5" fontId="5" fillId="0" borderId="0" xfId="0" applyNumberFormat="1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7" fontId="2" fillId="0" borderId="0" xfId="0" applyNumberFormat="1" applyFont="1" applyFill="1" applyAlignment="1">
      <alignment horizontal="right" vertical="top" wrapText="1"/>
    </xf>
    <xf numFmtId="7" fontId="5" fillId="0" borderId="0" xfId="0" applyNumberFormat="1" applyFont="1" applyFill="1" applyBorder="1" applyAlignment="1">
      <alignment vertical="top" wrapText="1"/>
    </xf>
    <xf numFmtId="164" fontId="5" fillId="0" borderId="0" xfId="0" applyNumberFormat="1" applyFont="1" applyFill="1" applyBorder="1" applyAlignment="1">
      <alignment vertical="top" wrapText="1"/>
    </xf>
    <xf numFmtId="0" fontId="3" fillId="0" borderId="0" xfId="0" applyFont="1" applyAlignment="1">
      <alignment horizontal="right" vertical="top" wrapText="1"/>
    </xf>
    <xf numFmtId="7" fontId="3" fillId="0" borderId="0" xfId="0" applyNumberFormat="1" applyFont="1" applyFill="1" applyAlignment="1">
      <alignment vertical="top" wrapText="1"/>
    </xf>
    <xf numFmtId="7" fontId="3" fillId="0" borderId="0" xfId="0" applyNumberFormat="1" applyFont="1" applyAlignment="1">
      <alignment vertical="top" wrapText="1"/>
    </xf>
    <xf numFmtId="164" fontId="4" fillId="2" borderId="0" xfId="0" applyNumberFormat="1" applyFont="1" applyFill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/>
    <xf numFmtId="0" fontId="4" fillId="0" borderId="0" xfId="0" applyFont="1" applyBorder="1" applyAlignment="1">
      <alignment vertical="top" wrapText="1"/>
    </xf>
    <xf numFmtId="7" fontId="0" fillId="0" borderId="0" xfId="0" applyNumberFormat="1"/>
    <xf numFmtId="0" fontId="8" fillId="0" borderId="0" xfId="0" applyFont="1"/>
    <xf numFmtId="7" fontId="0" fillId="0" borderId="1" xfId="0" applyNumberFormat="1" applyBorder="1"/>
    <xf numFmtId="0" fontId="2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right" vertical="top" wrapText="1"/>
    </xf>
    <xf numFmtId="7" fontId="8" fillId="0" borderId="1" xfId="0" applyNumberFormat="1" applyFont="1" applyBorder="1"/>
    <xf numFmtId="0" fontId="3" fillId="0" borderId="0" xfId="0" applyFont="1" applyBorder="1"/>
    <xf numFmtId="7" fontId="0" fillId="0" borderId="0" xfId="0" applyNumberFormat="1" applyBorder="1"/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vertical="top" wrapText="1"/>
    </xf>
    <xf numFmtId="7" fontId="0" fillId="2" borderId="1" xfId="0" applyNumberFormat="1" applyFill="1" applyBorder="1"/>
    <xf numFmtId="7" fontId="0" fillId="0" borderId="0" xfId="0" applyNumberFormat="1" applyFill="1"/>
    <xf numFmtId="7" fontId="0" fillId="0" borderId="0" xfId="0" applyNumberFormat="1" applyFill="1" applyBorder="1"/>
    <xf numFmtId="7" fontId="8" fillId="0" borderId="0" xfId="0" applyNumberFormat="1" applyFont="1" applyFill="1" applyBorder="1"/>
    <xf numFmtId="7" fontId="8" fillId="0" borderId="0" xfId="0" applyNumberFormat="1" applyFont="1" applyBorder="1"/>
    <xf numFmtId="7" fontId="2" fillId="0" borderId="1" xfId="0" applyNumberFormat="1" applyFont="1" applyBorder="1"/>
    <xf numFmtId="0" fontId="8" fillId="0" borderId="0" xfId="0" applyFont="1" applyFill="1" applyBorder="1" applyAlignment="1">
      <alignment horizontal="right"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left" vertical="top" wrapText="1"/>
    </xf>
    <xf numFmtId="5" fontId="4" fillId="0" borderId="0" xfId="0" applyNumberFormat="1" applyFont="1" applyFill="1" applyBorder="1" applyAlignment="1">
      <alignment wrapText="1"/>
    </xf>
    <xf numFmtId="5" fontId="4" fillId="0" borderId="0" xfId="0" applyNumberFormat="1" applyFont="1" applyFill="1" applyBorder="1" applyAlignment="1">
      <alignment vertical="top" wrapText="1"/>
    </xf>
    <xf numFmtId="0" fontId="3" fillId="8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right" vertical="top" wrapText="1"/>
    </xf>
    <xf numFmtId="7" fontId="8" fillId="2" borderId="3" xfId="0" applyNumberFormat="1" applyFont="1" applyFill="1" applyBorder="1"/>
    <xf numFmtId="0" fontId="3" fillId="4" borderId="3" xfId="0" applyFont="1" applyFill="1" applyBorder="1" applyAlignment="1">
      <alignment horizontal="center" vertical="center" wrapText="1"/>
    </xf>
    <xf numFmtId="49" fontId="8" fillId="4" borderId="3" xfId="0" applyNumberFormat="1" applyFont="1" applyFill="1" applyBorder="1" applyAlignment="1">
      <alignment horizontal="center" vertical="top" wrapText="1"/>
    </xf>
    <xf numFmtId="49" fontId="8" fillId="0" borderId="1" xfId="0" applyNumberFormat="1" applyFont="1" applyBorder="1" applyAlignment="1">
      <alignment horizontal="center" vertical="top" wrapText="1"/>
    </xf>
    <xf numFmtId="7" fontId="2" fillId="0" borderId="1" xfId="0" applyNumberFormat="1" applyFont="1" applyBorder="1" applyAlignment="1">
      <alignment vertical="top"/>
    </xf>
    <xf numFmtId="49" fontId="8" fillId="0" borderId="4" xfId="0" applyNumberFormat="1" applyFont="1" applyBorder="1" applyAlignment="1">
      <alignment horizontal="center" vertical="top" wrapText="1"/>
    </xf>
    <xf numFmtId="7" fontId="8" fillId="8" borderId="3" xfId="0" applyNumberFormat="1" applyFont="1" applyFill="1" applyBorder="1" applyAlignment="1">
      <alignment horizontal="center" vertical="top" wrapText="1"/>
    </xf>
    <xf numFmtId="7" fontId="8" fillId="8" borderId="3" xfId="0" applyNumberFormat="1" applyFont="1" applyFill="1" applyBorder="1" applyAlignment="1">
      <alignment vertical="top"/>
    </xf>
    <xf numFmtId="7" fontId="4" fillId="0" borderId="0" xfId="0" applyNumberFormat="1" applyFont="1" applyFill="1" applyBorder="1" applyAlignment="1">
      <alignment vertical="top" wrapText="1"/>
    </xf>
    <xf numFmtId="10" fontId="5" fillId="2" borderId="1" xfId="0" applyNumberFormat="1" applyFont="1" applyFill="1" applyBorder="1" applyAlignment="1">
      <alignment wrapText="1"/>
    </xf>
    <xf numFmtId="10" fontId="2" fillId="8" borderId="1" xfId="0" applyNumberFormat="1" applyFont="1" applyFill="1" applyBorder="1" applyAlignment="1">
      <alignment vertical="top" wrapText="1"/>
    </xf>
    <xf numFmtId="0" fontId="2" fillId="0" borderId="0" xfId="0" applyFont="1" applyBorder="1" applyAlignment="1">
      <alignment vertical="top"/>
    </xf>
    <xf numFmtId="7" fontId="2" fillId="0" borderId="0" xfId="0" applyNumberFormat="1" applyFont="1" applyBorder="1" applyAlignment="1">
      <alignment vertical="top" wrapText="1"/>
    </xf>
    <xf numFmtId="0" fontId="2" fillId="0" borderId="1" xfId="0" applyFont="1" applyBorder="1"/>
    <xf numFmtId="0" fontId="12" fillId="0" borderId="0" xfId="0" applyFont="1" applyAlignment="1">
      <alignment vertical="top" wrapText="1"/>
    </xf>
    <xf numFmtId="43" fontId="2" fillId="0" borderId="1" xfId="0" applyNumberFormat="1" applyFont="1" applyBorder="1" applyAlignment="1">
      <alignment vertical="top" wrapText="1"/>
    </xf>
    <xf numFmtId="44" fontId="2" fillId="0" borderId="1" xfId="0" applyNumberFormat="1" applyFont="1" applyBorder="1" applyAlignment="1">
      <alignment vertical="top" wrapText="1"/>
    </xf>
    <xf numFmtId="43" fontId="2" fillId="8" borderId="1" xfId="0" applyNumberFormat="1" applyFont="1" applyFill="1" applyBorder="1" applyAlignment="1">
      <alignment vertical="top" wrapText="1"/>
    </xf>
    <xf numFmtId="43" fontId="5" fillId="5" borderId="1" xfId="0" applyNumberFormat="1" applyFont="1" applyFill="1" applyBorder="1" applyAlignment="1">
      <alignment vertical="top" wrapText="1"/>
    </xf>
    <xf numFmtId="43" fontId="5" fillId="6" borderId="1" xfId="0" applyNumberFormat="1" applyFont="1" applyFill="1" applyBorder="1" applyAlignment="1">
      <alignment vertical="top" wrapText="1"/>
    </xf>
    <xf numFmtId="43" fontId="2" fillId="0" borderId="1" xfId="0" applyNumberFormat="1" applyFont="1" applyBorder="1" applyAlignment="1">
      <alignment wrapText="1"/>
    </xf>
    <xf numFmtId="44" fontId="2" fillId="8" borderId="1" xfId="0" applyNumberFormat="1" applyFont="1" applyFill="1" applyBorder="1" applyAlignment="1">
      <alignment vertical="top" wrapText="1"/>
    </xf>
    <xf numFmtId="44" fontId="5" fillId="5" borderId="1" xfId="0" applyNumberFormat="1" applyFont="1" applyFill="1" applyBorder="1" applyAlignment="1">
      <alignment vertical="top" wrapText="1"/>
    </xf>
    <xf numFmtId="44" fontId="5" fillId="6" borderId="1" xfId="0" applyNumberFormat="1" applyFont="1" applyFill="1" applyBorder="1" applyAlignment="1">
      <alignment vertical="top" wrapText="1"/>
    </xf>
    <xf numFmtId="0" fontId="13" fillId="0" borderId="0" xfId="0" applyFont="1" applyAlignment="1">
      <alignment horizontal="right" vertical="top" wrapText="1"/>
    </xf>
    <xf numFmtId="0" fontId="8" fillId="0" borderId="0" xfId="0" applyFont="1" applyBorder="1" applyAlignment="1">
      <alignment vertical="top"/>
    </xf>
    <xf numFmtId="7" fontId="4" fillId="0" borderId="0" xfId="0" applyNumberFormat="1" applyFont="1" applyFill="1" applyBorder="1" applyAlignment="1">
      <alignment wrapText="1"/>
    </xf>
    <xf numFmtId="7" fontId="2" fillId="0" borderId="0" xfId="0" applyNumberFormat="1" applyFont="1" applyFill="1" applyBorder="1" applyAlignment="1">
      <alignment vertical="top" wrapText="1"/>
    </xf>
    <xf numFmtId="7" fontId="2" fillId="0" borderId="0" xfId="0" applyNumberFormat="1" applyFont="1" applyFill="1" applyBorder="1" applyAlignment="1">
      <alignment horizontal="right" vertical="top" wrapText="1"/>
    </xf>
    <xf numFmtId="43" fontId="5" fillId="5" borderId="1" xfId="0" applyNumberFormat="1" applyFont="1" applyFill="1" applyBorder="1" applyAlignment="1">
      <alignment wrapText="1"/>
    </xf>
    <xf numFmtId="43" fontId="5" fillId="6" borderId="1" xfId="0" applyNumberFormat="1" applyFont="1" applyFill="1" applyBorder="1" applyAlignment="1">
      <alignment wrapText="1"/>
    </xf>
    <xf numFmtId="44" fontId="4" fillId="6" borderId="0" xfId="0" applyNumberFormat="1" applyFont="1" applyFill="1" applyBorder="1" applyAlignment="1">
      <alignment wrapText="1"/>
    </xf>
    <xf numFmtId="164" fontId="4" fillId="2" borderId="1" xfId="0" applyNumberFormat="1" applyFont="1" applyFill="1" applyBorder="1" applyAlignment="1">
      <alignment wrapText="1"/>
    </xf>
    <xf numFmtId="44" fontId="3" fillId="8" borderId="0" xfId="0" applyNumberFormat="1" applyFont="1" applyFill="1" applyBorder="1" applyAlignment="1">
      <alignment vertical="top" wrapText="1"/>
    </xf>
    <xf numFmtId="44" fontId="4" fillId="5" borderId="0" xfId="0" applyNumberFormat="1" applyFont="1" applyFill="1" applyBorder="1" applyAlignment="1">
      <alignment vertical="top" wrapText="1"/>
    </xf>
    <xf numFmtId="44" fontId="4" fillId="6" borderId="0" xfId="0" applyNumberFormat="1" applyFont="1" applyFill="1" applyBorder="1" applyAlignment="1">
      <alignment vertical="top" wrapText="1"/>
    </xf>
    <xf numFmtId="43" fontId="2" fillId="0" borderId="1" xfId="0" applyNumberFormat="1" applyFont="1" applyFill="1" applyBorder="1" applyAlignment="1">
      <alignment vertical="top" wrapText="1"/>
    </xf>
    <xf numFmtId="44" fontId="4" fillId="0" borderId="0" xfId="0" applyNumberFormat="1" applyFont="1" applyFill="1" applyBorder="1" applyAlignment="1">
      <alignment wrapText="1"/>
    </xf>
    <xf numFmtId="44" fontId="4" fillId="0" borderId="0" xfId="0" applyNumberFormat="1" applyFont="1" applyFill="1" applyBorder="1" applyAlignment="1">
      <alignment vertical="top" wrapText="1"/>
    </xf>
    <xf numFmtId="44" fontId="2" fillId="8" borderId="1" xfId="1" applyFont="1" applyFill="1" applyBorder="1" applyAlignment="1">
      <alignment vertical="top" wrapText="1"/>
    </xf>
    <xf numFmtId="43" fontId="2" fillId="0" borderId="0" xfId="0" applyNumberFormat="1" applyFont="1" applyAlignment="1">
      <alignment wrapText="1"/>
    </xf>
    <xf numFmtId="0" fontId="2" fillId="0" borderId="0" xfId="0" applyFont="1" applyBorder="1" applyAlignment="1">
      <alignment horizontal="left" vertical="top" wrapText="1"/>
    </xf>
    <xf numFmtId="165" fontId="4" fillId="8" borderId="0" xfId="0" applyNumberFormat="1" applyFont="1" applyFill="1" applyBorder="1" applyAlignment="1">
      <alignment vertical="top" wrapText="1"/>
    </xf>
    <xf numFmtId="4" fontId="0" fillId="0" borderId="0" xfId="0" applyNumberFormat="1"/>
    <xf numFmtId="0" fontId="0" fillId="2" borderId="0" xfId="0" applyFill="1"/>
    <xf numFmtId="164" fontId="4" fillId="0" borderId="0" xfId="0" applyNumberFormat="1" applyFont="1" applyFill="1" applyBorder="1" applyAlignment="1">
      <alignment wrapText="1"/>
    </xf>
    <xf numFmtId="44" fontId="2" fillId="0" borderId="0" xfId="0" applyNumberFormat="1" applyFont="1" applyAlignment="1">
      <alignment vertical="top" wrapText="1"/>
    </xf>
    <xf numFmtId="0" fontId="8" fillId="0" borderId="1" xfId="0" applyFont="1" applyBorder="1" applyAlignment="1">
      <alignment horizontal="left"/>
    </xf>
    <xf numFmtId="44" fontId="0" fillId="0" borderId="1" xfId="1" applyFont="1" applyBorder="1"/>
    <xf numFmtId="44" fontId="8" fillId="0" borderId="1" xfId="0" applyNumberFormat="1" applyFont="1" applyBorder="1"/>
    <xf numFmtId="0" fontId="8" fillId="0" borderId="0" xfId="0" applyFont="1" applyBorder="1" applyAlignment="1">
      <alignment horizontal="left"/>
    </xf>
    <xf numFmtId="44" fontId="8" fillId="0" borderId="0" xfId="0" applyNumberFormat="1" applyFont="1" applyBorder="1"/>
    <xf numFmtId="44" fontId="2" fillId="0" borderId="1" xfId="1" applyNumberFormat="1" applyFont="1" applyBorder="1" applyAlignment="1">
      <alignment vertical="top" wrapText="1"/>
    </xf>
    <xf numFmtId="44" fontId="3" fillId="5" borderId="0" xfId="0" applyNumberFormat="1" applyFont="1" applyFill="1" applyBorder="1" applyAlignment="1">
      <alignment vertical="top" wrapText="1"/>
    </xf>
    <xf numFmtId="7" fontId="2" fillId="0" borderId="1" xfId="0" applyNumberFormat="1" applyFont="1" applyBorder="1" applyAlignment="1">
      <alignment vertical="top" wrapText="1"/>
    </xf>
    <xf numFmtId="8" fontId="0" fillId="0" borderId="0" xfId="0" applyNumberFormat="1"/>
    <xf numFmtId="0" fontId="1" fillId="0" borderId="0" xfId="0" applyFont="1" applyBorder="1" applyAlignment="1">
      <alignment vertical="top" wrapText="1"/>
    </xf>
    <xf numFmtId="7" fontId="8" fillId="0" borderId="0" xfId="0" applyNumberFormat="1" applyFont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43" fontId="15" fillId="0" borderId="0" xfId="0" applyNumberFormat="1" applyFont="1"/>
    <xf numFmtId="0" fontId="1" fillId="0" borderId="1" xfId="0" applyFont="1" applyBorder="1" applyAlignment="1">
      <alignment vertical="top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" fillId="0" borderId="1" xfId="0" applyFont="1" applyFill="1" applyBorder="1" applyAlignment="1">
      <alignment vertical="top" wrapText="1"/>
    </xf>
    <xf numFmtId="0" fontId="17" fillId="0" borderId="0" xfId="0" applyFont="1" applyBorder="1" applyAlignment="1">
      <alignment vertical="top" wrapText="1"/>
    </xf>
    <xf numFmtId="17" fontId="18" fillId="4" borderId="1" xfId="0" applyNumberFormat="1" applyFont="1" applyFill="1" applyBorder="1" applyAlignment="1">
      <alignment horizontal="center" vertical="top" wrapText="1"/>
    </xf>
    <xf numFmtId="17" fontId="18" fillId="5" borderId="1" xfId="0" applyNumberFormat="1" applyFont="1" applyFill="1" applyBorder="1" applyAlignment="1">
      <alignment horizontal="center" vertical="top" wrapText="1"/>
    </xf>
    <xf numFmtId="0" fontId="18" fillId="2" borderId="1" xfId="0" applyFont="1" applyFill="1" applyBorder="1" applyAlignment="1">
      <alignment horizontal="center" vertical="top" wrapText="1"/>
    </xf>
    <xf numFmtId="0" fontId="17" fillId="0" borderId="0" xfId="0" applyFont="1" applyAlignment="1">
      <alignment vertical="top" wrapText="1"/>
    </xf>
    <xf numFmtId="0" fontId="19" fillId="0" borderId="0" xfId="0" applyFont="1" applyBorder="1" applyAlignment="1">
      <alignment vertical="top" wrapText="1"/>
    </xf>
    <xf numFmtId="7" fontId="17" fillId="0" borderId="0" xfId="0" applyNumberFormat="1" applyFont="1" applyBorder="1" applyAlignment="1">
      <alignment horizontal="right" vertical="top" wrapText="1"/>
    </xf>
    <xf numFmtId="7" fontId="17" fillId="0" borderId="1" xfId="0" applyNumberFormat="1" applyFont="1" applyFill="1" applyBorder="1" applyAlignment="1">
      <alignment horizontal="right" vertical="top" wrapText="1"/>
    </xf>
    <xf numFmtId="7" fontId="17" fillId="0" borderId="6" xfId="0" applyNumberFormat="1" applyFont="1" applyFill="1" applyBorder="1" applyAlignment="1">
      <alignment horizontal="right" vertical="top" wrapText="1"/>
    </xf>
    <xf numFmtId="17" fontId="18" fillId="0" borderId="0" xfId="0" applyNumberFormat="1" applyFont="1" applyFill="1" applyBorder="1" applyAlignment="1">
      <alignment horizontal="center" vertical="top" wrapText="1"/>
    </xf>
    <xf numFmtId="7" fontId="17" fillId="0" borderId="7" xfId="0" applyNumberFormat="1" applyFont="1" applyFill="1" applyBorder="1" applyAlignment="1">
      <alignment horizontal="right" vertical="top" wrapText="1"/>
    </xf>
    <xf numFmtId="7" fontId="17" fillId="5" borderId="1" xfId="0" applyNumberFormat="1" applyFont="1" applyFill="1" applyBorder="1" applyAlignment="1">
      <alignment horizontal="right" vertical="top" wrapText="1"/>
    </xf>
    <xf numFmtId="7" fontId="17" fillId="2" borderId="1" xfId="0" applyNumberFormat="1" applyFont="1" applyFill="1" applyBorder="1" applyAlignment="1">
      <alignment horizontal="right" vertical="top" wrapText="1"/>
    </xf>
    <xf numFmtId="0" fontId="17" fillId="0" borderId="0" xfId="0" applyFont="1" applyBorder="1" applyAlignment="1">
      <alignment horizontal="right" vertical="top" wrapText="1"/>
    </xf>
    <xf numFmtId="7" fontId="17" fillId="0" borderId="2" xfId="0" applyNumberFormat="1" applyFont="1" applyFill="1" applyBorder="1" applyAlignment="1">
      <alignment horizontal="right" vertical="top" wrapText="1"/>
    </xf>
    <xf numFmtId="0" fontId="18" fillId="0" borderId="0" xfId="0" applyFont="1" applyBorder="1" applyAlignment="1">
      <alignment horizontal="right" vertical="top" wrapText="1"/>
    </xf>
    <xf numFmtId="7" fontId="17" fillId="0" borderId="0" xfId="0" applyNumberFormat="1" applyFont="1" applyFill="1" applyBorder="1" applyAlignment="1">
      <alignment horizontal="right" vertical="top" wrapText="1"/>
    </xf>
    <xf numFmtId="7" fontId="17" fillId="0" borderId="0" xfId="0" applyNumberFormat="1" applyFont="1" applyAlignment="1">
      <alignment vertical="top" wrapText="1"/>
    </xf>
    <xf numFmtId="0" fontId="20" fillId="0" borderId="0" xfId="0" applyFont="1"/>
    <xf numFmtId="7" fontId="17" fillId="0" borderId="0" xfId="0" applyNumberFormat="1" applyFont="1" applyBorder="1" applyAlignment="1">
      <alignment vertical="top" wrapText="1"/>
    </xf>
    <xf numFmtId="0" fontId="17" fillId="0" borderId="0" xfId="0" applyFont="1" applyFill="1" applyBorder="1" applyAlignment="1">
      <alignment vertical="top" wrapText="1"/>
    </xf>
    <xf numFmtId="7" fontId="17" fillId="5" borderId="2" xfId="0" applyNumberFormat="1" applyFont="1" applyFill="1" applyBorder="1" applyAlignment="1">
      <alignment horizontal="right" vertical="top" wrapText="1"/>
    </xf>
    <xf numFmtId="0" fontId="18" fillId="0" borderId="0" xfId="0" applyFont="1" applyFill="1" applyBorder="1" applyAlignment="1">
      <alignment horizontal="right" vertical="top" wrapText="1"/>
    </xf>
    <xf numFmtId="0" fontId="17" fillId="0" borderId="0" xfId="0" applyFont="1" applyFill="1" applyAlignment="1">
      <alignment vertical="top" wrapText="1"/>
    </xf>
    <xf numFmtId="0" fontId="19" fillId="0" borderId="0" xfId="0" applyFont="1" applyBorder="1" applyAlignment="1">
      <alignment vertical="top"/>
    </xf>
    <xf numFmtId="0" fontId="17" fillId="0" borderId="0" xfId="0" applyFont="1" applyAlignment="1">
      <alignment horizontal="right" vertical="top" wrapText="1"/>
    </xf>
    <xf numFmtId="7" fontId="17" fillId="0" borderId="0" xfId="0" applyNumberFormat="1" applyFont="1" applyAlignment="1">
      <alignment horizontal="right" vertical="top" wrapText="1"/>
    </xf>
    <xf numFmtId="0" fontId="18" fillId="2" borderId="0" xfId="0" applyFont="1" applyFill="1" applyBorder="1" applyAlignment="1">
      <alignment horizontal="right" vertical="top" wrapText="1"/>
    </xf>
    <xf numFmtId="7" fontId="18" fillId="2" borderId="1" xfId="0" applyNumberFormat="1" applyFont="1" applyFill="1" applyBorder="1" applyAlignment="1">
      <alignment horizontal="right" vertical="top" wrapText="1"/>
    </xf>
    <xf numFmtId="7" fontId="18" fillId="0" borderId="0" xfId="0" applyNumberFormat="1" applyFont="1" applyFill="1" applyBorder="1" applyAlignment="1">
      <alignment horizontal="right" vertical="top" wrapText="1"/>
    </xf>
    <xf numFmtId="7" fontId="17" fillId="0" borderId="0" xfId="0" applyNumberFormat="1" applyFont="1" applyFill="1" applyAlignment="1">
      <alignment vertical="top" wrapText="1"/>
    </xf>
    <xf numFmtId="0" fontId="18" fillId="6" borderId="3" xfId="0" applyFont="1" applyFill="1" applyBorder="1" applyAlignment="1">
      <alignment horizontal="right" vertical="top" wrapText="1"/>
    </xf>
    <xf numFmtId="7" fontId="17" fillId="6" borderId="1" xfId="0" applyNumberFormat="1" applyFont="1" applyFill="1" applyBorder="1" applyAlignment="1">
      <alignment horizontal="right" vertical="top" wrapText="1"/>
    </xf>
    <xf numFmtId="0" fontId="18" fillId="9" borderId="3" xfId="0" applyFont="1" applyFill="1" applyBorder="1" applyAlignment="1">
      <alignment horizontal="right" vertical="top" wrapText="1"/>
    </xf>
    <xf numFmtId="7" fontId="17" fillId="9" borderId="5" xfId="0" applyNumberFormat="1" applyFont="1" applyFill="1" applyBorder="1" applyAlignment="1">
      <alignment horizontal="right" vertical="top" wrapText="1"/>
    </xf>
    <xf numFmtId="7" fontId="17" fillId="0" borderId="0" xfId="0" applyNumberFormat="1" applyFont="1" applyFill="1" applyBorder="1" applyAlignment="1">
      <alignment vertical="top" wrapText="1"/>
    </xf>
    <xf numFmtId="43" fontId="1" fillId="0" borderId="1" xfId="0" applyNumberFormat="1" applyFont="1" applyBorder="1" applyAlignment="1">
      <alignment vertical="top" wrapText="1"/>
    </xf>
    <xf numFmtId="0" fontId="1" fillId="7" borderId="1" xfId="0" applyFont="1" applyFill="1" applyBorder="1" applyAlignment="1">
      <alignment vertical="top" wrapText="1"/>
    </xf>
    <xf numFmtId="7" fontId="1" fillId="0" borderId="0" xfId="0" applyNumberFormat="1" applyFont="1" applyBorder="1" applyAlignment="1">
      <alignment horizontal="right" vertical="top" wrapText="1"/>
    </xf>
    <xf numFmtId="43" fontId="1" fillId="0" borderId="0" xfId="0" applyNumberFormat="1" applyFont="1" applyBorder="1" applyAlignment="1">
      <alignment horizontal="right" vertical="top" wrapText="1"/>
    </xf>
    <xf numFmtId="7" fontId="1" fillId="0" borderId="0" xfId="0" applyNumberFormat="1" applyFont="1" applyFill="1" applyBorder="1" applyAlignment="1">
      <alignment horizontal="right" vertical="top" wrapText="1"/>
    </xf>
    <xf numFmtId="7" fontId="1" fillId="0" borderId="1" xfId="0" applyNumberFormat="1" applyFont="1" applyBorder="1" applyAlignment="1">
      <alignment vertical="top" wrapText="1"/>
    </xf>
    <xf numFmtId="49" fontId="8" fillId="0" borderId="0" xfId="0" applyNumberFormat="1" applyFont="1" applyBorder="1" applyAlignment="1">
      <alignment horizontal="center" vertical="top" wrapText="1"/>
    </xf>
    <xf numFmtId="7" fontId="2" fillId="0" borderId="0" xfId="0" applyNumberFormat="1" applyFont="1" applyBorder="1" applyAlignment="1">
      <alignment vertical="top"/>
    </xf>
    <xf numFmtId="7" fontId="2" fillId="0" borderId="1" xfId="0" applyNumberFormat="1" applyFont="1" applyBorder="1" applyAlignment="1">
      <alignment wrapText="1"/>
    </xf>
    <xf numFmtId="7" fontId="8" fillId="10" borderId="1" xfId="0" applyNumberFormat="1" applyFont="1" applyFill="1" applyBorder="1"/>
    <xf numFmtId="14" fontId="0" fillId="0" borderId="0" xfId="0" applyNumberFormat="1"/>
    <xf numFmtId="2" fontId="0" fillId="0" borderId="0" xfId="0" applyNumberFormat="1"/>
    <xf numFmtId="44" fontId="1" fillId="0" borderId="0" xfId="0" applyNumberFormat="1" applyFont="1" applyBorder="1" applyAlignment="1">
      <alignment horizontal="right" vertical="top" wrapText="1"/>
    </xf>
    <xf numFmtId="7" fontId="2" fillId="0" borderId="8" xfId="0" applyNumberFormat="1" applyFont="1" applyBorder="1" applyAlignment="1">
      <alignment wrapText="1"/>
    </xf>
    <xf numFmtId="44" fontId="2" fillId="0" borderId="1" xfId="0" applyNumberFormat="1" applyFont="1" applyBorder="1"/>
    <xf numFmtId="44" fontId="15" fillId="0" borderId="1" xfId="0" applyNumberFormat="1" applyFont="1" applyBorder="1"/>
    <xf numFmtId="7" fontId="15" fillId="0" borderId="1" xfId="0" applyNumberFormat="1" applyFont="1" applyBorder="1"/>
    <xf numFmtId="0" fontId="9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chartsheet" Target="chartsheets/sheet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HCESD #29 
Cash Asset Comparison Chart 2014 - 2018</a:t>
            </a:r>
          </a:p>
        </c:rich>
      </c:tx>
      <c:layout>
        <c:manualLayout>
          <c:xMode val="edge"/>
          <c:yMode val="edge"/>
          <c:x val="0.23927038626609443"/>
          <c:y val="1.83356840620592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92274678111589"/>
          <c:y val="0.16785800080074734"/>
          <c:w val="0.75429184549356221"/>
          <c:h val="0.70561175615759897"/>
        </c:manualLayout>
      </c:layout>
      <c:lineChart>
        <c:grouping val="standard"/>
        <c:varyColors val="0"/>
        <c:ser>
          <c:idx val="1"/>
          <c:order val="0"/>
          <c:tx>
            <c:strRef>
              <c:f>'Bank Acct Summary'!$B$166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993300"/>
              </a:solidFill>
              <a:ln>
                <a:solidFill>
                  <a:srgbClr val="993300"/>
                </a:solidFill>
                <a:prstDash val="solid"/>
              </a:ln>
            </c:spPr>
          </c:marker>
          <c:val>
            <c:numRef>
              <c:f>'Bank Acct Summary'!$C$166:$N$166</c:f>
              <c:numCache>
                <c:formatCode>"$"#,##0.00_);\("$"#,##0.00\)</c:formatCode>
                <c:ptCount val="12"/>
                <c:pt idx="0">
                  <c:v>1971094.38</c:v>
                </c:pt>
                <c:pt idx="1">
                  <c:v>2638458.2000000002</c:v>
                </c:pt>
                <c:pt idx="2">
                  <c:v>2593266.2799999998</c:v>
                </c:pt>
                <c:pt idx="3">
                  <c:v>2524029.86</c:v>
                </c:pt>
                <c:pt idx="4">
                  <c:v>2429491.83</c:v>
                </c:pt>
                <c:pt idx="5">
                  <c:v>2374197.39</c:v>
                </c:pt>
                <c:pt idx="6">
                  <c:v>1968976.27</c:v>
                </c:pt>
                <c:pt idx="7">
                  <c:v>1904657.43</c:v>
                </c:pt>
                <c:pt idx="8">
                  <c:v>1720656.11</c:v>
                </c:pt>
                <c:pt idx="9">
                  <c:v>1599841.23</c:v>
                </c:pt>
                <c:pt idx="10">
                  <c:v>1626290.19</c:v>
                </c:pt>
                <c:pt idx="11">
                  <c:v>2170026.1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44-401E-AFC7-42C037083802}"/>
            </c:ext>
          </c:extLst>
        </c:ser>
        <c:ser>
          <c:idx val="2"/>
          <c:order val="1"/>
          <c:tx>
            <c:strRef>
              <c:f>'Bank Acct Summary'!$B$167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'Bank Acct Summary'!$C$167:$N$167</c:f>
              <c:numCache>
                <c:formatCode>"$"#,##0.00_);\("$"#,##0.00\)</c:formatCode>
                <c:ptCount val="12"/>
                <c:pt idx="0">
                  <c:v>2645434.9500000002</c:v>
                </c:pt>
                <c:pt idx="1">
                  <c:v>3377080.75</c:v>
                </c:pt>
                <c:pt idx="2">
                  <c:v>3343428.18</c:v>
                </c:pt>
                <c:pt idx="3">
                  <c:v>3241640.83</c:v>
                </c:pt>
                <c:pt idx="4">
                  <c:v>3190840.55</c:v>
                </c:pt>
                <c:pt idx="5">
                  <c:v>3226311.02</c:v>
                </c:pt>
                <c:pt idx="6">
                  <c:v>3145966.52</c:v>
                </c:pt>
                <c:pt idx="7">
                  <c:v>2828137.44</c:v>
                </c:pt>
                <c:pt idx="8">
                  <c:v>2758003.96</c:v>
                </c:pt>
                <c:pt idx="9">
                  <c:v>2663266.48</c:v>
                </c:pt>
                <c:pt idx="10">
                  <c:v>2679132.2599999998</c:v>
                </c:pt>
                <c:pt idx="11">
                  <c:v>2927138.26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44-401E-AFC7-42C037083802}"/>
            </c:ext>
          </c:extLst>
        </c:ser>
        <c:ser>
          <c:idx val="9"/>
          <c:order val="2"/>
          <c:tx>
            <c:strRef>
              <c:f>'Bank Acct Summary'!$B$168</c:f>
              <c:strCache>
                <c:ptCount val="1"/>
                <c:pt idx="0">
                  <c:v>2016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val>
            <c:numRef>
              <c:f>'Bank Acct Summary'!$C$168:$N$168</c:f>
              <c:numCache>
                <c:formatCode>"$"#,##0.00_);\("$"#,##0.00\)</c:formatCode>
                <c:ptCount val="12"/>
                <c:pt idx="0">
                  <c:v>3794748.34</c:v>
                </c:pt>
                <c:pt idx="1">
                  <c:v>4528706.87</c:v>
                </c:pt>
                <c:pt idx="2">
                  <c:v>3283965.8</c:v>
                </c:pt>
                <c:pt idx="3">
                  <c:v>3232710.04</c:v>
                </c:pt>
                <c:pt idx="4">
                  <c:v>3182370.3</c:v>
                </c:pt>
                <c:pt idx="5">
                  <c:v>3154808.23</c:v>
                </c:pt>
                <c:pt idx="6">
                  <c:v>2683930.1800000002</c:v>
                </c:pt>
                <c:pt idx="7">
                  <c:v>2689008.68</c:v>
                </c:pt>
                <c:pt idx="8">
                  <c:v>2574196.1</c:v>
                </c:pt>
                <c:pt idx="9">
                  <c:v>2523304.62</c:v>
                </c:pt>
                <c:pt idx="10">
                  <c:v>2488519.8199999998</c:v>
                </c:pt>
                <c:pt idx="11">
                  <c:v>2805915.99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A44-401E-AFC7-42C037083802}"/>
            </c:ext>
          </c:extLst>
        </c:ser>
        <c:ser>
          <c:idx val="0"/>
          <c:order val="3"/>
          <c:tx>
            <c:strRef>
              <c:f>'Bank Acct Summary'!$B$169</c:f>
              <c:strCache>
                <c:ptCount val="1"/>
                <c:pt idx="0">
                  <c:v>2017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8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val>
            <c:numRef>
              <c:f>'Bank Acct Summary'!$C$169:$N$169</c:f>
              <c:numCache>
                <c:formatCode>"$"#,##0.00_);\("$"#,##0.00\)</c:formatCode>
                <c:ptCount val="12"/>
                <c:pt idx="0">
                  <c:v>3842583.68</c:v>
                </c:pt>
                <c:pt idx="1">
                  <c:v>4303863.6100000003</c:v>
                </c:pt>
                <c:pt idx="2">
                  <c:v>3767231.7</c:v>
                </c:pt>
                <c:pt idx="3">
                  <c:v>3730690.77</c:v>
                </c:pt>
                <c:pt idx="4">
                  <c:v>3694576.11</c:v>
                </c:pt>
                <c:pt idx="5">
                  <c:v>3680994.04</c:v>
                </c:pt>
                <c:pt idx="6">
                  <c:v>3256150.5999999996</c:v>
                </c:pt>
                <c:pt idx="7">
                  <c:v>3173539.83</c:v>
                </c:pt>
                <c:pt idx="8">
                  <c:v>3060295.83</c:v>
                </c:pt>
                <c:pt idx="9">
                  <c:v>3089233.36</c:v>
                </c:pt>
                <c:pt idx="10">
                  <c:v>3083951.78</c:v>
                </c:pt>
                <c:pt idx="11">
                  <c:v>3842583.68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F6-46CD-A2F2-68E2AC04A7D7}"/>
            </c:ext>
          </c:extLst>
        </c:ser>
        <c:ser>
          <c:idx val="3"/>
          <c:order val="4"/>
          <c:tx>
            <c:strRef>
              <c:f>'Bank Acct Summary'!$B$170</c:f>
              <c:strCache>
                <c:ptCount val="1"/>
                <c:pt idx="0">
                  <c:v>2018</c:v>
                </c:pt>
              </c:strCache>
            </c:strRef>
          </c:tx>
          <c:marker>
            <c:symbol val="square"/>
            <c:size val="7"/>
          </c:marker>
          <c:val>
            <c:numRef>
              <c:f>'Bank Acct Summary'!$C$170:$N$170</c:f>
              <c:numCache>
                <c:formatCode>"$"#,##0.00_);\("$"#,##0.00\)</c:formatCode>
                <c:ptCount val="12"/>
                <c:pt idx="0">
                  <c:v>4728932.8299999991</c:v>
                </c:pt>
                <c:pt idx="1">
                  <c:v>5465845.3499999987</c:v>
                </c:pt>
                <c:pt idx="2">
                  <c:v>5293711.0299999984</c:v>
                </c:pt>
                <c:pt idx="3">
                  <c:v>5251185.42</c:v>
                </c:pt>
                <c:pt idx="4">
                  <c:v>5241860.6500000004</c:v>
                </c:pt>
                <c:pt idx="5">
                  <c:v>5156957.0500000007</c:v>
                </c:pt>
                <c:pt idx="6">
                  <c:v>5104935.8000000007</c:v>
                </c:pt>
                <c:pt idx="7">
                  <c:v>4531228.97</c:v>
                </c:pt>
                <c:pt idx="8">
                  <c:v>8276581.9999999991</c:v>
                </c:pt>
                <c:pt idx="9">
                  <c:v>8231594.7499999991</c:v>
                </c:pt>
                <c:pt idx="10">
                  <c:v>8353246.3199999994</c:v>
                </c:pt>
                <c:pt idx="11">
                  <c:v>8989298.3399999999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BC-42DC-80E2-0B6D4666A2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745920"/>
        <c:axId val="117748480"/>
      </c:lineChart>
      <c:catAx>
        <c:axId val="117745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1" i="0" u="sng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Month</a:t>
                </a:r>
              </a:p>
            </c:rich>
          </c:tx>
          <c:layout>
            <c:manualLayout>
              <c:xMode val="edge"/>
              <c:yMode val="edge"/>
              <c:x val="0.49570815450643779"/>
              <c:y val="0.91396332863187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748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748480"/>
        <c:scaling>
          <c:orientation val="minMax"/>
          <c:max val="6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1" i="0" u="sng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Total District Cash Assets</a:t>
                </a:r>
              </a:p>
            </c:rich>
          </c:tx>
          <c:layout>
            <c:manualLayout>
              <c:xMode val="edge"/>
              <c:yMode val="edge"/>
              <c:x val="3.2188841201716738E-3"/>
              <c:y val="0.40761636107193228"/>
            </c:manualLayout>
          </c:layout>
          <c:overlay val="0"/>
          <c:spPr>
            <a:noFill/>
            <a:ln w="25400">
              <a:noFill/>
            </a:ln>
          </c:spPr>
        </c:title>
        <c:numFmt formatCode="&quot;$&quot;#,##0.00_);\(&quot;$&quot;#,##0.0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74592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75" workbookViewId="0"/>
  </sheetViews>
  <pageMargins left="0.5" right="0.5" top="0.25" bottom="0.75" header="0.5" footer="0.5"/>
  <pageSetup orientation="landscape" r:id="rId1"/>
  <headerFooter alignWithMargins="0">
    <oddFooter>&amp;L&amp;8&amp;F
&amp;A&amp;C&amp;9&amp;P of &amp;N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029700" cy="67437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1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2.75" x14ac:dyDescent="0.2"/>
  <cols>
    <col min="1" max="1" width="28.5703125" style="134" customWidth="1"/>
    <col min="2" max="2" width="17.5703125" style="147" customWidth="1"/>
    <col min="3" max="3" width="16.85546875" style="147" customWidth="1"/>
    <col min="4" max="4" width="19.28515625" style="147" customWidth="1"/>
    <col min="5" max="9" width="15.5703125" style="159" customWidth="1"/>
    <col min="10" max="10" width="16.5703125" style="159" customWidth="1"/>
    <col min="11" max="17" width="15.5703125" style="159" customWidth="1"/>
    <col min="18" max="18" width="17.28515625" style="159" customWidth="1"/>
    <col min="19" max="19" width="9.140625" style="138"/>
    <col min="20" max="20" width="11.5703125" style="138" bestFit="1" customWidth="1"/>
    <col min="21" max="21" width="12.140625" style="138" bestFit="1" customWidth="1"/>
    <col min="22" max="16384" width="9.140625" style="138"/>
  </cols>
  <sheetData>
    <row r="1" spans="1:20" ht="12.75" customHeight="1" x14ac:dyDescent="0.2">
      <c r="B1" s="135">
        <v>43115</v>
      </c>
      <c r="C1" s="135">
        <f>+B1+30</f>
        <v>43145</v>
      </c>
      <c r="D1" s="135">
        <f>+C1+30</f>
        <v>43175</v>
      </c>
      <c r="E1" s="136" t="s">
        <v>127</v>
      </c>
      <c r="F1" s="135">
        <f>+D1+30</f>
        <v>43205</v>
      </c>
      <c r="G1" s="135">
        <f>+F1+30</f>
        <v>43235</v>
      </c>
      <c r="H1" s="135">
        <f>+G1+30</f>
        <v>43265</v>
      </c>
      <c r="I1" s="136" t="s">
        <v>125</v>
      </c>
      <c r="J1" s="135">
        <f>+H1+30</f>
        <v>43295</v>
      </c>
      <c r="K1" s="135">
        <f>+J1+30</f>
        <v>43325</v>
      </c>
      <c r="L1" s="135">
        <f>+K1+30</f>
        <v>43355</v>
      </c>
      <c r="M1" s="136" t="s">
        <v>126</v>
      </c>
      <c r="N1" s="135">
        <f>+L1+30</f>
        <v>43385</v>
      </c>
      <c r="O1" s="135">
        <f>+N1+30</f>
        <v>43415</v>
      </c>
      <c r="P1" s="135">
        <f>+O1+30</f>
        <v>43445</v>
      </c>
      <c r="Q1" s="136" t="s">
        <v>145</v>
      </c>
      <c r="R1" s="137" t="s">
        <v>146</v>
      </c>
    </row>
    <row r="2" spans="1:20" x14ac:dyDescent="0.2">
      <c r="A2" s="139" t="s">
        <v>0</v>
      </c>
      <c r="B2" s="140"/>
      <c r="C2" s="140"/>
      <c r="D2" s="140"/>
      <c r="E2" s="141"/>
      <c r="F2" s="140"/>
      <c r="G2" s="140"/>
      <c r="H2" s="140"/>
      <c r="I2" s="141"/>
      <c r="J2" s="140"/>
      <c r="K2" s="140"/>
      <c r="L2" s="140"/>
      <c r="M2" s="142"/>
      <c r="N2" s="143"/>
      <c r="O2" s="143"/>
      <c r="P2" s="143"/>
      <c r="Q2" s="144"/>
      <c r="R2" s="141"/>
    </row>
    <row r="3" spans="1:20" x14ac:dyDescent="0.2">
      <c r="A3" s="134" t="s">
        <v>9</v>
      </c>
      <c r="B3" s="172">
        <v>1061276.03</v>
      </c>
      <c r="C3" s="172">
        <v>795317.28</v>
      </c>
      <c r="D3" s="172">
        <v>46577.8</v>
      </c>
      <c r="E3" s="145">
        <f t="shared" ref="E3:E11" si="0">SUM(B3:D3)</f>
        <v>1903171.11</v>
      </c>
      <c r="F3" s="182">
        <f>+'2018 Budget Year Report'!F3</f>
        <v>17351.72</v>
      </c>
      <c r="G3" s="172">
        <v>20950.8</v>
      </c>
      <c r="H3" s="172">
        <v>7447.29</v>
      </c>
      <c r="I3" s="145">
        <f t="shared" ref="I3:I11" si="1">SUM(F3:H3)</f>
        <v>45749.810000000005</v>
      </c>
      <c r="J3" s="172">
        <f>7117.34+44.86+844.33</f>
        <v>8006.53</v>
      </c>
      <c r="K3" s="172">
        <v>17808.04</v>
      </c>
      <c r="L3" s="172">
        <v>3341.77</v>
      </c>
      <c r="M3" s="145">
        <f t="shared" ref="M3:M11" si="2">SUM(J3:L3)</f>
        <v>29156.34</v>
      </c>
      <c r="N3" s="172">
        <v>71963.649999999994</v>
      </c>
      <c r="O3" s="172">
        <v>94107.47</v>
      </c>
      <c r="P3" s="172">
        <f>19555.54+5527.38+691.07+793162.02</f>
        <v>818936.01</v>
      </c>
      <c r="Q3" s="145">
        <f t="shared" ref="Q3:Q11" si="3">SUM(N3:P3)</f>
        <v>985007.13</v>
      </c>
      <c r="R3" s="146">
        <f t="shared" ref="R3:R11" si="4">E3+I3+M3+Q3</f>
        <v>2963084.39</v>
      </c>
    </row>
    <row r="4" spans="1:20" x14ac:dyDescent="0.2">
      <c r="A4" s="147" t="s">
        <v>31</v>
      </c>
      <c r="B4" s="173">
        <v>0</v>
      </c>
      <c r="C4" s="173">
        <v>0</v>
      </c>
      <c r="D4" s="173">
        <v>0</v>
      </c>
      <c r="E4" s="145">
        <f t="shared" si="0"/>
        <v>0</v>
      </c>
      <c r="F4" s="173">
        <v>0</v>
      </c>
      <c r="G4" s="173">
        <v>0</v>
      </c>
      <c r="H4" s="173">
        <v>0</v>
      </c>
      <c r="I4" s="145">
        <f t="shared" si="1"/>
        <v>0</v>
      </c>
      <c r="J4" s="173">
        <v>0</v>
      </c>
      <c r="K4" s="173">
        <v>0</v>
      </c>
      <c r="L4" s="173">
        <v>0</v>
      </c>
      <c r="M4" s="145">
        <f t="shared" si="2"/>
        <v>0</v>
      </c>
      <c r="N4" s="173">
        <v>0</v>
      </c>
      <c r="O4" s="173">
        <v>0</v>
      </c>
      <c r="P4" s="173">
        <v>0</v>
      </c>
      <c r="Q4" s="145">
        <f t="shared" si="3"/>
        <v>0</v>
      </c>
      <c r="R4" s="146">
        <f t="shared" si="4"/>
        <v>0</v>
      </c>
    </row>
    <row r="5" spans="1:20" x14ac:dyDescent="0.2">
      <c r="A5" s="134" t="s">
        <v>5</v>
      </c>
      <c r="B5" s="172">
        <v>0</v>
      </c>
      <c r="C5" s="172">
        <v>0</v>
      </c>
      <c r="D5" s="172">
        <v>0</v>
      </c>
      <c r="E5" s="145">
        <f t="shared" si="0"/>
        <v>0</v>
      </c>
      <c r="F5" s="172">
        <v>0</v>
      </c>
      <c r="G5" s="172">
        <v>0</v>
      </c>
      <c r="H5" s="172">
        <v>0</v>
      </c>
      <c r="I5" s="145">
        <f t="shared" si="1"/>
        <v>0</v>
      </c>
      <c r="J5" s="172">
        <v>0</v>
      </c>
      <c r="K5" s="172">
        <v>0</v>
      </c>
      <c r="L5" s="172">
        <v>0</v>
      </c>
      <c r="M5" s="145">
        <f t="shared" si="2"/>
        <v>0</v>
      </c>
      <c r="N5" s="172">
        <v>0</v>
      </c>
      <c r="O5" s="172">
        <v>0</v>
      </c>
      <c r="P5" s="172">
        <v>0</v>
      </c>
      <c r="Q5" s="145">
        <f>SUM(N5:P5)</f>
        <v>0</v>
      </c>
      <c r="R5" s="146">
        <f t="shared" si="4"/>
        <v>0</v>
      </c>
    </row>
    <row r="6" spans="1:20" x14ac:dyDescent="0.2">
      <c r="A6" s="134" t="s">
        <v>107</v>
      </c>
      <c r="B6" s="172">
        <v>164298.9</v>
      </c>
      <c r="C6" s="172">
        <v>181116.05</v>
      </c>
      <c r="D6" s="172">
        <v>159631.01999999999</v>
      </c>
      <c r="E6" s="145">
        <f t="shared" si="0"/>
        <v>505045.97</v>
      </c>
      <c r="F6" s="173">
        <f>+'2018 Budget Year Report'!F7</f>
        <v>180338.21</v>
      </c>
      <c r="G6" s="172">
        <v>194055.06</v>
      </c>
      <c r="H6" s="172">
        <v>153584.39000000001</v>
      </c>
      <c r="I6" s="145">
        <f t="shared" si="1"/>
        <v>527977.66</v>
      </c>
      <c r="J6" s="172">
        <v>177841.53</v>
      </c>
      <c r="K6" s="172">
        <v>171576.55</v>
      </c>
      <c r="L6" s="172">
        <v>195642.32</v>
      </c>
      <c r="M6" s="145">
        <f t="shared" si="2"/>
        <v>545060.39999999991</v>
      </c>
      <c r="N6" s="172">
        <v>192877.38</v>
      </c>
      <c r="O6" s="172">
        <v>308411.21999999997</v>
      </c>
      <c r="P6" s="172">
        <v>259970.75</v>
      </c>
      <c r="Q6" s="145">
        <f t="shared" si="3"/>
        <v>761259.35</v>
      </c>
      <c r="R6" s="146">
        <f t="shared" si="4"/>
        <v>2339343.38</v>
      </c>
    </row>
    <row r="7" spans="1:20" x14ac:dyDescent="0.2">
      <c r="A7" s="147" t="s">
        <v>108</v>
      </c>
      <c r="B7" s="172">
        <v>0</v>
      </c>
      <c r="C7" s="172">
        <v>0</v>
      </c>
      <c r="D7" s="172">
        <v>0</v>
      </c>
      <c r="E7" s="145">
        <f t="shared" si="0"/>
        <v>0</v>
      </c>
      <c r="F7" s="172">
        <v>0</v>
      </c>
      <c r="G7" s="172">
        <v>0</v>
      </c>
      <c r="H7" s="172">
        <v>0</v>
      </c>
      <c r="I7" s="145">
        <f t="shared" si="1"/>
        <v>0</v>
      </c>
      <c r="J7" s="172">
        <v>0</v>
      </c>
      <c r="K7" s="172">
        <v>0</v>
      </c>
      <c r="L7" s="172">
        <v>0</v>
      </c>
      <c r="M7" s="145">
        <f t="shared" si="2"/>
        <v>0</v>
      </c>
      <c r="N7" s="172">
        <v>0</v>
      </c>
      <c r="O7" s="172">
        <v>0</v>
      </c>
      <c r="P7" s="172">
        <v>0</v>
      </c>
      <c r="Q7" s="145">
        <f t="shared" si="3"/>
        <v>0</v>
      </c>
      <c r="R7" s="146">
        <f t="shared" si="4"/>
        <v>0</v>
      </c>
    </row>
    <row r="8" spans="1:20" x14ac:dyDescent="0.2">
      <c r="A8" s="134" t="s">
        <v>41</v>
      </c>
      <c r="B8" s="172">
        <f>'Bank Acct Summary'!C6</f>
        <v>132.24</v>
      </c>
      <c r="C8" s="172">
        <f>'Bank Acct Summary'!D6</f>
        <v>193.20999999999998</v>
      </c>
      <c r="D8" s="172">
        <f>'Bank Acct Summary'!E6</f>
        <v>293.95</v>
      </c>
      <c r="E8" s="145">
        <f t="shared" si="0"/>
        <v>619.4</v>
      </c>
      <c r="F8" s="172">
        <f>+'2018 Budget Year Report'!F9</f>
        <v>1356.88</v>
      </c>
      <c r="G8" s="172">
        <v>3611.91</v>
      </c>
      <c r="H8" s="172">
        <v>3803.34</v>
      </c>
      <c r="I8" s="145">
        <f t="shared" si="1"/>
        <v>8772.130000000001</v>
      </c>
      <c r="J8" s="172">
        <f>+'Bank Acct Summary'!I6</f>
        <v>4124.63</v>
      </c>
      <c r="K8" s="172">
        <f>+'Bank Acct Summary'!J6</f>
        <v>6119.4000000000005</v>
      </c>
      <c r="L8" s="172">
        <v>7751.98</v>
      </c>
      <c r="M8" s="145">
        <f t="shared" si="2"/>
        <v>17996.010000000002</v>
      </c>
      <c r="N8" s="172">
        <f>+'Bank Acct Summary'!L6</f>
        <v>13871.310000000001</v>
      </c>
      <c r="O8" s="172">
        <f>+'Bank Acct Summary'!M6</f>
        <v>202.95</v>
      </c>
      <c r="P8" s="172">
        <f>+'Bank Acct Summary'!N6</f>
        <v>25794.7</v>
      </c>
      <c r="Q8" s="145">
        <f t="shared" si="3"/>
        <v>39868.960000000006</v>
      </c>
      <c r="R8" s="146">
        <f t="shared" si="4"/>
        <v>67256.5</v>
      </c>
    </row>
    <row r="9" spans="1:20" x14ac:dyDescent="0.2">
      <c r="A9" s="134" t="s">
        <v>90</v>
      </c>
      <c r="B9" s="172">
        <v>0</v>
      </c>
      <c r="C9" s="172">
        <v>0</v>
      </c>
      <c r="D9" s="172">
        <v>0</v>
      </c>
      <c r="E9" s="145">
        <f t="shared" si="0"/>
        <v>0</v>
      </c>
      <c r="F9" s="172">
        <v>0</v>
      </c>
      <c r="G9" s="172">
        <v>0</v>
      </c>
      <c r="H9" s="172">
        <v>0</v>
      </c>
      <c r="I9" s="145">
        <f t="shared" si="1"/>
        <v>0</v>
      </c>
      <c r="J9" s="172">
        <v>0</v>
      </c>
      <c r="K9" s="172">
        <v>0</v>
      </c>
      <c r="L9" s="172">
        <v>0</v>
      </c>
      <c r="M9" s="145">
        <f t="shared" si="2"/>
        <v>0</v>
      </c>
      <c r="N9" s="172">
        <v>0</v>
      </c>
      <c r="O9" s="172">
        <v>0</v>
      </c>
      <c r="P9" s="172">
        <v>0</v>
      </c>
      <c r="Q9" s="145">
        <f t="shared" si="3"/>
        <v>0</v>
      </c>
      <c r="R9" s="146">
        <f t="shared" si="4"/>
        <v>0</v>
      </c>
    </row>
    <row r="10" spans="1:20" x14ac:dyDescent="0.2">
      <c r="A10" s="134" t="s">
        <v>99</v>
      </c>
      <c r="B10" s="172">
        <v>0</v>
      </c>
      <c r="C10" s="172">
        <v>0</v>
      </c>
      <c r="D10" s="172">
        <v>0</v>
      </c>
      <c r="E10" s="145">
        <f t="shared" si="0"/>
        <v>0</v>
      </c>
      <c r="F10" s="172">
        <v>0</v>
      </c>
      <c r="G10" s="172">
        <v>0</v>
      </c>
      <c r="H10" s="172">
        <v>0</v>
      </c>
      <c r="I10" s="145">
        <f t="shared" si="1"/>
        <v>0</v>
      </c>
      <c r="J10" s="172">
        <v>0</v>
      </c>
      <c r="K10" s="172">
        <v>0</v>
      </c>
      <c r="L10" s="172">
        <v>0</v>
      </c>
      <c r="M10" s="145">
        <f t="shared" si="2"/>
        <v>0</v>
      </c>
      <c r="N10" s="172">
        <v>0</v>
      </c>
      <c r="O10" s="172">
        <v>0</v>
      </c>
      <c r="P10" s="172">
        <v>0</v>
      </c>
      <c r="Q10" s="145">
        <f>SUM(N10:P10)</f>
        <v>0</v>
      </c>
      <c r="R10" s="146">
        <f t="shared" si="4"/>
        <v>0</v>
      </c>
    </row>
    <row r="11" spans="1:20" x14ac:dyDescent="0.2">
      <c r="A11" s="134" t="s">
        <v>98</v>
      </c>
      <c r="B11" s="172">
        <v>325</v>
      </c>
      <c r="C11" s="172">
        <v>1400</v>
      </c>
      <c r="D11" s="172">
        <v>55.47</v>
      </c>
      <c r="E11" s="145">
        <f t="shared" si="0"/>
        <v>1780.47</v>
      </c>
      <c r="F11" s="172">
        <v>0</v>
      </c>
      <c r="G11" s="172">
        <v>0</v>
      </c>
      <c r="H11" s="172">
        <v>0</v>
      </c>
      <c r="I11" s="145">
        <f t="shared" si="1"/>
        <v>0</v>
      </c>
      <c r="J11" s="172">
        <v>38.04</v>
      </c>
      <c r="K11" s="172">
        <v>-38.04</v>
      </c>
      <c r="L11" s="172">
        <v>0</v>
      </c>
      <c r="M11" s="145">
        <f t="shared" si="2"/>
        <v>0</v>
      </c>
      <c r="N11" s="172">
        <v>65141.96</v>
      </c>
      <c r="O11" s="172">
        <v>0</v>
      </c>
      <c r="P11" s="172">
        <v>0</v>
      </c>
      <c r="Q11" s="145">
        <f t="shared" si="3"/>
        <v>65141.96</v>
      </c>
      <c r="R11" s="146">
        <f t="shared" si="4"/>
        <v>66922.429999999993</v>
      </c>
    </row>
    <row r="12" spans="1:20" x14ac:dyDescent="0.2">
      <c r="B12" s="172"/>
      <c r="C12" s="172"/>
      <c r="D12" s="172"/>
      <c r="E12" s="148"/>
      <c r="F12" s="172"/>
      <c r="G12" s="172"/>
      <c r="H12" s="172"/>
      <c r="I12" s="148"/>
      <c r="J12" s="172"/>
      <c r="K12" s="172"/>
      <c r="L12" s="172"/>
      <c r="M12" s="148"/>
      <c r="N12" s="172"/>
      <c r="O12" s="172"/>
      <c r="P12" s="172"/>
      <c r="Q12" s="148"/>
      <c r="R12" s="148"/>
    </row>
    <row r="13" spans="1:20" x14ac:dyDescent="0.2">
      <c r="A13" s="149" t="s">
        <v>1</v>
      </c>
      <c r="B13" s="174">
        <f>SUM(B3:B11)</f>
        <v>1226032.17</v>
      </c>
      <c r="C13" s="174">
        <f>SUM(C3:C11)</f>
        <v>978026.54</v>
      </c>
      <c r="D13" s="174">
        <f>SUM(D3:D11)</f>
        <v>206558.24000000002</v>
      </c>
      <c r="E13" s="145">
        <f>SUM(E3:E12)</f>
        <v>2410616.9500000002</v>
      </c>
      <c r="F13" s="174">
        <f>SUM(F3:F11)</f>
        <v>199046.81</v>
      </c>
      <c r="G13" s="174">
        <f>SUM(G3:G11)</f>
        <v>218617.77</v>
      </c>
      <c r="H13" s="174">
        <f>SUM(H3:H11)</f>
        <v>164835.02000000002</v>
      </c>
      <c r="I13" s="145">
        <f>SUM(I3:I12)</f>
        <v>582499.60000000009</v>
      </c>
      <c r="J13" s="174">
        <f>SUM(J3:J11)</f>
        <v>190010.73</v>
      </c>
      <c r="K13" s="174">
        <f>SUM(K3:K11)</f>
        <v>195465.94999999998</v>
      </c>
      <c r="L13" s="174">
        <f>SUM(L3:L11)</f>
        <v>206736.07</v>
      </c>
      <c r="M13" s="145">
        <f>SUM(M3:M12)</f>
        <v>592212.74999999988</v>
      </c>
      <c r="N13" s="174">
        <f>SUM(N3:N11)</f>
        <v>343854.30000000005</v>
      </c>
      <c r="O13" s="174">
        <f t="shared" ref="O13:P13" si="5">SUM(O3:O11)</f>
        <v>402721.63999999996</v>
      </c>
      <c r="P13" s="174">
        <f t="shared" si="5"/>
        <v>1104701.46</v>
      </c>
      <c r="Q13" s="145">
        <f>SUM(Q3:Q12)</f>
        <v>1851277.4</v>
      </c>
      <c r="R13" s="146">
        <f>SUM(R3:R12)</f>
        <v>5436606.6999999993</v>
      </c>
      <c r="T13" s="151"/>
    </row>
    <row r="14" spans="1:20" s="134" customFormat="1" ht="9" customHeight="1" x14ac:dyDescent="0.2">
      <c r="A14" s="149"/>
      <c r="B14" s="174"/>
      <c r="C14" s="174"/>
      <c r="D14" s="174"/>
      <c r="E14" s="150"/>
      <c r="F14" s="174"/>
      <c r="G14" s="174"/>
      <c r="H14" s="174"/>
      <c r="I14" s="150"/>
      <c r="J14" s="174"/>
      <c r="K14" s="174"/>
      <c r="L14" s="174"/>
      <c r="M14" s="150"/>
      <c r="N14" s="174"/>
      <c r="O14" s="174"/>
      <c r="P14" s="174"/>
      <c r="Q14" s="150"/>
      <c r="R14" s="150"/>
    </row>
    <row r="15" spans="1:20" s="134" customFormat="1" x14ac:dyDescent="0.2">
      <c r="A15" s="139" t="s">
        <v>47</v>
      </c>
      <c r="B15" s="174"/>
      <c r="C15" s="174"/>
      <c r="D15" s="174"/>
      <c r="E15" s="150"/>
      <c r="F15" s="174"/>
      <c r="G15" s="174"/>
      <c r="H15" s="174"/>
      <c r="I15" s="150"/>
      <c r="J15" s="174"/>
      <c r="K15" s="174"/>
      <c r="L15" s="174"/>
      <c r="M15" s="150"/>
      <c r="N15" s="174"/>
      <c r="O15" s="174"/>
      <c r="P15" s="174"/>
      <c r="Q15" s="150"/>
      <c r="R15" s="150"/>
    </row>
    <row r="16" spans="1:20" ht="13.5" customHeight="1" x14ac:dyDescent="0.2">
      <c r="A16" s="134" t="s">
        <v>60</v>
      </c>
      <c r="B16" s="172">
        <f>+'2018 Budget Year Report'!C17</f>
        <v>210213.41999999998</v>
      </c>
      <c r="C16" s="172">
        <f>+'2018 Budget Year Report'!D17</f>
        <v>215400.16</v>
      </c>
      <c r="D16" s="172">
        <f>+'2018 Budget Year Report'!E17</f>
        <v>246462.56999999998</v>
      </c>
      <c r="E16" s="145">
        <f t="shared" ref="E16:E28" si="6">SUM(B16:D16)</f>
        <v>672076.14999999991</v>
      </c>
      <c r="F16" s="172">
        <v>181827.15</v>
      </c>
      <c r="G16" s="172">
        <v>181536.1</v>
      </c>
      <c r="H16" s="172">
        <v>205209.71</v>
      </c>
      <c r="I16" s="145">
        <f t="shared" ref="I16:I28" si="7">SUM(F16:H16)</f>
        <v>568572.96</v>
      </c>
      <c r="J16" s="172">
        <f>+'2018 Fire Operations Report'!H25</f>
        <v>226725.11999999997</v>
      </c>
      <c r="K16" s="172">
        <f>+'2018 Fire Operations Report'!I25</f>
        <v>267375.74</v>
      </c>
      <c r="L16" s="172">
        <v>330844.40000000002</v>
      </c>
      <c r="M16" s="145">
        <f t="shared" ref="M16:M28" si="8">SUM(J16:L16)</f>
        <v>824945.26</v>
      </c>
      <c r="N16" s="172">
        <f>+'2018 Fire Operations Report'!C52</f>
        <v>185693.27</v>
      </c>
      <c r="O16" s="172">
        <f>+'2018 Fire Operations Report'!D52</f>
        <v>204686.52999999997</v>
      </c>
      <c r="P16" s="172">
        <f>+'2018 Fire Operations Report'!E52</f>
        <v>241151.9</v>
      </c>
      <c r="Q16" s="145">
        <f t="shared" ref="Q16:Q28" si="9">SUM(N16:P16)</f>
        <v>631531.69999999995</v>
      </c>
      <c r="R16" s="146">
        <f t="shared" ref="R16:R28" si="10">E16+I16+M16+Q16</f>
        <v>2697126.07</v>
      </c>
    </row>
    <row r="17" spans="1:18" x14ac:dyDescent="0.2">
      <c r="A17" s="134" t="s">
        <v>45</v>
      </c>
      <c r="B17" s="172">
        <v>0</v>
      </c>
      <c r="C17" s="172">
        <v>0</v>
      </c>
      <c r="D17" s="172">
        <v>5426</v>
      </c>
      <c r="E17" s="145">
        <f t="shared" si="6"/>
        <v>5426</v>
      </c>
      <c r="F17" s="172">
        <v>0</v>
      </c>
      <c r="G17" s="172">
        <v>5405</v>
      </c>
      <c r="H17" s="172">
        <v>0</v>
      </c>
      <c r="I17" s="145">
        <f t="shared" si="7"/>
        <v>5405</v>
      </c>
      <c r="J17" s="172">
        <v>0</v>
      </c>
      <c r="K17" s="172">
        <v>5420</v>
      </c>
      <c r="L17" s="172">
        <v>0</v>
      </c>
      <c r="M17" s="145">
        <f t="shared" si="8"/>
        <v>5420</v>
      </c>
      <c r="N17" s="172">
        <v>0</v>
      </c>
      <c r="O17" s="172">
        <v>5420</v>
      </c>
      <c r="P17" s="172">
        <v>0</v>
      </c>
      <c r="Q17" s="145">
        <f t="shared" si="9"/>
        <v>5420</v>
      </c>
      <c r="R17" s="146">
        <f t="shared" si="10"/>
        <v>21671</v>
      </c>
    </row>
    <row r="18" spans="1:18" x14ac:dyDescent="0.2">
      <c r="A18" s="134" t="s">
        <v>128</v>
      </c>
      <c r="B18" s="172">
        <v>0</v>
      </c>
      <c r="C18" s="172">
        <v>0</v>
      </c>
      <c r="D18" s="172">
        <v>0</v>
      </c>
      <c r="E18" s="145">
        <f t="shared" si="6"/>
        <v>0</v>
      </c>
      <c r="F18" s="172">
        <v>0</v>
      </c>
      <c r="G18" s="172">
        <v>0</v>
      </c>
      <c r="H18" s="172">
        <v>0</v>
      </c>
      <c r="I18" s="145">
        <f t="shared" si="7"/>
        <v>0</v>
      </c>
      <c r="J18" s="172">
        <v>0</v>
      </c>
      <c r="K18" s="172">
        <v>0</v>
      </c>
      <c r="L18" s="172">
        <v>0</v>
      </c>
      <c r="M18" s="145">
        <f t="shared" si="8"/>
        <v>0</v>
      </c>
      <c r="N18" s="172">
        <v>0</v>
      </c>
      <c r="O18" s="172">
        <v>0</v>
      </c>
      <c r="P18" s="172">
        <v>0</v>
      </c>
      <c r="Q18" s="145">
        <f t="shared" si="9"/>
        <v>0</v>
      </c>
      <c r="R18" s="146">
        <f t="shared" si="10"/>
        <v>0</v>
      </c>
    </row>
    <row r="19" spans="1:18" x14ac:dyDescent="0.2">
      <c r="A19" s="134" t="s">
        <v>6</v>
      </c>
      <c r="B19" s="172">
        <v>0</v>
      </c>
      <c r="C19" s="172">
        <v>51.4</v>
      </c>
      <c r="D19" s="172">
        <v>0</v>
      </c>
      <c r="E19" s="145">
        <f t="shared" si="6"/>
        <v>51.4</v>
      </c>
      <c r="F19" s="172">
        <v>0</v>
      </c>
      <c r="G19" s="172">
        <v>0</v>
      </c>
      <c r="H19" s="172">
        <v>0</v>
      </c>
      <c r="I19" s="145">
        <f t="shared" si="7"/>
        <v>0</v>
      </c>
      <c r="J19" s="172">
        <v>0</v>
      </c>
      <c r="K19" s="172">
        <v>0</v>
      </c>
      <c r="L19" s="172">
        <v>0</v>
      </c>
      <c r="M19" s="145">
        <f t="shared" si="8"/>
        <v>0</v>
      </c>
      <c r="N19" s="172">
        <v>0</v>
      </c>
      <c r="O19" s="172">
        <v>0</v>
      </c>
      <c r="P19" s="172">
        <v>861.81</v>
      </c>
      <c r="Q19" s="145">
        <f t="shared" si="9"/>
        <v>861.81</v>
      </c>
      <c r="R19" s="146">
        <f t="shared" si="10"/>
        <v>913.20999999999992</v>
      </c>
    </row>
    <row r="20" spans="1:18" x14ac:dyDescent="0.2">
      <c r="A20" s="134" t="s">
        <v>122</v>
      </c>
      <c r="B20" s="172">
        <v>0</v>
      </c>
      <c r="C20" s="172">
        <v>0</v>
      </c>
      <c r="D20" s="172">
        <v>41875</v>
      </c>
      <c r="E20" s="145">
        <f t="shared" si="6"/>
        <v>41875</v>
      </c>
      <c r="F20" s="172">
        <v>0</v>
      </c>
      <c r="G20" s="172">
        <v>0</v>
      </c>
      <c r="H20" s="172">
        <v>12051</v>
      </c>
      <c r="I20" s="145">
        <f t="shared" si="7"/>
        <v>12051</v>
      </c>
      <c r="J20" s="172">
        <v>0</v>
      </c>
      <c r="K20" s="172">
        <v>0</v>
      </c>
      <c r="L20" s="172">
        <v>18015</v>
      </c>
      <c r="M20" s="145">
        <f t="shared" si="8"/>
        <v>18015</v>
      </c>
      <c r="N20" s="172">
        <v>0</v>
      </c>
      <c r="O20" s="172">
        <v>62564</v>
      </c>
      <c r="P20" s="172">
        <v>0</v>
      </c>
      <c r="Q20" s="145">
        <f t="shared" si="9"/>
        <v>62564</v>
      </c>
      <c r="R20" s="146">
        <f t="shared" si="10"/>
        <v>134505</v>
      </c>
    </row>
    <row r="21" spans="1:18" x14ac:dyDescent="0.2">
      <c r="A21" s="134" t="s">
        <v>8</v>
      </c>
      <c r="B21" s="172">
        <v>0</v>
      </c>
      <c r="C21" s="172">
        <v>0</v>
      </c>
      <c r="D21" s="172">
        <v>0</v>
      </c>
      <c r="E21" s="145">
        <f t="shared" si="6"/>
        <v>0</v>
      </c>
      <c r="F21" s="172">
        <v>0</v>
      </c>
      <c r="G21" s="172">
        <v>15000</v>
      </c>
      <c r="H21" s="172">
        <v>0</v>
      </c>
      <c r="I21" s="145">
        <f t="shared" si="7"/>
        <v>15000</v>
      </c>
      <c r="J21" s="172">
        <v>0</v>
      </c>
      <c r="K21" s="172">
        <v>3750</v>
      </c>
      <c r="L21" s="172">
        <v>0</v>
      </c>
      <c r="M21" s="145">
        <f t="shared" si="8"/>
        <v>3750</v>
      </c>
      <c r="N21" s="172">
        <v>0</v>
      </c>
      <c r="O21" s="172">
        <v>0</v>
      </c>
      <c r="P21" s="172">
        <v>0</v>
      </c>
      <c r="Q21" s="145">
        <f t="shared" si="9"/>
        <v>0</v>
      </c>
      <c r="R21" s="146">
        <f t="shared" si="10"/>
        <v>18750</v>
      </c>
    </row>
    <row r="22" spans="1:18" x14ac:dyDescent="0.2">
      <c r="A22" s="134" t="s">
        <v>7</v>
      </c>
      <c r="B22" s="172">
        <v>0</v>
      </c>
      <c r="C22" s="172">
        <v>2351.96</v>
      </c>
      <c r="D22" s="172">
        <f>4550.57-889.95</f>
        <v>3660.62</v>
      </c>
      <c r="E22" s="145">
        <f t="shared" si="6"/>
        <v>6012.58</v>
      </c>
      <c r="F22" s="172">
        <v>7114.19</v>
      </c>
      <c r="G22" s="172">
        <v>3691.74</v>
      </c>
      <c r="H22" s="172">
        <v>2436.16</v>
      </c>
      <c r="I22" s="145">
        <f t="shared" si="7"/>
        <v>13242.09</v>
      </c>
      <c r="J22" s="172">
        <v>3654.74</v>
      </c>
      <c r="K22" s="172">
        <v>3759.89</v>
      </c>
      <c r="L22" s="172">
        <v>6082.92</v>
      </c>
      <c r="M22" s="145">
        <f t="shared" si="8"/>
        <v>13497.55</v>
      </c>
      <c r="N22" s="172">
        <v>0</v>
      </c>
      <c r="O22" s="172">
        <v>8598.52</v>
      </c>
      <c r="P22" s="172">
        <v>17255.3</v>
      </c>
      <c r="Q22" s="145">
        <f t="shared" si="9"/>
        <v>25853.82</v>
      </c>
      <c r="R22" s="146">
        <f t="shared" si="10"/>
        <v>58606.039999999994</v>
      </c>
    </row>
    <row r="23" spans="1:18" x14ac:dyDescent="0.2">
      <c r="A23" s="134" t="s">
        <v>95</v>
      </c>
      <c r="B23" s="172">
        <v>0</v>
      </c>
      <c r="C23" s="172">
        <v>0</v>
      </c>
      <c r="D23" s="172">
        <v>0</v>
      </c>
      <c r="E23" s="145">
        <f t="shared" si="6"/>
        <v>0</v>
      </c>
      <c r="F23" s="172">
        <v>0</v>
      </c>
      <c r="G23" s="172">
        <v>0</v>
      </c>
      <c r="H23" s="172">
        <v>0</v>
      </c>
      <c r="I23" s="145">
        <f t="shared" si="7"/>
        <v>0</v>
      </c>
      <c r="J23" s="172">
        <v>0</v>
      </c>
      <c r="K23" s="172">
        <v>0</v>
      </c>
      <c r="L23" s="172">
        <v>0</v>
      </c>
      <c r="M23" s="145">
        <f t="shared" si="8"/>
        <v>0</v>
      </c>
      <c r="N23" s="172">
        <v>0</v>
      </c>
      <c r="O23" s="172">
        <v>0</v>
      </c>
      <c r="P23" s="172">
        <v>0</v>
      </c>
      <c r="Q23" s="145">
        <f t="shared" si="9"/>
        <v>0</v>
      </c>
      <c r="R23" s="146">
        <f t="shared" si="10"/>
        <v>0</v>
      </c>
    </row>
    <row r="24" spans="1:18" x14ac:dyDescent="0.2">
      <c r="A24" s="134" t="s">
        <v>43</v>
      </c>
      <c r="B24" s="172">
        <f>717.6+400</f>
        <v>1117.5999999999999</v>
      </c>
      <c r="C24" s="172">
        <f>673.64+537.47</f>
        <v>1211.1100000000001</v>
      </c>
      <c r="D24" s="172">
        <v>2314.12</v>
      </c>
      <c r="E24" s="145">
        <f t="shared" si="6"/>
        <v>4642.83</v>
      </c>
      <c r="F24" s="172">
        <v>5740.45</v>
      </c>
      <c r="G24" s="172">
        <v>2263.98</v>
      </c>
      <c r="H24" s="172">
        <v>2254.89</v>
      </c>
      <c r="I24" s="145">
        <f t="shared" si="7"/>
        <v>10259.32</v>
      </c>
      <c r="J24" s="172">
        <f>558.74+1628.54</f>
        <v>2187.2799999999997</v>
      </c>
      <c r="K24" s="172">
        <v>2205.38</v>
      </c>
      <c r="L24" s="172">
        <v>679.06</v>
      </c>
      <c r="M24" s="145">
        <f t="shared" si="8"/>
        <v>5071.7199999999993</v>
      </c>
      <c r="N24" s="172">
        <v>3470.88</v>
      </c>
      <c r="O24" s="172">
        <v>2699.6</v>
      </c>
      <c r="P24" s="172">
        <f>2150+570.3</f>
        <v>2720.3</v>
      </c>
      <c r="Q24" s="145">
        <f t="shared" si="9"/>
        <v>8890.7799999999988</v>
      </c>
      <c r="R24" s="146">
        <f t="shared" si="10"/>
        <v>28864.649999999998</v>
      </c>
    </row>
    <row r="25" spans="1:18" x14ac:dyDescent="0.2">
      <c r="A25" s="134" t="s">
        <v>123</v>
      </c>
      <c r="B25" s="172">
        <v>0</v>
      </c>
      <c r="C25" s="172">
        <v>0</v>
      </c>
      <c r="D25" s="172">
        <v>0</v>
      </c>
      <c r="E25" s="145">
        <f t="shared" si="6"/>
        <v>0</v>
      </c>
      <c r="F25" s="172">
        <v>0</v>
      </c>
      <c r="G25" s="172">
        <v>0</v>
      </c>
      <c r="H25" s="172">
        <v>0</v>
      </c>
      <c r="I25" s="145">
        <f t="shared" si="7"/>
        <v>0</v>
      </c>
      <c r="J25" s="172">
        <v>0</v>
      </c>
      <c r="K25" s="172">
        <v>800</v>
      </c>
      <c r="L25" s="172">
        <v>0</v>
      </c>
      <c r="M25" s="145">
        <f t="shared" si="8"/>
        <v>800</v>
      </c>
      <c r="N25" s="172">
        <v>0</v>
      </c>
      <c r="O25" s="172">
        <v>0</v>
      </c>
      <c r="P25" s="172">
        <v>0</v>
      </c>
      <c r="Q25" s="145">
        <f t="shared" si="9"/>
        <v>0</v>
      </c>
      <c r="R25" s="146">
        <f t="shared" si="10"/>
        <v>800</v>
      </c>
    </row>
    <row r="26" spans="1:18" x14ac:dyDescent="0.2">
      <c r="A26" s="134" t="s">
        <v>130</v>
      </c>
      <c r="B26" s="172">
        <v>0</v>
      </c>
      <c r="C26" s="172">
        <v>0</v>
      </c>
      <c r="D26" s="172">
        <v>0</v>
      </c>
      <c r="E26" s="145">
        <f t="shared" si="6"/>
        <v>0</v>
      </c>
      <c r="F26" s="172">
        <v>0</v>
      </c>
      <c r="G26" s="172">
        <v>0</v>
      </c>
      <c r="H26" s="172">
        <v>0</v>
      </c>
      <c r="I26" s="145">
        <f t="shared" si="7"/>
        <v>0</v>
      </c>
      <c r="J26" s="172">
        <v>0</v>
      </c>
      <c r="K26" s="172">
        <v>0</v>
      </c>
      <c r="L26" s="172">
        <v>0</v>
      </c>
      <c r="M26" s="145">
        <f t="shared" si="8"/>
        <v>0</v>
      </c>
      <c r="N26" s="172">
        <v>0</v>
      </c>
      <c r="O26" s="172">
        <v>0</v>
      </c>
      <c r="P26" s="172">
        <v>0</v>
      </c>
      <c r="Q26" s="145">
        <f t="shared" si="9"/>
        <v>0</v>
      </c>
      <c r="R26" s="146">
        <f t="shared" si="10"/>
        <v>0</v>
      </c>
    </row>
    <row r="27" spans="1:18" x14ac:dyDescent="0.2">
      <c r="A27" s="134" t="s">
        <v>133</v>
      </c>
      <c r="B27" s="172">
        <v>0</v>
      </c>
      <c r="C27" s="172">
        <v>0</v>
      </c>
      <c r="D27" s="172">
        <v>0</v>
      </c>
      <c r="E27" s="145">
        <f t="shared" si="6"/>
        <v>0</v>
      </c>
      <c r="F27" s="172">
        <v>0</v>
      </c>
      <c r="G27" s="172">
        <v>0</v>
      </c>
      <c r="H27" s="172">
        <v>0</v>
      </c>
      <c r="I27" s="145">
        <f t="shared" si="7"/>
        <v>0</v>
      </c>
      <c r="J27" s="172">
        <v>0</v>
      </c>
      <c r="K27" s="172">
        <v>0</v>
      </c>
      <c r="L27" s="172">
        <v>0</v>
      </c>
      <c r="M27" s="145">
        <f t="shared" si="8"/>
        <v>0</v>
      </c>
      <c r="N27" s="172">
        <v>0</v>
      </c>
      <c r="O27" s="172">
        <v>0</v>
      </c>
      <c r="P27" s="172">
        <v>0</v>
      </c>
      <c r="Q27" s="145">
        <f t="shared" si="9"/>
        <v>0</v>
      </c>
      <c r="R27" s="146">
        <f t="shared" si="10"/>
        <v>0</v>
      </c>
    </row>
    <row r="28" spans="1:18" x14ac:dyDescent="0.2">
      <c r="A28" s="134" t="s">
        <v>59</v>
      </c>
      <c r="B28" s="174">
        <v>30</v>
      </c>
      <c r="C28" s="174">
        <v>0</v>
      </c>
      <c r="D28" s="174">
        <v>-15</v>
      </c>
      <c r="E28" s="145">
        <f t="shared" si="6"/>
        <v>15</v>
      </c>
      <c r="F28" s="174">
        <v>22</v>
      </c>
      <c r="G28" s="174">
        <f>-15+117.04</f>
        <v>102.04</v>
      </c>
      <c r="H28" s="174">
        <v>153.81</v>
      </c>
      <c r="I28" s="145">
        <f t="shared" si="7"/>
        <v>277.85000000000002</v>
      </c>
      <c r="J28" s="174">
        <f>123.59+2200+20</f>
        <v>2343.59</v>
      </c>
      <c r="K28" s="174">
        <v>77.16</v>
      </c>
      <c r="L28" s="174">
        <v>129.36000000000001</v>
      </c>
      <c r="M28" s="145">
        <f t="shared" si="8"/>
        <v>2550.11</v>
      </c>
      <c r="N28" s="174">
        <v>0</v>
      </c>
      <c r="O28" s="174">
        <v>0</v>
      </c>
      <c r="P28" s="174">
        <v>0</v>
      </c>
      <c r="Q28" s="145">
        <f t="shared" si="9"/>
        <v>0</v>
      </c>
      <c r="R28" s="146">
        <f t="shared" si="10"/>
        <v>2842.96</v>
      </c>
    </row>
    <row r="29" spans="1:18" x14ac:dyDescent="0.2">
      <c r="B29" s="150" t="s">
        <v>111</v>
      </c>
      <c r="C29" s="150" t="s">
        <v>111</v>
      </c>
      <c r="D29" s="150" t="s">
        <v>111</v>
      </c>
      <c r="E29" s="152"/>
      <c r="F29" s="150" t="s">
        <v>111</v>
      </c>
      <c r="G29" s="150" t="s">
        <v>111</v>
      </c>
      <c r="H29" s="150" t="s">
        <v>111</v>
      </c>
      <c r="I29" s="152"/>
      <c r="J29" s="150" t="s">
        <v>111</v>
      </c>
      <c r="K29" s="150" t="s">
        <v>111</v>
      </c>
      <c r="L29" s="150" t="s">
        <v>111</v>
      </c>
      <c r="M29" s="152"/>
      <c r="N29" s="150" t="s">
        <v>111</v>
      </c>
      <c r="O29" s="150" t="s">
        <v>111</v>
      </c>
      <c r="P29" s="150" t="s">
        <v>111</v>
      </c>
      <c r="Q29" s="152"/>
      <c r="R29" s="150"/>
    </row>
    <row r="30" spans="1:18" x14ac:dyDescent="0.2">
      <c r="A30" s="149" t="s">
        <v>91</v>
      </c>
      <c r="B30" s="150">
        <f t="shared" ref="B30:R30" si="11">SUM(B16:B28)</f>
        <v>211361.02</v>
      </c>
      <c r="C30" s="150">
        <f t="shared" ref="C30:D30" si="12">SUM(C16:C28)</f>
        <v>219014.62999999998</v>
      </c>
      <c r="D30" s="150">
        <f t="shared" si="12"/>
        <v>299723.30999999994</v>
      </c>
      <c r="E30" s="145">
        <f t="shared" si="11"/>
        <v>730098.95999999985</v>
      </c>
      <c r="F30" s="150">
        <f t="shared" ref="F30:H30" si="13">SUM(F16:F28)</f>
        <v>194703.79</v>
      </c>
      <c r="G30" s="150">
        <f t="shared" si="13"/>
        <v>207998.86000000002</v>
      </c>
      <c r="H30" s="150">
        <f t="shared" si="13"/>
        <v>222105.57</v>
      </c>
      <c r="I30" s="145">
        <f t="shared" si="11"/>
        <v>624808.21999999986</v>
      </c>
      <c r="J30" s="150">
        <f t="shared" ref="J30:L30" si="14">SUM(J16:J28)</f>
        <v>234910.72999999995</v>
      </c>
      <c r="K30" s="150">
        <f t="shared" si="14"/>
        <v>283388.17</v>
      </c>
      <c r="L30" s="150">
        <f t="shared" si="14"/>
        <v>355750.74</v>
      </c>
      <c r="M30" s="145">
        <f t="shared" si="11"/>
        <v>874049.64</v>
      </c>
      <c r="N30" s="150">
        <f t="shared" ref="N30:P30" si="15">SUM(N16:N28)</f>
        <v>189164.15</v>
      </c>
      <c r="O30" s="150">
        <f t="shared" si="15"/>
        <v>283968.64999999997</v>
      </c>
      <c r="P30" s="150">
        <f t="shared" si="15"/>
        <v>261989.30999999997</v>
      </c>
      <c r="Q30" s="145">
        <f t="shared" si="11"/>
        <v>735122.11</v>
      </c>
      <c r="R30" s="146">
        <f t="shared" si="11"/>
        <v>2964078.9299999997</v>
      </c>
    </row>
    <row r="31" spans="1:18" s="134" customFormat="1" ht="12.75" customHeight="1" x14ac:dyDescent="0.2">
      <c r="B31" s="140"/>
      <c r="C31" s="140"/>
      <c r="D31" s="140"/>
      <c r="E31" s="150"/>
      <c r="F31" s="140"/>
      <c r="G31" s="140"/>
      <c r="H31" s="140"/>
      <c r="I31" s="150"/>
      <c r="J31" s="140"/>
      <c r="K31" s="140"/>
      <c r="L31" s="140"/>
      <c r="M31" s="150"/>
      <c r="N31" s="140"/>
      <c r="O31" s="140"/>
      <c r="P31" s="140"/>
      <c r="Q31" s="150"/>
      <c r="R31" s="150"/>
    </row>
    <row r="32" spans="1:18" s="134" customFormat="1" ht="12.75" customHeight="1" x14ac:dyDescent="0.2">
      <c r="A32" s="139" t="s">
        <v>106</v>
      </c>
      <c r="B32" s="140"/>
      <c r="C32" s="140"/>
      <c r="D32" s="140"/>
      <c r="E32" s="150"/>
      <c r="F32" s="140"/>
      <c r="G32" s="140"/>
      <c r="H32" s="140"/>
      <c r="I32" s="150"/>
      <c r="J32" s="140"/>
      <c r="K32" s="140"/>
      <c r="L32" s="140"/>
      <c r="M32" s="150"/>
      <c r="N32" s="140"/>
      <c r="O32" s="140"/>
      <c r="P32" s="140"/>
      <c r="Q32" s="150"/>
      <c r="R32" s="150"/>
    </row>
    <row r="33" spans="1:20" s="134" customFormat="1" ht="12.75" customHeight="1" x14ac:dyDescent="0.2">
      <c r="A33" s="134" t="s">
        <v>161</v>
      </c>
      <c r="B33" s="140">
        <v>0</v>
      </c>
      <c r="C33" s="140">
        <v>0</v>
      </c>
      <c r="D33" s="140">
        <v>0</v>
      </c>
      <c r="E33" s="145">
        <f>SUM(B33:D33)</f>
        <v>0</v>
      </c>
      <c r="F33" s="140">
        <v>0</v>
      </c>
      <c r="G33" s="140">
        <v>0</v>
      </c>
      <c r="H33" s="140">
        <v>0</v>
      </c>
      <c r="I33" s="145">
        <f>SUM(F33:H33)</f>
        <v>0</v>
      </c>
      <c r="J33" s="140">
        <v>0</v>
      </c>
      <c r="K33" s="140">
        <v>0</v>
      </c>
      <c r="L33" s="140">
        <v>0</v>
      </c>
      <c r="M33" s="145">
        <f>SUM(J33:L33)</f>
        <v>0</v>
      </c>
      <c r="N33" s="140">
        <v>0</v>
      </c>
      <c r="O33" s="140">
        <v>0</v>
      </c>
      <c r="P33" s="140">
        <v>0</v>
      </c>
      <c r="Q33" s="145">
        <f>SUM(N33:P33)</f>
        <v>0</v>
      </c>
      <c r="R33" s="146">
        <f>E33+I33+M33+Q33</f>
        <v>0</v>
      </c>
    </row>
    <row r="34" spans="1:20" s="134" customFormat="1" ht="12.75" customHeight="1" x14ac:dyDescent="0.2">
      <c r="A34" s="134" t="s">
        <v>129</v>
      </c>
      <c r="B34" s="140">
        <v>0</v>
      </c>
      <c r="C34" s="140">
        <f>3554.74+18544.65</f>
        <v>22099.39</v>
      </c>
      <c r="D34" s="140">
        <f>5797.13+15510.09</f>
        <v>21307.22</v>
      </c>
      <c r="E34" s="145">
        <f>SUM(B34:D34)</f>
        <v>43406.61</v>
      </c>
      <c r="F34" s="140">
        <v>46868.63</v>
      </c>
      <c r="G34" s="140">
        <v>19943.68</v>
      </c>
      <c r="H34" s="140">
        <v>27633.05</v>
      </c>
      <c r="I34" s="145">
        <f>SUM(F34:H34)</f>
        <v>94445.36</v>
      </c>
      <c r="J34" s="140">
        <v>7121.25</v>
      </c>
      <c r="K34" s="140">
        <v>139936.78</v>
      </c>
      <c r="L34" s="140">
        <v>105632.3</v>
      </c>
      <c r="M34" s="145">
        <f>SUM(J34:L34)</f>
        <v>252690.33000000002</v>
      </c>
      <c r="N34" s="140">
        <v>162526.85</v>
      </c>
      <c r="O34" s="140">
        <v>5498.23</v>
      </c>
      <c r="P34" s="140">
        <f>38235.4+135324.73</f>
        <v>173560.13</v>
      </c>
      <c r="Q34" s="145">
        <f>SUM(N34:P34)</f>
        <v>341585.21</v>
      </c>
      <c r="R34" s="146">
        <f>E34+I34+M34+Q34</f>
        <v>732127.51</v>
      </c>
    </row>
    <row r="35" spans="1:20" s="134" customFormat="1" ht="12.75" customHeight="1" x14ac:dyDescent="0.2">
      <c r="B35" s="140"/>
      <c r="C35" s="140"/>
      <c r="D35" s="140"/>
      <c r="E35" s="145"/>
      <c r="F35" s="140"/>
      <c r="G35" s="140"/>
      <c r="H35" s="140"/>
      <c r="I35" s="145"/>
      <c r="J35" s="140"/>
      <c r="K35" s="140"/>
      <c r="L35" s="140"/>
      <c r="M35" s="145"/>
      <c r="N35" s="140"/>
      <c r="O35" s="140"/>
      <c r="P35" s="140"/>
      <c r="Q35" s="145"/>
      <c r="R35" s="146"/>
    </row>
    <row r="36" spans="1:20" s="134" customFormat="1" ht="12.75" customHeight="1" x14ac:dyDescent="0.2">
      <c r="A36" s="139" t="s">
        <v>46</v>
      </c>
      <c r="B36" s="140"/>
      <c r="C36" s="140"/>
      <c r="D36" s="140"/>
      <c r="E36" s="145"/>
      <c r="F36" s="140"/>
      <c r="G36" s="140"/>
      <c r="H36" s="140"/>
      <c r="I36" s="145"/>
      <c r="J36" s="140"/>
      <c r="K36" s="140"/>
      <c r="L36" s="140"/>
      <c r="M36" s="145"/>
      <c r="N36" s="140"/>
      <c r="O36" s="140"/>
      <c r="P36" s="140"/>
      <c r="Q36" s="145"/>
      <c r="R36" s="146"/>
    </row>
    <row r="37" spans="1:20" s="134" customFormat="1" x14ac:dyDescent="0.2">
      <c r="A37" s="134" t="s">
        <v>154</v>
      </c>
      <c r="B37" s="153">
        <v>128322</v>
      </c>
      <c r="C37" s="153">
        <v>0</v>
      </c>
      <c r="D37" s="153">
        <v>0</v>
      </c>
      <c r="E37" s="145">
        <f>SUM(B37:D37)</f>
        <v>128322</v>
      </c>
      <c r="F37" s="153">
        <v>0</v>
      </c>
      <c r="G37" s="153">
        <v>0</v>
      </c>
      <c r="H37" s="153">
        <v>0</v>
      </c>
      <c r="I37" s="145">
        <f>SUM(F37:H37)</f>
        <v>0</v>
      </c>
      <c r="J37" s="153">
        <v>0</v>
      </c>
      <c r="K37" s="153">
        <v>0</v>
      </c>
      <c r="L37" s="153">
        <v>0</v>
      </c>
      <c r="M37" s="145">
        <f>SUM(J37:L37)</f>
        <v>0</v>
      </c>
      <c r="N37" s="153">
        <v>0</v>
      </c>
      <c r="O37" s="153">
        <v>0</v>
      </c>
      <c r="P37" s="153">
        <v>0</v>
      </c>
      <c r="Q37" s="145">
        <f>SUM(N37:P37)</f>
        <v>0</v>
      </c>
      <c r="R37" s="146">
        <f>E37+I37+M37+Q37</f>
        <v>128322</v>
      </c>
      <c r="T37" s="154"/>
    </row>
    <row r="38" spans="1:20" s="134" customFormat="1" x14ac:dyDescent="0.2">
      <c r="A38" s="134" t="s">
        <v>155</v>
      </c>
      <c r="B38" s="153">
        <v>0</v>
      </c>
      <c r="C38" s="153">
        <v>0</v>
      </c>
      <c r="D38" s="153">
        <v>57662.03</v>
      </c>
      <c r="E38" s="145">
        <f>SUM(B38:D38)</f>
        <v>57662.03</v>
      </c>
      <c r="F38" s="153">
        <v>0</v>
      </c>
      <c r="G38" s="153">
        <v>0</v>
      </c>
      <c r="H38" s="153">
        <v>0</v>
      </c>
      <c r="I38" s="145">
        <f>SUM(F38:H38)</f>
        <v>0</v>
      </c>
      <c r="J38" s="153">
        <v>0</v>
      </c>
      <c r="K38" s="153">
        <v>0</v>
      </c>
      <c r="L38" s="153">
        <v>0</v>
      </c>
      <c r="M38" s="145">
        <f>SUM(J38:L38)</f>
        <v>0</v>
      </c>
      <c r="N38" s="153">
        <v>0</v>
      </c>
      <c r="O38" s="153">
        <v>0</v>
      </c>
      <c r="P38" s="153">
        <v>0</v>
      </c>
      <c r="Q38" s="145">
        <f>SUM(N38:P38)</f>
        <v>0</v>
      </c>
      <c r="R38" s="146">
        <f>E38+I38+M38+Q38</f>
        <v>57662.03</v>
      </c>
      <c r="T38" s="154"/>
    </row>
    <row r="39" spans="1:20" s="134" customFormat="1" x14ac:dyDescent="0.2">
      <c r="A39" s="134" t="s">
        <v>156</v>
      </c>
      <c r="B39" s="153">
        <v>0</v>
      </c>
      <c r="C39" s="153">
        <v>0</v>
      </c>
      <c r="D39" s="153">
        <v>0</v>
      </c>
      <c r="E39" s="145">
        <f>SUM(B39:D39)</f>
        <v>0</v>
      </c>
      <c r="F39" s="153">
        <v>0</v>
      </c>
      <c r="G39" s="153">
        <v>0</v>
      </c>
      <c r="H39" s="153">
        <v>0</v>
      </c>
      <c r="I39" s="145">
        <f>SUM(F39:H39)</f>
        <v>0</v>
      </c>
      <c r="J39" s="153">
        <v>0</v>
      </c>
      <c r="K39" s="153">
        <v>345847.83</v>
      </c>
      <c r="L39" s="153">
        <v>0</v>
      </c>
      <c r="M39" s="145">
        <f>SUM(J39:L39)</f>
        <v>345847.83</v>
      </c>
      <c r="N39" s="153">
        <v>0</v>
      </c>
      <c r="O39" s="153">
        <v>0</v>
      </c>
      <c r="P39" s="153">
        <v>0</v>
      </c>
      <c r="Q39" s="145">
        <f>SUM(N39:P39)</f>
        <v>0</v>
      </c>
      <c r="R39" s="146">
        <f>E39+I39+M39+Q39</f>
        <v>345847.83</v>
      </c>
      <c r="T39" s="154"/>
    </row>
    <row r="40" spans="1:20" s="134" customFormat="1" x14ac:dyDescent="0.2">
      <c r="A40" s="134" t="s">
        <v>157</v>
      </c>
      <c r="B40" s="140">
        <v>0</v>
      </c>
      <c r="C40" s="140">
        <v>0</v>
      </c>
      <c r="D40" s="140">
        <v>0</v>
      </c>
      <c r="E40" s="145">
        <f>SUM(B40:D40)</f>
        <v>0</v>
      </c>
      <c r="F40" s="140">
        <v>0</v>
      </c>
      <c r="G40" s="140">
        <v>0</v>
      </c>
      <c r="H40" s="140">
        <v>0</v>
      </c>
      <c r="I40" s="145">
        <f>SUM(F40:H40)</f>
        <v>0</v>
      </c>
      <c r="J40" s="140">
        <v>0</v>
      </c>
      <c r="K40" s="140">
        <v>0</v>
      </c>
      <c r="L40" s="140">
        <v>0</v>
      </c>
      <c r="M40" s="145">
        <f>SUM(J40:L40)</f>
        <v>0</v>
      </c>
      <c r="N40" s="140">
        <v>0</v>
      </c>
      <c r="O40" s="140">
        <v>0</v>
      </c>
      <c r="P40" s="140">
        <v>0</v>
      </c>
      <c r="Q40" s="145">
        <f>SUM(N40:P40)</f>
        <v>0</v>
      </c>
      <c r="R40" s="146">
        <f>E40+I40+M40+Q40</f>
        <v>0</v>
      </c>
      <c r="T40" s="154"/>
    </row>
    <row r="41" spans="1:20" s="134" customFormat="1" ht="9" customHeight="1" x14ac:dyDescent="0.2">
      <c r="B41" s="140"/>
      <c r="C41" s="140"/>
      <c r="D41" s="140"/>
      <c r="E41" s="152"/>
      <c r="F41" s="140"/>
      <c r="G41" s="140"/>
      <c r="H41" s="140"/>
      <c r="I41" s="152"/>
      <c r="J41" s="140"/>
      <c r="K41" s="140"/>
      <c r="L41" s="140"/>
      <c r="M41" s="152"/>
      <c r="N41" s="140"/>
      <c r="O41" s="140"/>
      <c r="P41" s="140"/>
      <c r="Q41" s="152"/>
      <c r="R41" s="150"/>
      <c r="T41" s="154"/>
    </row>
    <row r="42" spans="1:20" s="134" customFormat="1" x14ac:dyDescent="0.2">
      <c r="A42" s="149" t="s">
        <v>166</v>
      </c>
      <c r="B42" s="140">
        <f t="shared" ref="B42:R42" si="16">SUM(B33:B40)</f>
        <v>128322</v>
      </c>
      <c r="C42" s="140">
        <f t="shared" ref="C42:D42" si="17">SUM(C33:C40)</f>
        <v>22099.39</v>
      </c>
      <c r="D42" s="140">
        <f t="shared" si="17"/>
        <v>78969.25</v>
      </c>
      <c r="E42" s="155">
        <f t="shared" si="16"/>
        <v>229390.63999999998</v>
      </c>
      <c r="F42" s="140">
        <f t="shared" ref="F42:H42" si="18">SUM(F33:F40)</f>
        <v>46868.63</v>
      </c>
      <c r="G42" s="140">
        <f t="shared" si="18"/>
        <v>19943.68</v>
      </c>
      <c r="H42" s="140">
        <f t="shared" si="18"/>
        <v>27633.05</v>
      </c>
      <c r="I42" s="155">
        <f t="shared" si="16"/>
        <v>94445.36</v>
      </c>
      <c r="J42" s="140">
        <f t="shared" ref="J42:L42" si="19">SUM(J33:J40)</f>
        <v>7121.25</v>
      </c>
      <c r="K42" s="140">
        <f t="shared" si="19"/>
        <v>485784.61</v>
      </c>
      <c r="L42" s="140">
        <f t="shared" si="19"/>
        <v>105632.3</v>
      </c>
      <c r="M42" s="155">
        <f t="shared" si="16"/>
        <v>598538.16</v>
      </c>
      <c r="N42" s="140">
        <f t="shared" ref="N42:P42" si="20">SUM(N33:N40)</f>
        <v>162526.85</v>
      </c>
      <c r="O42" s="140">
        <f t="shared" si="20"/>
        <v>5498.23</v>
      </c>
      <c r="P42" s="140">
        <f t="shared" si="20"/>
        <v>173560.13</v>
      </c>
      <c r="Q42" s="145">
        <f t="shared" si="16"/>
        <v>341585.21</v>
      </c>
      <c r="R42" s="146">
        <f t="shared" si="16"/>
        <v>1263959.3700000001</v>
      </c>
    </row>
    <row r="43" spans="1:20" s="134" customFormat="1" x14ac:dyDescent="0.2">
      <c r="B43" s="150"/>
      <c r="C43" s="150"/>
      <c r="D43" s="150"/>
      <c r="E43" s="152"/>
      <c r="F43" s="150"/>
      <c r="G43" s="150"/>
      <c r="H43" s="150"/>
      <c r="I43" s="152"/>
      <c r="J43" s="150"/>
      <c r="K43" s="150"/>
      <c r="L43" s="150"/>
      <c r="M43" s="152"/>
      <c r="N43" s="150"/>
      <c r="O43" s="150"/>
      <c r="P43" s="150"/>
      <c r="Q43" s="152"/>
      <c r="R43" s="150"/>
    </row>
    <row r="44" spans="1:20" s="157" customFormat="1" x14ac:dyDescent="0.2">
      <c r="A44" s="156" t="s">
        <v>56</v>
      </c>
      <c r="B44" s="150">
        <f t="shared" ref="B44:R44" si="21">B30+B42</f>
        <v>339683.02</v>
      </c>
      <c r="C44" s="150">
        <f t="shared" ref="C44:D44" si="22">C30+C42</f>
        <v>241114.01999999996</v>
      </c>
      <c r="D44" s="150">
        <f t="shared" si="22"/>
        <v>378692.55999999994</v>
      </c>
      <c r="E44" s="145">
        <f t="shared" si="21"/>
        <v>959489.59999999986</v>
      </c>
      <c r="F44" s="150">
        <f t="shared" ref="F44:H44" si="23">F30+F42</f>
        <v>241572.42</v>
      </c>
      <c r="G44" s="150">
        <f t="shared" si="23"/>
        <v>227942.54</v>
      </c>
      <c r="H44" s="150">
        <f t="shared" si="23"/>
        <v>249738.62</v>
      </c>
      <c r="I44" s="145">
        <f t="shared" si="21"/>
        <v>719253.57999999984</v>
      </c>
      <c r="J44" s="150">
        <f t="shared" ref="J44:L44" si="24">J30+J42</f>
        <v>242031.97999999995</v>
      </c>
      <c r="K44" s="150">
        <f t="shared" si="24"/>
        <v>769172.78</v>
      </c>
      <c r="L44" s="150">
        <f t="shared" si="24"/>
        <v>461383.04</v>
      </c>
      <c r="M44" s="145">
        <f t="shared" si="21"/>
        <v>1472587.8</v>
      </c>
      <c r="N44" s="150">
        <f t="shared" ref="N44:P44" si="25">N30+N42</f>
        <v>351691</v>
      </c>
      <c r="O44" s="150">
        <f t="shared" si="25"/>
        <v>289466.87999999995</v>
      </c>
      <c r="P44" s="150">
        <f t="shared" si="25"/>
        <v>435549.43999999994</v>
      </c>
      <c r="Q44" s="145">
        <f t="shared" si="21"/>
        <v>1076707.32</v>
      </c>
      <c r="R44" s="146">
        <f t="shared" si="21"/>
        <v>4228038.3</v>
      </c>
      <c r="T44" s="151"/>
    </row>
    <row r="45" spans="1:20" s="157" customFormat="1" ht="9" customHeight="1" x14ac:dyDescent="0.2">
      <c r="A45" s="156"/>
      <c r="B45" s="150"/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0"/>
      <c r="P45" s="150"/>
      <c r="Q45" s="150"/>
      <c r="R45" s="150"/>
      <c r="T45" s="151"/>
    </row>
    <row r="46" spans="1:20" s="157" customFormat="1" x14ac:dyDescent="0.2">
      <c r="A46" s="158" t="s">
        <v>50</v>
      </c>
      <c r="B46" s="150"/>
      <c r="C46" s="150"/>
      <c r="D46" s="150"/>
      <c r="F46" s="150"/>
      <c r="G46" s="150"/>
      <c r="H46" s="150"/>
      <c r="J46" s="150"/>
      <c r="K46" s="150"/>
      <c r="L46" s="150"/>
      <c r="N46" s="150"/>
      <c r="O46" s="150"/>
      <c r="P46" s="150"/>
      <c r="T46" s="151"/>
    </row>
    <row r="47" spans="1:20" s="157" customFormat="1" x14ac:dyDescent="0.2">
      <c r="A47" s="134" t="s">
        <v>162</v>
      </c>
      <c r="B47" s="150">
        <v>0</v>
      </c>
      <c r="C47" s="150">
        <v>0</v>
      </c>
      <c r="D47" s="150">
        <v>0</v>
      </c>
      <c r="E47" s="145">
        <f>SUM(B47:D47)</f>
        <v>0</v>
      </c>
      <c r="F47" s="150">
        <v>0</v>
      </c>
      <c r="G47" s="150">
        <v>0</v>
      </c>
      <c r="H47" s="150">
        <v>0</v>
      </c>
      <c r="I47" s="145">
        <f>SUM(F47:H47)</f>
        <v>0</v>
      </c>
      <c r="J47" s="150">
        <v>0</v>
      </c>
      <c r="K47" s="150">
        <v>0</v>
      </c>
      <c r="L47" s="150">
        <v>0</v>
      </c>
      <c r="M47" s="145">
        <f>SUM(J47:L47)</f>
        <v>0</v>
      </c>
      <c r="N47" s="150">
        <v>0</v>
      </c>
      <c r="O47" s="150">
        <v>0</v>
      </c>
      <c r="P47" s="150">
        <v>0</v>
      </c>
      <c r="Q47" s="145">
        <f>SUM(N47:P47)</f>
        <v>0</v>
      </c>
      <c r="R47" s="146">
        <f>E47+I47+M47+Q47</f>
        <v>0</v>
      </c>
      <c r="T47" s="151"/>
    </row>
    <row r="48" spans="1:20" s="157" customFormat="1" x14ac:dyDescent="0.2">
      <c r="A48" s="134" t="s">
        <v>167</v>
      </c>
      <c r="B48" s="150">
        <v>0</v>
      </c>
      <c r="C48" s="150">
        <v>0</v>
      </c>
      <c r="D48" s="150">
        <v>0</v>
      </c>
      <c r="E48" s="145">
        <f>SUM(B46:C46)</f>
        <v>0</v>
      </c>
      <c r="F48" s="150">
        <v>0</v>
      </c>
      <c r="G48" s="150">
        <v>0</v>
      </c>
      <c r="H48" s="150">
        <v>0</v>
      </c>
      <c r="I48" s="145">
        <f>SUM(F46:G46)</f>
        <v>0</v>
      </c>
      <c r="J48" s="150">
        <v>0</v>
      </c>
      <c r="K48" s="150">
        <v>0</v>
      </c>
      <c r="L48" s="150">
        <v>4000000</v>
      </c>
      <c r="M48" s="145">
        <f>SUM(J48:L48)</f>
        <v>4000000</v>
      </c>
      <c r="N48" s="150">
        <v>0</v>
      </c>
      <c r="O48" s="150">
        <v>0</v>
      </c>
      <c r="P48" s="150">
        <v>0</v>
      </c>
      <c r="Q48" s="145">
        <f>SUM(N48:P48)</f>
        <v>0</v>
      </c>
      <c r="R48" s="146">
        <f>E48+I48+M48+Q48</f>
        <v>4000000</v>
      </c>
      <c r="T48" s="151"/>
    </row>
    <row r="49" spans="1:21" ht="13.5" customHeight="1" x14ac:dyDescent="0.2">
      <c r="A49" s="134" t="s">
        <v>51</v>
      </c>
      <c r="B49" s="140">
        <v>0</v>
      </c>
      <c r="C49" s="140">
        <v>0</v>
      </c>
      <c r="D49" s="140">
        <v>0</v>
      </c>
      <c r="E49" s="145">
        <f>SUM(B48:C48)</f>
        <v>0</v>
      </c>
      <c r="F49" s="140">
        <v>0</v>
      </c>
      <c r="G49" s="140">
        <v>0</v>
      </c>
      <c r="H49" s="140">
        <v>0</v>
      </c>
      <c r="I49" s="145">
        <f>SUM(F48:G48)</f>
        <v>0</v>
      </c>
      <c r="J49" s="140">
        <v>0</v>
      </c>
      <c r="K49" s="140">
        <v>0</v>
      </c>
      <c r="L49" s="140">
        <v>0</v>
      </c>
      <c r="M49" s="145">
        <f>SUM(J49:L49)</f>
        <v>0</v>
      </c>
      <c r="N49" s="140">
        <v>0</v>
      </c>
      <c r="O49" s="140">
        <v>0</v>
      </c>
      <c r="P49" s="140">
        <v>0</v>
      </c>
      <c r="Q49" s="145">
        <f>SUM(N49:P49)</f>
        <v>0</v>
      </c>
      <c r="R49" s="146">
        <f>E49+I49+M49+Q49</f>
        <v>0</v>
      </c>
    </row>
    <row r="50" spans="1:21" ht="12.75" customHeight="1" x14ac:dyDescent="0.2">
      <c r="A50" s="149"/>
      <c r="B50" s="140"/>
      <c r="C50" s="140"/>
      <c r="D50" s="140"/>
      <c r="E50" s="150"/>
      <c r="F50" s="140"/>
      <c r="G50" s="140"/>
      <c r="H50" s="140"/>
      <c r="I50" s="150"/>
      <c r="J50" s="140"/>
      <c r="K50" s="140"/>
      <c r="L50" s="140"/>
      <c r="N50" s="140"/>
      <c r="O50" s="140"/>
      <c r="P50" s="140"/>
      <c r="Q50" s="150"/>
      <c r="R50" s="160"/>
    </row>
    <row r="51" spans="1:21" ht="12.75" customHeight="1" x14ac:dyDescent="0.2">
      <c r="A51" s="156" t="s">
        <v>85</v>
      </c>
      <c r="B51" s="140">
        <f>B44-B48-B49</f>
        <v>339683.02</v>
      </c>
      <c r="C51" s="140">
        <f>C44-C48-C49</f>
        <v>241114.01999999996</v>
      </c>
      <c r="D51" s="140">
        <f>D44-D48-D49</f>
        <v>378692.55999999994</v>
      </c>
      <c r="E51" s="145">
        <f>E44-E47-E48-E49</f>
        <v>959489.59999999986</v>
      </c>
      <c r="F51" s="140">
        <f>F44-F48-F49</f>
        <v>241572.42</v>
      </c>
      <c r="G51" s="140">
        <f>G44-G48-G49</f>
        <v>227942.54</v>
      </c>
      <c r="H51" s="140">
        <f>H44-H48-H49</f>
        <v>249738.62</v>
      </c>
      <c r="I51" s="145">
        <f>I44-I47-I48-I49</f>
        <v>719253.57999999984</v>
      </c>
      <c r="J51" s="140">
        <f>J44-J48-J49</f>
        <v>242031.97999999995</v>
      </c>
      <c r="K51" s="140">
        <f>K44-K48-K49</f>
        <v>769172.78</v>
      </c>
      <c r="L51" s="140">
        <f>L44-L48-L49</f>
        <v>-3538616.96</v>
      </c>
      <c r="M51" s="145">
        <f>M44-M47-M48-M49</f>
        <v>-2527412.2000000002</v>
      </c>
      <c r="N51" s="140">
        <f t="shared" ref="N51:P51" si="26">N44-N48-N49</f>
        <v>351691</v>
      </c>
      <c r="O51" s="140">
        <f t="shared" si="26"/>
        <v>289466.87999999995</v>
      </c>
      <c r="P51" s="140">
        <f t="shared" si="26"/>
        <v>435549.43999999994</v>
      </c>
      <c r="Q51" s="145">
        <f>Q44-Q47-Q48-Q49</f>
        <v>1076707.32</v>
      </c>
      <c r="R51" s="146">
        <f>R44-R47-R48-R49</f>
        <v>228038.29999999981</v>
      </c>
    </row>
    <row r="52" spans="1:21" ht="12.75" customHeight="1" x14ac:dyDescent="0.2">
      <c r="A52" s="149"/>
      <c r="B52" s="140"/>
      <c r="C52" s="140"/>
      <c r="D52" s="140"/>
      <c r="E52" s="150"/>
      <c r="F52" s="140"/>
      <c r="G52" s="140"/>
      <c r="H52" s="140"/>
      <c r="I52" s="150"/>
      <c r="J52" s="140"/>
      <c r="K52" s="140"/>
      <c r="L52" s="140"/>
      <c r="M52" s="150"/>
      <c r="N52" s="140"/>
      <c r="O52" s="140"/>
      <c r="P52" s="140"/>
      <c r="Q52" s="150"/>
      <c r="R52" s="140"/>
    </row>
    <row r="53" spans="1:21" s="157" customFormat="1" x14ac:dyDescent="0.2">
      <c r="A53" s="161" t="s">
        <v>2</v>
      </c>
      <c r="B53" s="162">
        <f>(B13-B51)</f>
        <v>886349.14999999991</v>
      </c>
      <c r="C53" s="162">
        <f>(C13-C51)</f>
        <v>736912.52</v>
      </c>
      <c r="D53" s="162">
        <f>(D13-D51)</f>
        <v>-172134.31999999992</v>
      </c>
      <c r="E53" s="163"/>
      <c r="F53" s="162">
        <f>(F13-F51)</f>
        <v>-42525.610000000015</v>
      </c>
      <c r="G53" s="162">
        <f>(G13-G51)</f>
        <v>-9324.7700000000186</v>
      </c>
      <c r="H53" s="162">
        <f>(H13-H51)</f>
        <v>-84903.599999999977</v>
      </c>
      <c r="I53" s="163"/>
      <c r="J53" s="162">
        <f>(J13-J51)</f>
        <v>-52021.249999999942</v>
      </c>
      <c r="K53" s="162">
        <f>(K13-K51)</f>
        <v>-573706.83000000007</v>
      </c>
      <c r="L53" s="162">
        <f>(L13-L51)</f>
        <v>3745353.03</v>
      </c>
      <c r="M53" s="145">
        <f>SUM(J53:L53)</f>
        <v>3119624.9499999997</v>
      </c>
      <c r="N53" s="162">
        <f>(N13-N51)</f>
        <v>-7836.6999999999534</v>
      </c>
      <c r="O53" s="162">
        <f>(O13-O51)</f>
        <v>113254.76000000001</v>
      </c>
      <c r="P53" s="162">
        <f>(P13-P51)</f>
        <v>669152.02</v>
      </c>
      <c r="Q53" s="163"/>
      <c r="R53" s="162">
        <f>(R13-R51)</f>
        <v>5208568.3999999994</v>
      </c>
      <c r="T53" s="164"/>
    </row>
    <row r="54" spans="1:21" x14ac:dyDescent="0.2">
      <c r="A54" s="138"/>
      <c r="B54" s="140"/>
      <c r="C54" s="140"/>
      <c r="D54" s="140"/>
      <c r="E54" s="150"/>
      <c r="F54" s="150"/>
      <c r="G54" s="150"/>
      <c r="H54" s="150"/>
      <c r="I54" s="150"/>
      <c r="J54" s="150"/>
      <c r="K54" s="150"/>
      <c r="L54" s="150"/>
      <c r="M54" s="150"/>
      <c r="N54" s="138"/>
      <c r="O54" s="138"/>
      <c r="P54" s="138"/>
      <c r="Q54" s="150"/>
      <c r="R54" s="160"/>
      <c r="T54" s="151"/>
    </row>
    <row r="55" spans="1:21" ht="25.5" x14ac:dyDescent="0.2">
      <c r="A55" s="139" t="s">
        <v>141</v>
      </c>
      <c r="B55" s="140"/>
      <c r="C55" s="140"/>
      <c r="D55" s="140"/>
      <c r="E55" s="160"/>
      <c r="F55" s="160"/>
      <c r="G55" s="160"/>
      <c r="H55" s="160"/>
      <c r="I55" s="160"/>
      <c r="J55" s="160"/>
      <c r="K55" s="160"/>
      <c r="L55" s="160"/>
      <c r="M55" s="160"/>
      <c r="N55" s="150"/>
      <c r="O55" s="150"/>
      <c r="P55" s="150"/>
      <c r="Q55" s="160"/>
      <c r="R55" s="160"/>
    </row>
    <row r="56" spans="1:21" ht="13.5" thickBot="1" x14ac:dyDescent="0.25">
      <c r="A56" s="139" t="s">
        <v>54</v>
      </c>
      <c r="B56" s="140"/>
      <c r="C56" s="140"/>
      <c r="D56" s="140"/>
      <c r="E56" s="160"/>
      <c r="F56" s="160"/>
      <c r="G56" s="160"/>
      <c r="H56" s="160"/>
      <c r="I56" s="160"/>
      <c r="J56" s="160"/>
      <c r="K56" s="160"/>
      <c r="L56" s="160"/>
      <c r="M56" s="160"/>
      <c r="N56" s="160"/>
      <c r="O56" s="160"/>
      <c r="P56" s="160"/>
      <c r="Q56" s="160"/>
      <c r="R56" s="160"/>
    </row>
    <row r="57" spans="1:21" s="134" customFormat="1" ht="13.5" thickBot="1" x14ac:dyDescent="0.25">
      <c r="A57" s="165" t="s">
        <v>3</v>
      </c>
      <c r="B57" s="166">
        <v>3842583.68</v>
      </c>
      <c r="C57" s="166">
        <f>B58</f>
        <v>4728932.8299999991</v>
      </c>
      <c r="D57" s="166">
        <f>C58</f>
        <v>5465845.3499999987</v>
      </c>
      <c r="E57" s="140"/>
      <c r="F57" s="166">
        <f>D58</f>
        <v>5293711.0299999984</v>
      </c>
      <c r="G57" s="166">
        <f>F58</f>
        <v>5251185.42</v>
      </c>
      <c r="H57" s="166">
        <f>G58</f>
        <v>5241860.6500000004</v>
      </c>
      <c r="I57" s="140"/>
      <c r="J57" s="166">
        <f>H58</f>
        <v>5156957.0500000007</v>
      </c>
      <c r="K57" s="166">
        <f>J58</f>
        <v>5104935.8000000007</v>
      </c>
      <c r="L57" s="166">
        <f>K58</f>
        <v>4531228.97</v>
      </c>
      <c r="M57" s="140"/>
      <c r="N57" s="166">
        <f>L58</f>
        <v>8276581.9999999991</v>
      </c>
      <c r="O57" s="166">
        <f>N58</f>
        <v>8231594.7499999991</v>
      </c>
      <c r="P57" s="166">
        <f>O58</f>
        <v>8353246.3199999994</v>
      </c>
      <c r="Q57" s="140"/>
      <c r="R57" s="140"/>
    </row>
    <row r="58" spans="1:21" s="154" customFormat="1" ht="13.5" thickBot="1" x14ac:dyDescent="0.25">
      <c r="A58" s="167" t="s">
        <v>4</v>
      </c>
      <c r="B58" s="168">
        <f>'Bank Acct Summary'!C123</f>
        <v>4728932.8299999991</v>
      </c>
      <c r="C58" s="168">
        <f>'Bank Acct Summary'!D123</f>
        <v>5465845.3499999987</v>
      </c>
      <c r="D58" s="168">
        <f>'Bank Acct Summary'!E123</f>
        <v>5293711.0299999984</v>
      </c>
      <c r="E58" s="150"/>
      <c r="F58" s="168">
        <f>'Bank Acct Summary'!F123</f>
        <v>5251185.42</v>
      </c>
      <c r="G58" s="168">
        <f>'Bank Acct Summary'!G123</f>
        <v>5241860.6500000004</v>
      </c>
      <c r="H58" s="168">
        <f>'Bank Acct Summary'!H123</f>
        <v>5156957.0500000007</v>
      </c>
      <c r="I58" s="150"/>
      <c r="J58" s="168">
        <f>'Bank Acct Summary'!I123</f>
        <v>5104935.8000000007</v>
      </c>
      <c r="K58" s="168">
        <f>'Bank Acct Summary'!J123</f>
        <v>4531228.97</v>
      </c>
      <c r="L58" s="168">
        <f>'Bank Acct Summary'!K123</f>
        <v>8276581.9999999991</v>
      </c>
      <c r="M58" s="150"/>
      <c r="N58" s="168">
        <f>'Bank Acct Summary'!L123</f>
        <v>8231594.7499999991</v>
      </c>
      <c r="O58" s="168">
        <f>'Bank Acct Summary'!M123</f>
        <v>8353246.3199999994</v>
      </c>
      <c r="P58" s="168">
        <f>'Bank Acct Summary'!N123</f>
        <v>8989298.3399999999</v>
      </c>
      <c r="Q58" s="150"/>
      <c r="R58" s="150"/>
      <c r="U58" s="169"/>
    </row>
    <row r="59" spans="1:21" x14ac:dyDescent="0.2">
      <c r="N59" s="138"/>
      <c r="O59" s="138"/>
      <c r="P59" s="138"/>
      <c r="U59" s="151"/>
    </row>
    <row r="61" spans="1:21" x14ac:dyDescent="0.2">
      <c r="U61" s="151"/>
    </row>
    <row r="62" spans="1:21" x14ac:dyDescent="0.2">
      <c r="U62" s="151"/>
    </row>
    <row r="63" spans="1:21" x14ac:dyDescent="0.2">
      <c r="B63" s="140">
        <f>B57+B53</f>
        <v>4728932.83</v>
      </c>
      <c r="C63" s="140">
        <f>C57+C53</f>
        <v>5465845.3499999996</v>
      </c>
      <c r="D63" s="140">
        <f>D57+D53</f>
        <v>5293711.0299999984</v>
      </c>
      <c r="F63" s="140">
        <f>F57+F53</f>
        <v>5251185.4199999981</v>
      </c>
      <c r="G63" s="140">
        <f>G57+G53</f>
        <v>5241860.6500000004</v>
      </c>
      <c r="H63" s="140">
        <f>H57+H53</f>
        <v>5156957.0500000007</v>
      </c>
      <c r="I63" s="140"/>
      <c r="J63" s="140">
        <f>J57+J53</f>
        <v>5104935.8000000007</v>
      </c>
      <c r="K63" s="140">
        <f>K57+K53</f>
        <v>4531228.9700000007</v>
      </c>
      <c r="L63" s="140">
        <f>L57+L53</f>
        <v>8276582</v>
      </c>
      <c r="M63" s="140"/>
      <c r="N63" s="140">
        <f>N57+N53</f>
        <v>8268745.2999999989</v>
      </c>
      <c r="O63" s="140">
        <f>O57+O53</f>
        <v>8344849.5099999988</v>
      </c>
      <c r="P63" s="140">
        <f>P57+P53</f>
        <v>9022398.3399999999</v>
      </c>
      <c r="Q63" s="140"/>
      <c r="R63" s="160">
        <f>B57+R53</f>
        <v>9051152.0800000001</v>
      </c>
      <c r="U63" s="151"/>
    </row>
    <row r="64" spans="1:21" x14ac:dyDescent="0.2">
      <c r="F64" s="140"/>
      <c r="G64" s="140"/>
      <c r="H64" s="140"/>
      <c r="J64" s="140"/>
      <c r="K64" s="140"/>
      <c r="L64" s="140"/>
      <c r="N64" s="140"/>
      <c r="O64" s="140"/>
      <c r="P64" s="140"/>
    </row>
    <row r="65" spans="2:21" x14ac:dyDescent="0.2">
      <c r="B65" s="140">
        <f>B58-B63</f>
        <v>0</v>
      </c>
      <c r="C65" s="140">
        <f>C58-C63</f>
        <v>0</v>
      </c>
      <c r="D65" s="140">
        <f>D58-D63</f>
        <v>0</v>
      </c>
      <c r="F65" s="140">
        <f>F58-F63</f>
        <v>0</v>
      </c>
      <c r="G65" s="140">
        <f>G58-G63</f>
        <v>0</v>
      </c>
      <c r="H65" s="140">
        <f>H58-H63</f>
        <v>0</v>
      </c>
      <c r="I65" s="140"/>
      <c r="J65" s="140">
        <f>J58-J63</f>
        <v>0</v>
      </c>
      <c r="K65" s="140">
        <f>K58-K63</f>
        <v>0</v>
      </c>
      <c r="L65" s="140">
        <f>L58-L63</f>
        <v>0</v>
      </c>
      <c r="M65" s="140"/>
      <c r="N65" s="140">
        <f>N58-N63</f>
        <v>-37150.549999999814</v>
      </c>
      <c r="O65" s="140">
        <f>O58-O63</f>
        <v>8396.8100000005215</v>
      </c>
      <c r="P65" s="140">
        <f>P58-P63</f>
        <v>-33100</v>
      </c>
      <c r="Q65" s="140"/>
      <c r="R65" s="140">
        <f>D58-R63</f>
        <v>-3757441.0500000017</v>
      </c>
      <c r="U65" s="151"/>
    </row>
    <row r="66" spans="2:21" x14ac:dyDescent="0.2">
      <c r="N66" s="140"/>
      <c r="O66" s="140"/>
      <c r="P66" s="140"/>
    </row>
    <row r="67" spans="2:21" x14ac:dyDescent="0.2">
      <c r="B67" s="140"/>
      <c r="K67" s="160"/>
      <c r="O67" s="160">
        <f>+O65+N65</f>
        <v>-28753.739999999292</v>
      </c>
      <c r="U67" s="151"/>
    </row>
    <row r="68" spans="2:21" x14ac:dyDescent="0.2">
      <c r="H68" s="160"/>
      <c r="K68" s="160"/>
      <c r="R68" s="160"/>
    </row>
    <row r="69" spans="2:21" x14ac:dyDescent="0.2">
      <c r="B69" s="140"/>
      <c r="U69" s="151"/>
    </row>
    <row r="71" spans="2:21" x14ac:dyDescent="0.2">
      <c r="F71" s="160"/>
    </row>
  </sheetData>
  <phoneticPr fontId="0" type="noConversion"/>
  <printOptions horizontalCentered="1" gridLines="1"/>
  <pageMargins left="0.5" right="0.5" top="0.97" bottom="0.43" header="0.24" footer="0.31"/>
  <pageSetup scale="62" fitToWidth="2" orientation="landscape" r:id="rId1"/>
  <headerFooter alignWithMargins="0">
    <oddHeader>&amp;C&amp;"Arial,Bold"&amp;18HCESD #29
2017 Monthly Financial Report
Change in Cash Position</oddHeader>
    <oddFooter>&amp;L&amp;9&amp;F
&amp;A
&amp;C&amp;9&amp;P of &amp;N</oddFooter>
  </headerFooter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59"/>
  <sheetViews>
    <sheetView zoomScale="85" zoomScaleNormal="85" workbookViewId="0">
      <pane xSplit="1" ySplit="2" topLeftCell="B3" activePane="bottomRight" state="frozen"/>
      <selection activeCell="B67" sqref="B67"/>
      <selection pane="topRight" activeCell="B67" sqref="B67"/>
      <selection pane="bottomLeft" activeCell="B67" sqref="B67"/>
      <selection pane="bottomRight" activeCell="B3" sqref="B3"/>
    </sheetView>
  </sheetViews>
  <sheetFormatPr defaultRowHeight="12.75" x14ac:dyDescent="0.2"/>
  <cols>
    <col min="1" max="1" width="31.5703125" style="6" customWidth="1"/>
    <col min="2" max="2" width="12.5703125" style="6" customWidth="1"/>
    <col min="3" max="3" width="13.7109375" style="6" customWidth="1"/>
    <col min="4" max="4" width="14.28515625" style="6" customWidth="1"/>
    <col min="5" max="5" width="14.5703125" style="6" customWidth="1"/>
    <col min="6" max="10" width="13.42578125" style="6" customWidth="1"/>
    <col min="11" max="11" width="15.42578125" style="6" bestFit="1" customWidth="1"/>
    <col min="12" max="12" width="13.85546875" style="6" bestFit="1" customWidth="1"/>
    <col min="13" max="13" width="13.42578125" style="6" customWidth="1"/>
    <col min="14" max="14" width="14.5703125" style="6" customWidth="1"/>
    <col min="15" max="15" width="14.85546875" style="6" customWidth="1"/>
    <col min="16" max="16" width="16.7109375" style="17" customWidth="1"/>
    <col min="17" max="17" width="16.140625" style="17" customWidth="1"/>
    <col min="18" max="18" width="13.7109375" style="17" customWidth="1"/>
    <col min="19" max="16384" width="9.140625" style="6"/>
  </cols>
  <sheetData>
    <row r="1" spans="1:18" s="1" customFormat="1" ht="25.5" x14ac:dyDescent="0.2">
      <c r="B1" s="23" t="s">
        <v>163</v>
      </c>
      <c r="C1" s="24">
        <v>43115</v>
      </c>
      <c r="D1" s="24">
        <f t="shared" ref="D1:M1" si="0">+C1+30</f>
        <v>43145</v>
      </c>
      <c r="E1" s="24">
        <f t="shared" si="0"/>
        <v>43175</v>
      </c>
      <c r="F1" s="24">
        <f t="shared" si="0"/>
        <v>43205</v>
      </c>
      <c r="G1" s="24">
        <f t="shared" si="0"/>
        <v>43235</v>
      </c>
      <c r="H1" s="24">
        <f t="shared" si="0"/>
        <v>43265</v>
      </c>
      <c r="I1" s="24">
        <f t="shared" si="0"/>
        <v>43295</v>
      </c>
      <c r="J1" s="24">
        <f t="shared" si="0"/>
        <v>43325</v>
      </c>
      <c r="K1" s="24">
        <f t="shared" si="0"/>
        <v>43355</v>
      </c>
      <c r="L1" s="24">
        <f t="shared" si="0"/>
        <v>43385</v>
      </c>
      <c r="M1" s="24">
        <f t="shared" si="0"/>
        <v>43415</v>
      </c>
      <c r="N1" s="24">
        <v>43071</v>
      </c>
      <c r="O1" s="66" t="s">
        <v>144</v>
      </c>
      <c r="P1" s="26" t="s">
        <v>147</v>
      </c>
      <c r="Q1" s="27" t="s">
        <v>61</v>
      </c>
      <c r="R1" s="28" t="s">
        <v>10</v>
      </c>
    </row>
    <row r="2" spans="1:18" x14ac:dyDescent="0.2">
      <c r="A2" s="2" t="s">
        <v>11</v>
      </c>
      <c r="B2" s="18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  <c r="Q2" s="5"/>
      <c r="R2" s="5"/>
    </row>
    <row r="3" spans="1:18" s="9" customFormat="1" ht="12.75" customHeight="1" x14ac:dyDescent="0.2">
      <c r="A3" s="127" t="s">
        <v>164</v>
      </c>
      <c r="B3" s="184">
        <v>0</v>
      </c>
      <c r="C3" s="84">
        <v>1061276.03</v>
      </c>
      <c r="D3" s="185">
        <v>795317.28</v>
      </c>
      <c r="E3" s="185">
        <v>46577.8</v>
      </c>
      <c r="F3" s="185">
        <f>10887.14+119.5+1244.77+5100.31</f>
        <v>17351.72</v>
      </c>
      <c r="G3" s="185">
        <v>20950.8</v>
      </c>
      <c r="H3" s="185">
        <f>359.1+6702.54+91+294.65</f>
        <v>7447.29</v>
      </c>
      <c r="I3" s="185">
        <v>8006.53</v>
      </c>
      <c r="J3" s="185">
        <v>17808.04</v>
      </c>
      <c r="K3" s="185">
        <v>3341.77</v>
      </c>
      <c r="L3" s="185">
        <v>71963.649999999994</v>
      </c>
      <c r="M3" s="186">
        <v>94107.47</v>
      </c>
      <c r="N3" s="185">
        <v>818936.01</v>
      </c>
      <c r="O3" s="89">
        <f t="shared" ref="O3:O12" si="1">SUM(B3:N3)</f>
        <v>2963084.3900000006</v>
      </c>
      <c r="P3" s="90">
        <v>2750000</v>
      </c>
      <c r="Q3" s="91">
        <f t="shared" ref="Q3:Q12" si="2">O3-P3</f>
        <v>213084.3900000006</v>
      </c>
      <c r="R3" s="8">
        <f t="shared" ref="R3:R9" si="3">O3/P3</f>
        <v>1.077485232727273</v>
      </c>
    </row>
    <row r="4" spans="1:18" s="9" customFormat="1" ht="12.75" customHeight="1" x14ac:dyDescent="0.2">
      <c r="A4" s="7" t="s">
        <v>109</v>
      </c>
      <c r="B4" s="11"/>
      <c r="C4" s="83">
        <v>0</v>
      </c>
      <c r="D4" s="83">
        <v>0</v>
      </c>
      <c r="E4" s="83">
        <v>0</v>
      </c>
      <c r="F4" s="83">
        <v>0</v>
      </c>
      <c r="G4" s="83">
        <v>0</v>
      </c>
      <c r="H4" s="83">
        <v>0</v>
      </c>
      <c r="I4" s="83">
        <v>0</v>
      </c>
      <c r="J4" s="83">
        <v>0</v>
      </c>
      <c r="K4" s="83">
        <v>0</v>
      </c>
      <c r="L4" s="83">
        <v>0</v>
      </c>
      <c r="M4" s="83">
        <v>0</v>
      </c>
      <c r="N4" s="83">
        <v>0</v>
      </c>
      <c r="O4" s="85">
        <f t="shared" si="1"/>
        <v>0</v>
      </c>
      <c r="P4" s="86">
        <v>10000</v>
      </c>
      <c r="Q4" s="87">
        <f t="shared" si="2"/>
        <v>-10000</v>
      </c>
      <c r="R4" s="8">
        <f t="shared" si="3"/>
        <v>0</v>
      </c>
    </row>
    <row r="5" spans="1:18" s="9" customFormat="1" x14ac:dyDescent="0.2">
      <c r="A5" s="22" t="s">
        <v>32</v>
      </c>
      <c r="B5" s="11"/>
      <c r="C5" s="104">
        <v>0</v>
      </c>
      <c r="D5" s="104">
        <v>0</v>
      </c>
      <c r="E5" s="104">
        <v>0</v>
      </c>
      <c r="F5" s="104">
        <v>0</v>
      </c>
      <c r="G5" s="104">
        <v>0</v>
      </c>
      <c r="H5" s="104">
        <v>0</v>
      </c>
      <c r="I5" s="104">
        <v>0</v>
      </c>
      <c r="J5" s="104">
        <v>0</v>
      </c>
      <c r="K5" s="104">
        <v>0</v>
      </c>
      <c r="L5" s="104">
        <v>0</v>
      </c>
      <c r="M5" s="104">
        <v>0</v>
      </c>
      <c r="N5" s="104">
        <v>0</v>
      </c>
      <c r="O5" s="85">
        <f t="shared" si="1"/>
        <v>0</v>
      </c>
      <c r="P5" s="86">
        <v>-14000</v>
      </c>
      <c r="Q5" s="87">
        <f t="shared" si="2"/>
        <v>14000</v>
      </c>
      <c r="R5" s="8">
        <f t="shared" si="3"/>
        <v>0</v>
      </c>
    </row>
    <row r="6" spans="1:18" x14ac:dyDescent="0.2">
      <c r="A6" s="10" t="s">
        <v>5</v>
      </c>
      <c r="B6" s="11"/>
      <c r="C6" s="128">
        <v>0</v>
      </c>
      <c r="D6" s="88">
        <v>0</v>
      </c>
      <c r="E6" s="88">
        <v>0</v>
      </c>
      <c r="F6" s="88">
        <v>0</v>
      </c>
      <c r="G6" s="88">
        <v>0</v>
      </c>
      <c r="H6" s="88">
        <v>0</v>
      </c>
      <c r="I6" s="88">
        <v>0</v>
      </c>
      <c r="J6" s="88">
        <v>0</v>
      </c>
      <c r="K6" s="88">
        <v>0</v>
      </c>
      <c r="L6" s="88">
        <v>0</v>
      </c>
      <c r="M6" s="88">
        <v>0</v>
      </c>
      <c r="N6" s="88">
        <v>0</v>
      </c>
      <c r="O6" s="85">
        <f t="shared" si="1"/>
        <v>0</v>
      </c>
      <c r="P6" s="97">
        <v>15000</v>
      </c>
      <c r="Q6" s="98">
        <f t="shared" si="2"/>
        <v>-15000</v>
      </c>
      <c r="R6" s="12">
        <f t="shared" si="3"/>
        <v>0</v>
      </c>
    </row>
    <row r="7" spans="1:18" x14ac:dyDescent="0.2">
      <c r="A7" s="10" t="s">
        <v>107</v>
      </c>
      <c r="B7" s="11"/>
      <c r="C7" s="88">
        <v>164298.9</v>
      </c>
      <c r="D7" s="88">
        <v>181116.05</v>
      </c>
      <c r="E7" s="88">
        <v>159631.01999999999</v>
      </c>
      <c r="F7" s="88">
        <v>180338.21</v>
      </c>
      <c r="G7" s="88">
        <v>194055.06</v>
      </c>
      <c r="H7" s="88">
        <v>153584.39000000001</v>
      </c>
      <c r="I7" s="88">
        <v>177841.53</v>
      </c>
      <c r="J7" s="88">
        <v>171576.55</v>
      </c>
      <c r="K7" s="88">
        <v>195642.32</v>
      </c>
      <c r="L7" s="88">
        <v>192877.38</v>
      </c>
      <c r="M7" s="88">
        <v>308411.21999999997</v>
      </c>
      <c r="N7" s="88">
        <v>259970.75</v>
      </c>
      <c r="O7" s="85">
        <f t="shared" si="1"/>
        <v>2339343.38</v>
      </c>
      <c r="P7" s="97">
        <v>1550000</v>
      </c>
      <c r="Q7" s="98">
        <f t="shared" si="2"/>
        <v>789343.37999999989</v>
      </c>
      <c r="R7" s="12">
        <f t="shared" si="3"/>
        <v>1.509253793548387</v>
      </c>
    </row>
    <row r="8" spans="1:18" x14ac:dyDescent="0.2">
      <c r="A8" s="22" t="s">
        <v>108</v>
      </c>
      <c r="B8" s="11"/>
      <c r="C8" s="88">
        <v>0</v>
      </c>
      <c r="D8" s="88">
        <v>0</v>
      </c>
      <c r="E8" s="88">
        <v>0</v>
      </c>
      <c r="F8" s="88">
        <v>0</v>
      </c>
      <c r="G8" s="88">
        <v>0</v>
      </c>
      <c r="H8" s="88">
        <v>0</v>
      </c>
      <c r="I8" s="88">
        <v>0</v>
      </c>
      <c r="J8" s="88">
        <v>0</v>
      </c>
      <c r="K8" s="88">
        <v>0</v>
      </c>
      <c r="L8" s="88">
        <v>0</v>
      </c>
      <c r="M8" s="88">
        <v>0</v>
      </c>
      <c r="N8" s="88">
        <v>0</v>
      </c>
      <c r="O8" s="85">
        <f t="shared" si="1"/>
        <v>0</v>
      </c>
      <c r="P8" s="97">
        <v>-31000</v>
      </c>
      <c r="Q8" s="98">
        <f t="shared" si="2"/>
        <v>31000</v>
      </c>
      <c r="R8" s="12">
        <f t="shared" si="3"/>
        <v>0</v>
      </c>
    </row>
    <row r="9" spans="1:18" x14ac:dyDescent="0.2">
      <c r="A9" s="10" t="s">
        <v>12</v>
      </c>
      <c r="B9" s="11"/>
      <c r="C9" s="178">
        <f>+'Bank Acct Summary'!C6</f>
        <v>132.24</v>
      </c>
      <c r="D9" s="88">
        <v>193.21</v>
      </c>
      <c r="E9" s="88">
        <v>293.95</v>
      </c>
      <c r="F9" s="88">
        <f>125.98+1229.75+1.15</f>
        <v>1356.88</v>
      </c>
      <c r="G9" s="88">
        <v>3611.91</v>
      </c>
      <c r="H9" s="88">
        <v>3803.34</v>
      </c>
      <c r="I9" s="88">
        <v>4124.63</v>
      </c>
      <c r="J9" s="178">
        <f>+'Bank Acct Summary'!J6</f>
        <v>6119.4000000000005</v>
      </c>
      <c r="K9" s="88">
        <v>7751.98</v>
      </c>
      <c r="L9" s="88">
        <v>13871.31</v>
      </c>
      <c r="M9" s="178">
        <f>+'Bank Acct Summary'!M6</f>
        <v>202.95</v>
      </c>
      <c r="N9" s="88">
        <v>25794.7</v>
      </c>
      <c r="O9" s="85">
        <f t="shared" si="1"/>
        <v>67256.5</v>
      </c>
      <c r="P9" s="97">
        <v>600</v>
      </c>
      <c r="Q9" s="98">
        <f t="shared" si="2"/>
        <v>66656.5</v>
      </c>
      <c r="R9" s="12">
        <f t="shared" si="3"/>
        <v>112.09416666666667</v>
      </c>
    </row>
    <row r="10" spans="1:18" x14ac:dyDescent="0.2">
      <c r="A10" s="126" t="s">
        <v>131</v>
      </c>
      <c r="B10" s="11"/>
      <c r="C10" s="88">
        <v>0</v>
      </c>
      <c r="D10" s="88">
        <v>0</v>
      </c>
      <c r="E10" s="88">
        <v>0</v>
      </c>
      <c r="F10" s="88">
        <v>0</v>
      </c>
      <c r="G10" s="88">
        <v>0</v>
      </c>
      <c r="H10" s="88">
        <v>0</v>
      </c>
      <c r="I10" s="88">
        <v>0</v>
      </c>
      <c r="J10" s="88">
        <v>0</v>
      </c>
      <c r="K10" s="88">
        <v>0</v>
      </c>
      <c r="L10" s="88">
        <v>0</v>
      </c>
      <c r="M10" s="88">
        <v>0</v>
      </c>
      <c r="N10" s="88">
        <v>0</v>
      </c>
      <c r="O10" s="85">
        <f t="shared" si="1"/>
        <v>0</v>
      </c>
      <c r="P10" s="97">
        <v>0</v>
      </c>
      <c r="Q10" s="98">
        <f t="shared" si="2"/>
        <v>0</v>
      </c>
      <c r="R10" s="12"/>
    </row>
    <row r="11" spans="1:18" x14ac:dyDescent="0.2">
      <c r="A11" s="10" t="s">
        <v>99</v>
      </c>
      <c r="B11" s="11"/>
      <c r="C11" s="88">
        <v>0</v>
      </c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5">
        <f t="shared" si="1"/>
        <v>0</v>
      </c>
      <c r="P11" s="97">
        <v>0</v>
      </c>
      <c r="Q11" s="98">
        <f t="shared" si="2"/>
        <v>0</v>
      </c>
      <c r="R11" s="12"/>
    </row>
    <row r="12" spans="1:18" x14ac:dyDescent="0.2">
      <c r="A12" s="10" t="s">
        <v>98</v>
      </c>
      <c r="B12" s="11"/>
      <c r="C12" s="88">
        <v>325</v>
      </c>
      <c r="D12" s="88">
        <v>1400</v>
      </c>
      <c r="E12" s="88">
        <v>55.47</v>
      </c>
      <c r="F12" s="88">
        <v>0</v>
      </c>
      <c r="G12" s="88">
        <v>0</v>
      </c>
      <c r="H12" s="88">
        <v>0</v>
      </c>
      <c r="I12" s="88">
        <v>38.04</v>
      </c>
      <c r="J12" s="88">
        <v>-38.04</v>
      </c>
      <c r="K12" s="88">
        <v>0</v>
      </c>
      <c r="L12" s="88">
        <v>65141.96</v>
      </c>
      <c r="M12" s="88"/>
      <c r="N12" s="88">
        <v>0</v>
      </c>
      <c r="O12" s="85">
        <f t="shared" si="1"/>
        <v>66922.429999999993</v>
      </c>
      <c r="P12" s="97">
        <v>0</v>
      </c>
      <c r="Q12" s="98">
        <f t="shared" si="2"/>
        <v>66922.429999999993</v>
      </c>
      <c r="R12" s="12"/>
    </row>
    <row r="13" spans="1:18" x14ac:dyDescent="0.2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P13" s="13"/>
      <c r="Q13" s="5"/>
      <c r="R13" s="14"/>
    </row>
    <row r="14" spans="1:18" ht="12" customHeight="1" x14ac:dyDescent="0.2">
      <c r="A14" s="15" t="s">
        <v>48</v>
      </c>
      <c r="B14" s="64"/>
      <c r="C14" s="105">
        <f t="shared" ref="C14:D14" si="4">SUM(C3:C12)</f>
        <v>1226032.17</v>
      </c>
      <c r="D14" s="105">
        <f t="shared" si="4"/>
        <v>978026.54</v>
      </c>
      <c r="E14" s="105">
        <f t="shared" ref="E14:N14" si="5">SUM(E3:E12)</f>
        <v>206558.24000000002</v>
      </c>
      <c r="F14" s="105">
        <f t="shared" si="5"/>
        <v>199046.81</v>
      </c>
      <c r="G14" s="105">
        <f t="shared" si="5"/>
        <v>218617.77</v>
      </c>
      <c r="H14" s="105">
        <f t="shared" si="5"/>
        <v>164835.02000000002</v>
      </c>
      <c r="I14" s="105">
        <f t="shared" si="5"/>
        <v>190010.73</v>
      </c>
      <c r="J14" s="105">
        <f t="shared" si="5"/>
        <v>195465.94999999998</v>
      </c>
      <c r="K14" s="105">
        <f t="shared" si="5"/>
        <v>206736.07</v>
      </c>
      <c r="L14" s="105">
        <f t="shared" si="5"/>
        <v>343854.30000000005</v>
      </c>
      <c r="M14" s="105">
        <f t="shared" si="5"/>
        <v>402721.63999999996</v>
      </c>
      <c r="N14" s="105">
        <f t="shared" si="5"/>
        <v>1104701.46</v>
      </c>
      <c r="O14" s="89">
        <f>SUM(O3:O13)</f>
        <v>5436606.7000000002</v>
      </c>
      <c r="P14" s="90">
        <f>SUM(P3:P12)</f>
        <v>4280600</v>
      </c>
      <c r="Q14" s="91">
        <f>O14-P14</f>
        <v>1156006.7000000002</v>
      </c>
      <c r="R14" s="100">
        <f>O14/P14</f>
        <v>1.2700571648834276</v>
      </c>
    </row>
    <row r="15" spans="1:18" ht="12.75" customHeight="1" x14ac:dyDescent="0.2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13"/>
      <c r="Q15" s="3"/>
      <c r="R15" s="5"/>
    </row>
    <row r="16" spans="1:18" s="9" customFormat="1" x14ac:dyDescent="0.2">
      <c r="A16" s="29" t="s">
        <v>47</v>
      </c>
      <c r="B16" s="30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2"/>
      <c r="Q16" s="33"/>
      <c r="R16" s="33"/>
    </row>
    <row r="17" spans="1:18" s="9" customFormat="1" ht="12" customHeight="1" x14ac:dyDescent="0.2">
      <c r="A17" s="7" t="s">
        <v>86</v>
      </c>
      <c r="B17" s="16"/>
      <c r="C17" s="122">
        <f>+'2018 Fire Operations Report'!B25</f>
        <v>210213.41999999998</v>
      </c>
      <c r="D17" s="122">
        <f>+'2018 Fire Operations Report'!C25</f>
        <v>215400.16</v>
      </c>
      <c r="E17" s="122">
        <f>+'2018 Fire Operations Report'!D25</f>
        <v>246462.56999999998</v>
      </c>
      <c r="F17" s="122">
        <f>+'2018 Fire Operations Report'!E25</f>
        <v>181827.15000000002</v>
      </c>
      <c r="G17" s="122">
        <f>+'2018 Fire Operations Report'!F25</f>
        <v>181536.09999999998</v>
      </c>
      <c r="H17" s="122">
        <f>+'2018 Fire Operations Report'!G25</f>
        <v>205209.71000000002</v>
      </c>
      <c r="I17" s="122">
        <f>+'2018 Fire Operations Report'!H25</f>
        <v>226725.11999999997</v>
      </c>
      <c r="J17" s="122">
        <f>+'2018 Fire Operations Report'!I25</f>
        <v>267375.74</v>
      </c>
      <c r="K17" s="175">
        <v>330844.40000000002</v>
      </c>
      <c r="L17" s="175">
        <f>+'2018 Fire Operations Report'!C52</f>
        <v>185693.27</v>
      </c>
      <c r="M17" s="175">
        <f>+'2018 Fire Operations Report'!D52</f>
        <v>204686.52999999997</v>
      </c>
      <c r="N17" s="175">
        <v>241151.9</v>
      </c>
      <c r="O17" s="89">
        <f t="shared" ref="O17:O29" si="6">SUM(B17:N17)</f>
        <v>2697126.0699999994</v>
      </c>
      <c r="P17" s="90">
        <v>2660000</v>
      </c>
      <c r="Q17" s="91">
        <f t="shared" ref="Q17:Q32" si="7">O17-P17</f>
        <v>37126.069999999367</v>
      </c>
      <c r="R17" s="8">
        <f t="shared" ref="R17:R32" si="8">O17/P17</f>
        <v>1.0139571691729321</v>
      </c>
    </row>
    <row r="18" spans="1:18" s="9" customFormat="1" x14ac:dyDescent="0.2">
      <c r="A18" s="7" t="s">
        <v>45</v>
      </c>
      <c r="B18" s="16"/>
      <c r="C18" s="83">
        <v>0</v>
      </c>
      <c r="D18" s="83">
        <v>0</v>
      </c>
      <c r="E18" s="83">
        <v>5426</v>
      </c>
      <c r="F18" s="83">
        <v>0</v>
      </c>
      <c r="G18" s="83">
        <v>5405</v>
      </c>
      <c r="H18" s="83">
        <v>0</v>
      </c>
      <c r="I18" s="83">
        <v>0</v>
      </c>
      <c r="J18" s="83">
        <v>5420</v>
      </c>
      <c r="K18" s="83">
        <v>0</v>
      </c>
      <c r="L18" s="83">
        <v>0</v>
      </c>
      <c r="M18" s="83">
        <v>5420</v>
      </c>
      <c r="N18" s="83">
        <v>0</v>
      </c>
      <c r="O18" s="85">
        <f t="shared" si="6"/>
        <v>21671</v>
      </c>
      <c r="P18" s="86">
        <v>20000</v>
      </c>
      <c r="Q18" s="87">
        <f t="shared" si="7"/>
        <v>1671</v>
      </c>
      <c r="R18" s="8">
        <f t="shared" si="8"/>
        <v>1.08355</v>
      </c>
    </row>
    <row r="19" spans="1:18" s="9" customFormat="1" x14ac:dyDescent="0.2">
      <c r="A19" s="7" t="s">
        <v>13</v>
      </c>
      <c r="B19" s="16"/>
      <c r="C19" s="83">
        <v>0</v>
      </c>
      <c r="D19" s="83">
        <v>51.4</v>
      </c>
      <c r="E19" s="83">
        <v>0</v>
      </c>
      <c r="F19" s="83">
        <v>0</v>
      </c>
      <c r="G19" s="83">
        <v>0</v>
      </c>
      <c r="H19" s="83">
        <v>0</v>
      </c>
      <c r="I19" s="83">
        <v>0</v>
      </c>
      <c r="J19" s="83">
        <v>0</v>
      </c>
      <c r="K19" s="83">
        <v>0</v>
      </c>
      <c r="L19" s="83">
        <v>0</v>
      </c>
      <c r="M19" s="83">
        <v>0</v>
      </c>
      <c r="N19" s="83">
        <v>861.81</v>
      </c>
      <c r="O19" s="85">
        <f t="shared" si="6"/>
        <v>913.20999999999992</v>
      </c>
      <c r="P19" s="86">
        <v>4000</v>
      </c>
      <c r="Q19" s="87">
        <f t="shared" si="7"/>
        <v>-3086.79</v>
      </c>
      <c r="R19" s="8">
        <f t="shared" si="8"/>
        <v>0.22830249999999999</v>
      </c>
    </row>
    <row r="20" spans="1:18" s="9" customFormat="1" x14ac:dyDescent="0.2">
      <c r="A20" s="7" t="s">
        <v>14</v>
      </c>
      <c r="B20" s="16"/>
      <c r="C20" s="83">
        <v>0</v>
      </c>
      <c r="D20" s="83">
        <v>0</v>
      </c>
      <c r="E20" s="83">
        <v>0</v>
      </c>
      <c r="F20" s="83">
        <v>0</v>
      </c>
      <c r="G20" s="83">
        <v>15000</v>
      </c>
      <c r="H20" s="83">
        <v>0</v>
      </c>
      <c r="I20" s="83">
        <v>0</v>
      </c>
      <c r="J20" s="83">
        <v>3750</v>
      </c>
      <c r="K20" s="83">
        <v>0</v>
      </c>
      <c r="L20" s="83">
        <v>0</v>
      </c>
      <c r="M20" s="83">
        <v>0</v>
      </c>
      <c r="N20" s="83">
        <v>0</v>
      </c>
      <c r="O20" s="85">
        <f t="shared" si="6"/>
        <v>18750</v>
      </c>
      <c r="P20" s="86">
        <v>20000</v>
      </c>
      <c r="Q20" s="87">
        <f t="shared" si="7"/>
        <v>-1250</v>
      </c>
      <c r="R20" s="8">
        <f t="shared" si="8"/>
        <v>0.9375</v>
      </c>
    </row>
    <row r="21" spans="1:18" s="9" customFormat="1" x14ac:dyDescent="0.2">
      <c r="A21" s="7" t="s">
        <v>121</v>
      </c>
      <c r="B21" s="16"/>
      <c r="C21" s="83">
        <v>0</v>
      </c>
      <c r="D21" s="83">
        <v>0</v>
      </c>
      <c r="E21" s="83">
        <v>41875</v>
      </c>
      <c r="F21" s="83">
        <v>0</v>
      </c>
      <c r="G21" s="83">
        <v>0</v>
      </c>
      <c r="H21" s="83">
        <v>12051</v>
      </c>
      <c r="I21" s="83">
        <v>0</v>
      </c>
      <c r="J21" s="83">
        <v>0</v>
      </c>
      <c r="K21" s="83">
        <v>18015</v>
      </c>
      <c r="L21" s="83">
        <v>0</v>
      </c>
      <c r="M21" s="83">
        <v>62564</v>
      </c>
      <c r="N21" s="83">
        <v>0</v>
      </c>
      <c r="O21" s="85">
        <f t="shared" si="6"/>
        <v>134505</v>
      </c>
      <c r="P21" s="86">
        <v>15000</v>
      </c>
      <c r="Q21" s="87">
        <f t="shared" si="7"/>
        <v>119505</v>
      </c>
      <c r="R21" s="8">
        <f t="shared" si="8"/>
        <v>8.9670000000000005</v>
      </c>
    </row>
    <row r="22" spans="1:18" s="9" customFormat="1" x14ac:dyDescent="0.2">
      <c r="A22" s="7" t="s">
        <v>7</v>
      </c>
      <c r="B22" s="16"/>
      <c r="C22" s="83">
        <v>0</v>
      </c>
      <c r="D22" s="83">
        <v>2351.96</v>
      </c>
      <c r="E22" s="83">
        <v>3660.62</v>
      </c>
      <c r="F22" s="83">
        <v>7114.19</v>
      </c>
      <c r="G22" s="83">
        <v>3691.74</v>
      </c>
      <c r="H22" s="83">
        <v>2436.16</v>
      </c>
      <c r="I22" s="83">
        <v>3654.74</v>
      </c>
      <c r="J22" s="83">
        <v>3759.89</v>
      </c>
      <c r="K22" s="83">
        <v>6082.92</v>
      </c>
      <c r="L22" s="83">
        <v>0</v>
      </c>
      <c r="M22" s="83">
        <v>8598.52</v>
      </c>
      <c r="N22" s="83">
        <v>17255.3</v>
      </c>
      <c r="O22" s="85">
        <f t="shared" si="6"/>
        <v>58606.040000000008</v>
      </c>
      <c r="P22" s="86">
        <v>40000</v>
      </c>
      <c r="Q22" s="87">
        <f t="shared" si="7"/>
        <v>18606.040000000008</v>
      </c>
      <c r="R22" s="8">
        <f t="shared" si="8"/>
        <v>1.4651510000000003</v>
      </c>
    </row>
    <row r="23" spans="1:18" s="9" customFormat="1" x14ac:dyDescent="0.2">
      <c r="A23" s="127" t="s">
        <v>150</v>
      </c>
      <c r="B23" s="16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5"/>
      <c r="P23" s="86">
        <v>15000</v>
      </c>
      <c r="Q23" s="87">
        <f t="shared" si="7"/>
        <v>-15000</v>
      </c>
      <c r="R23" s="8">
        <f t="shared" si="8"/>
        <v>0</v>
      </c>
    </row>
    <row r="24" spans="1:18" s="9" customFormat="1" x14ac:dyDescent="0.2">
      <c r="A24" s="129" t="s">
        <v>151</v>
      </c>
      <c r="B24" s="16"/>
      <c r="C24" s="83">
        <v>1117.5999999999999</v>
      </c>
      <c r="D24" s="83">
        <v>1211.1099999999999</v>
      </c>
      <c r="E24" s="83">
        <v>2314.12</v>
      </c>
      <c r="F24" s="83">
        <v>5740.45</v>
      </c>
      <c r="G24" s="83">
        <v>2263.98</v>
      </c>
      <c r="H24" s="83">
        <f>543.55+1711.34</f>
        <v>2254.89</v>
      </c>
      <c r="I24" s="83">
        <v>2187.2800000000002</v>
      </c>
      <c r="J24" s="83">
        <v>2205.38</v>
      </c>
      <c r="K24" s="83">
        <v>679.06</v>
      </c>
      <c r="L24" s="83">
        <v>3470.88</v>
      </c>
      <c r="M24" s="83">
        <v>2699.6</v>
      </c>
      <c r="N24" s="83">
        <v>2720.3</v>
      </c>
      <c r="O24" s="85">
        <f t="shared" si="6"/>
        <v>28864.649999999998</v>
      </c>
      <c r="P24" s="86">
        <v>30000</v>
      </c>
      <c r="Q24" s="87">
        <f t="shared" si="7"/>
        <v>-1135.3500000000022</v>
      </c>
      <c r="R24" s="8">
        <f t="shared" si="8"/>
        <v>0.96215499999999998</v>
      </c>
    </row>
    <row r="25" spans="1:18" s="9" customFormat="1" x14ac:dyDescent="0.2">
      <c r="A25" s="129" t="s">
        <v>138</v>
      </c>
      <c r="B25" s="16"/>
      <c r="C25" s="83">
        <v>0</v>
      </c>
      <c r="D25" s="83">
        <v>0</v>
      </c>
      <c r="E25" s="83">
        <v>0</v>
      </c>
      <c r="F25" s="83">
        <v>0</v>
      </c>
      <c r="G25" s="83">
        <v>0</v>
      </c>
      <c r="H25" s="83">
        <v>0</v>
      </c>
      <c r="I25" s="83">
        <v>0</v>
      </c>
      <c r="J25" s="83">
        <v>800</v>
      </c>
      <c r="K25" s="83">
        <v>0</v>
      </c>
      <c r="L25" s="83">
        <v>0</v>
      </c>
      <c r="M25" s="83">
        <v>0</v>
      </c>
      <c r="N25" s="83">
        <v>0</v>
      </c>
      <c r="O25" s="85">
        <f t="shared" si="6"/>
        <v>800</v>
      </c>
      <c r="P25" s="86">
        <v>5000</v>
      </c>
      <c r="Q25" s="87">
        <f t="shared" si="7"/>
        <v>-4200</v>
      </c>
      <c r="R25" s="8">
        <f t="shared" si="8"/>
        <v>0.16</v>
      </c>
    </row>
    <row r="26" spans="1:18" s="9" customFormat="1" x14ac:dyDescent="0.2">
      <c r="A26" s="127" t="s">
        <v>133</v>
      </c>
      <c r="B26" s="16"/>
      <c r="C26" s="83">
        <v>0</v>
      </c>
      <c r="D26" s="83">
        <v>0</v>
      </c>
      <c r="E26" s="83">
        <v>0</v>
      </c>
      <c r="F26" s="83">
        <v>0</v>
      </c>
      <c r="G26" s="83">
        <v>0</v>
      </c>
      <c r="H26" s="83">
        <v>0</v>
      </c>
      <c r="I26" s="83">
        <v>0</v>
      </c>
      <c r="J26" s="83">
        <v>0</v>
      </c>
      <c r="K26" s="83">
        <v>0</v>
      </c>
      <c r="L26" s="83">
        <v>0</v>
      </c>
      <c r="M26" s="83">
        <v>0</v>
      </c>
      <c r="N26" s="83">
        <v>0</v>
      </c>
      <c r="O26" s="85">
        <f t="shared" si="6"/>
        <v>0</v>
      </c>
      <c r="P26" s="86">
        <v>0</v>
      </c>
      <c r="Q26" s="87">
        <f t="shared" si="7"/>
        <v>0</v>
      </c>
      <c r="R26" s="8"/>
    </row>
    <row r="27" spans="1:18" s="9" customFormat="1" x14ac:dyDescent="0.2">
      <c r="A27" s="124" t="s">
        <v>130</v>
      </c>
      <c r="B27" s="16"/>
      <c r="C27" s="83">
        <v>0</v>
      </c>
      <c r="D27" s="83">
        <v>0</v>
      </c>
      <c r="E27" s="83">
        <v>0</v>
      </c>
      <c r="F27" s="83">
        <v>0</v>
      </c>
      <c r="G27" s="83">
        <v>0</v>
      </c>
      <c r="H27" s="83">
        <v>0</v>
      </c>
      <c r="I27" s="83">
        <v>0</v>
      </c>
      <c r="J27" s="83">
        <v>0</v>
      </c>
      <c r="K27" s="83">
        <v>0</v>
      </c>
      <c r="L27" s="83">
        <v>0</v>
      </c>
      <c r="M27" s="83">
        <v>0</v>
      </c>
      <c r="N27" s="83">
        <v>0</v>
      </c>
      <c r="O27" s="85">
        <f t="shared" si="6"/>
        <v>0</v>
      </c>
      <c r="P27" s="86">
        <v>0</v>
      </c>
      <c r="Q27" s="87">
        <f>O27-P27</f>
        <v>0</v>
      </c>
      <c r="R27" s="8"/>
    </row>
    <row r="28" spans="1:18" s="9" customFormat="1" x14ac:dyDescent="0.2">
      <c r="A28" s="124" t="s">
        <v>152</v>
      </c>
      <c r="B28" s="16"/>
      <c r="C28" s="83">
        <v>0</v>
      </c>
      <c r="D28" s="83">
        <v>0</v>
      </c>
      <c r="E28" s="83">
        <v>0</v>
      </c>
      <c r="F28" s="83">
        <v>0</v>
      </c>
      <c r="G28" s="83">
        <v>0</v>
      </c>
      <c r="H28" s="83">
        <v>0</v>
      </c>
      <c r="I28" s="83">
        <v>0</v>
      </c>
      <c r="J28" s="83">
        <v>0</v>
      </c>
      <c r="K28" s="83">
        <v>0</v>
      </c>
      <c r="L28" s="83">
        <v>0</v>
      </c>
      <c r="M28" s="83">
        <v>0</v>
      </c>
      <c r="N28" s="83">
        <v>0</v>
      </c>
      <c r="O28" s="85"/>
      <c r="P28" s="86">
        <v>200000</v>
      </c>
      <c r="Q28" s="87">
        <f t="shared" ref="Q28" si="9">O28-P28</f>
        <v>-200000</v>
      </c>
      <c r="R28" s="8">
        <f t="shared" ref="R28" si="10">O28/P28</f>
        <v>0</v>
      </c>
    </row>
    <row r="29" spans="1:18" s="9" customFormat="1" x14ac:dyDescent="0.2">
      <c r="A29" s="62" t="s">
        <v>84</v>
      </c>
      <c r="B29" s="16"/>
      <c r="C29" s="83">
        <v>30</v>
      </c>
      <c r="D29" s="83">
        <v>0</v>
      </c>
      <c r="E29" s="83">
        <v>-15</v>
      </c>
      <c r="F29" s="83">
        <v>22</v>
      </c>
      <c r="G29" s="83">
        <f>-15+117.04</f>
        <v>102.04</v>
      </c>
      <c r="H29" s="83">
        <f>133.81+20</f>
        <v>153.81</v>
      </c>
      <c r="I29" s="83">
        <v>2343.59</v>
      </c>
      <c r="J29" s="83">
        <v>77.16</v>
      </c>
      <c r="K29" s="83">
        <v>129.36000000000001</v>
      </c>
      <c r="L29" s="83">
        <v>0</v>
      </c>
      <c r="M29" s="83">
        <v>0</v>
      </c>
      <c r="N29" s="83">
        <v>0</v>
      </c>
      <c r="O29" s="85">
        <f t="shared" si="6"/>
        <v>2842.96</v>
      </c>
      <c r="P29" s="86">
        <v>100</v>
      </c>
      <c r="Q29" s="87">
        <f>O29-P29</f>
        <v>2742.96</v>
      </c>
      <c r="R29" s="8">
        <f>O29/P29</f>
        <v>28.429600000000001</v>
      </c>
    </row>
    <row r="30" spans="1:18" s="9" customFormat="1" x14ac:dyDescent="0.2">
      <c r="A30" s="79"/>
      <c r="B30" s="96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95"/>
      <c r="Q30" s="35"/>
      <c r="R30" s="36"/>
    </row>
    <row r="31" spans="1:18" s="9" customFormat="1" x14ac:dyDescent="0.2">
      <c r="A31" s="79"/>
      <c r="B31" s="96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95"/>
      <c r="P31" s="32"/>
      <c r="Q31" s="35"/>
      <c r="R31" s="36"/>
    </row>
    <row r="32" spans="1:18" s="9" customFormat="1" x14ac:dyDescent="0.2">
      <c r="A32" s="93" t="s">
        <v>55</v>
      </c>
      <c r="B32" s="16"/>
      <c r="C32" s="105">
        <f t="shared" ref="C32:O32" si="11">SUM(C17:C30)</f>
        <v>211361.02</v>
      </c>
      <c r="D32" s="105">
        <f t="shared" si="11"/>
        <v>219014.62999999998</v>
      </c>
      <c r="E32" s="105">
        <f t="shared" ref="E32:N32" si="12">SUM(E17:E30)</f>
        <v>299723.30999999994</v>
      </c>
      <c r="F32" s="105">
        <f t="shared" si="12"/>
        <v>194703.79000000004</v>
      </c>
      <c r="G32" s="105">
        <f t="shared" si="12"/>
        <v>207998.86</v>
      </c>
      <c r="H32" s="105">
        <f t="shared" si="12"/>
        <v>222105.57000000004</v>
      </c>
      <c r="I32" s="105">
        <f t="shared" si="12"/>
        <v>234910.72999999995</v>
      </c>
      <c r="J32" s="105">
        <f t="shared" si="12"/>
        <v>283388.17</v>
      </c>
      <c r="K32" s="105">
        <f t="shared" si="12"/>
        <v>355750.74</v>
      </c>
      <c r="L32" s="105">
        <f t="shared" si="12"/>
        <v>189164.15</v>
      </c>
      <c r="M32" s="105">
        <f t="shared" si="12"/>
        <v>283968.64999999997</v>
      </c>
      <c r="N32" s="105">
        <f t="shared" si="12"/>
        <v>261989.30999999997</v>
      </c>
      <c r="O32" s="89">
        <f t="shared" si="11"/>
        <v>2964078.9299999992</v>
      </c>
      <c r="P32" s="90">
        <f>SUM(P17:P29)</f>
        <v>3009100</v>
      </c>
      <c r="Q32" s="91">
        <f t="shared" si="7"/>
        <v>-45021.070000000764</v>
      </c>
      <c r="R32" s="100">
        <f t="shared" si="8"/>
        <v>0.98503836030706826</v>
      </c>
    </row>
    <row r="33" spans="1:23" s="9" customFormat="1" x14ac:dyDescent="0.2">
      <c r="A33" s="93"/>
      <c r="B33" s="96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105"/>
      <c r="P33" s="105"/>
      <c r="Q33" s="105"/>
      <c r="R33" s="113"/>
    </row>
    <row r="34" spans="1:23" s="9" customFormat="1" x14ac:dyDescent="0.2">
      <c r="A34" s="29" t="s">
        <v>106</v>
      </c>
      <c r="B34" s="34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2"/>
      <c r="Q34" s="35"/>
      <c r="R34" s="36"/>
    </row>
    <row r="35" spans="1:23" s="9" customFormat="1" x14ac:dyDescent="0.2">
      <c r="A35" s="124" t="s">
        <v>153</v>
      </c>
      <c r="B35" s="16"/>
      <c r="C35" s="120">
        <v>0</v>
      </c>
      <c r="D35" s="84">
        <v>0</v>
      </c>
      <c r="E35" s="84">
        <v>0</v>
      </c>
      <c r="F35" s="84">
        <v>0</v>
      </c>
      <c r="G35" s="84">
        <v>0</v>
      </c>
      <c r="H35" s="84">
        <v>0</v>
      </c>
      <c r="I35" s="84">
        <v>0</v>
      </c>
      <c r="J35" s="84">
        <v>0</v>
      </c>
      <c r="K35" s="84">
        <v>0</v>
      </c>
      <c r="L35" s="84">
        <v>0</v>
      </c>
      <c r="M35" s="84">
        <v>0</v>
      </c>
      <c r="N35" s="84">
        <v>0</v>
      </c>
      <c r="O35" s="89">
        <f>SUM(B35:N35)</f>
        <v>0</v>
      </c>
      <c r="P35" s="90">
        <v>10000</v>
      </c>
      <c r="Q35" s="91">
        <f>O35-P35</f>
        <v>-10000</v>
      </c>
      <c r="R35" s="12">
        <f t="shared" ref="R35" si="13">O35/P35</f>
        <v>0</v>
      </c>
    </row>
    <row r="36" spans="1:23" s="9" customFormat="1" x14ac:dyDescent="0.2">
      <c r="A36" s="124" t="s">
        <v>129</v>
      </c>
      <c r="B36" s="16"/>
      <c r="C36" s="83">
        <v>0</v>
      </c>
      <c r="D36" s="83">
        <v>22099.39</v>
      </c>
      <c r="E36" s="83">
        <v>21307.22</v>
      </c>
      <c r="F36" s="83">
        <f>1025+45843.63</f>
        <v>46868.63</v>
      </c>
      <c r="G36" s="83">
        <f>1187.5+18756.18</f>
        <v>19943.68</v>
      </c>
      <c r="H36" s="83">
        <f>350+27283.05</f>
        <v>27633.05</v>
      </c>
      <c r="I36" s="83">
        <v>7121.25</v>
      </c>
      <c r="J36" s="83">
        <v>139936.78</v>
      </c>
      <c r="K36" s="83">
        <v>105632.3</v>
      </c>
      <c r="L36" s="83">
        <v>162526.85</v>
      </c>
      <c r="M36" s="83">
        <v>5498.23</v>
      </c>
      <c r="N36" s="83">
        <v>173560.1</v>
      </c>
      <c r="O36" s="85">
        <f>SUM(B36:N36)</f>
        <v>732127.48</v>
      </c>
      <c r="P36" s="86">
        <v>450000</v>
      </c>
      <c r="Q36" s="87">
        <f>O36-P36</f>
        <v>282127.48</v>
      </c>
      <c r="R36" s="8">
        <f>O36/P36</f>
        <v>1.6269499555555555</v>
      </c>
      <c r="S36"/>
      <c r="T36"/>
      <c r="U36"/>
      <c r="V36"/>
      <c r="W36"/>
    </row>
    <row r="37" spans="1:23" s="9" customFormat="1" x14ac:dyDescent="0.2">
      <c r="A37" s="41"/>
      <c r="B37" s="96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113"/>
    </row>
    <row r="38" spans="1:23" s="9" customFormat="1" ht="13.5" customHeight="1" x14ac:dyDescent="0.2">
      <c r="A38" s="29" t="s">
        <v>46</v>
      </c>
      <c r="B38" s="30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2"/>
      <c r="Q38" s="33"/>
      <c r="R38" s="33"/>
    </row>
    <row r="39" spans="1:23" s="9" customFormat="1" ht="13.5" customHeight="1" x14ac:dyDescent="0.2">
      <c r="A39" s="127" t="s">
        <v>154</v>
      </c>
      <c r="B39" s="16"/>
      <c r="C39" s="83">
        <v>128322</v>
      </c>
      <c r="D39" s="83">
        <v>0</v>
      </c>
      <c r="E39" s="83">
        <v>0</v>
      </c>
      <c r="F39" s="83">
        <v>0</v>
      </c>
      <c r="G39" s="83">
        <v>0</v>
      </c>
      <c r="H39" s="83">
        <v>0</v>
      </c>
      <c r="I39" s="83">
        <v>0</v>
      </c>
      <c r="J39" s="83">
        <v>0</v>
      </c>
      <c r="K39" s="83">
        <v>0</v>
      </c>
      <c r="L39" s="83">
        <v>0</v>
      </c>
      <c r="M39" s="83">
        <v>0</v>
      </c>
      <c r="N39" s="83">
        <v>0</v>
      </c>
      <c r="O39" s="89">
        <f>SUM(B39:N39)</f>
        <v>128322</v>
      </c>
      <c r="P39" s="90">
        <v>128300</v>
      </c>
      <c r="Q39" s="91">
        <f>O39-P39</f>
        <v>22</v>
      </c>
      <c r="R39" s="8">
        <f>O39/P39</f>
        <v>1.0001714731098987</v>
      </c>
    </row>
    <row r="40" spans="1:23" s="9" customFormat="1" ht="13.5" customHeight="1" x14ac:dyDescent="0.2">
      <c r="A40" s="127" t="s">
        <v>155</v>
      </c>
      <c r="B40" s="16"/>
      <c r="C40" s="114"/>
      <c r="D40" s="84"/>
      <c r="E40" s="84">
        <v>57662.03</v>
      </c>
      <c r="F40" s="84"/>
      <c r="G40" s="84"/>
      <c r="H40" s="84"/>
      <c r="I40" s="84"/>
      <c r="J40" s="84"/>
      <c r="K40" s="84"/>
      <c r="L40" s="84"/>
      <c r="M40" s="84"/>
      <c r="N40" s="84"/>
      <c r="O40" s="89"/>
      <c r="P40" s="90">
        <v>60000</v>
      </c>
      <c r="Q40" s="91">
        <f>O40-P40</f>
        <v>-60000</v>
      </c>
      <c r="R40" s="8">
        <f>O40/P40</f>
        <v>0</v>
      </c>
    </row>
    <row r="41" spans="1:23" s="9" customFormat="1" ht="13.5" customHeight="1" x14ac:dyDescent="0.2">
      <c r="A41" s="127" t="s">
        <v>156</v>
      </c>
      <c r="B41" s="16"/>
      <c r="C41" s="83">
        <v>0</v>
      </c>
      <c r="D41" s="83">
        <v>0</v>
      </c>
      <c r="E41" s="83">
        <v>0</v>
      </c>
      <c r="F41" s="83">
        <v>0</v>
      </c>
      <c r="G41" s="83">
        <v>0</v>
      </c>
      <c r="H41" s="83">
        <v>0</v>
      </c>
      <c r="I41" s="83">
        <v>0</v>
      </c>
      <c r="J41" s="83">
        <v>345847.83</v>
      </c>
      <c r="K41" s="83">
        <v>0</v>
      </c>
      <c r="L41" s="83">
        <v>0</v>
      </c>
      <c r="M41" s="83">
        <v>0</v>
      </c>
      <c r="N41" s="83">
        <v>0</v>
      </c>
      <c r="O41" s="85">
        <f>SUM(B41:N41)</f>
        <v>345847.83</v>
      </c>
      <c r="P41" s="86">
        <v>346000</v>
      </c>
      <c r="Q41" s="87">
        <f>O41-P41</f>
        <v>-152.1699999999837</v>
      </c>
      <c r="R41" s="8">
        <f>O41/P41</f>
        <v>0.99956020231213882</v>
      </c>
    </row>
    <row r="42" spans="1:23" s="9" customFormat="1" ht="13.5" customHeight="1" x14ac:dyDescent="0.2">
      <c r="A42" s="127" t="s">
        <v>157</v>
      </c>
      <c r="B42" s="16"/>
      <c r="C42" s="83">
        <v>0</v>
      </c>
      <c r="D42" s="83">
        <v>0</v>
      </c>
      <c r="E42" s="83">
        <v>0</v>
      </c>
      <c r="F42" s="83">
        <v>0</v>
      </c>
      <c r="G42" s="83">
        <v>0</v>
      </c>
      <c r="H42" s="83">
        <v>0</v>
      </c>
      <c r="I42" s="83">
        <v>0</v>
      </c>
      <c r="J42" s="83">
        <v>0</v>
      </c>
      <c r="K42" s="83">
        <v>0</v>
      </c>
      <c r="L42" s="83">
        <v>0</v>
      </c>
      <c r="M42" s="83">
        <v>0</v>
      </c>
      <c r="N42" s="83">
        <v>0</v>
      </c>
      <c r="O42" s="85">
        <f>SUM(B42:N42)</f>
        <v>0</v>
      </c>
      <c r="P42" s="86">
        <v>0</v>
      </c>
      <c r="Q42" s="87">
        <f>O42-P42</f>
        <v>0</v>
      </c>
      <c r="R42" s="8">
        <v>0</v>
      </c>
    </row>
    <row r="43" spans="1:23" s="9" customFormat="1" ht="13.5" customHeight="1" x14ac:dyDescent="0.2">
      <c r="A43" s="29"/>
      <c r="B43" s="30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2"/>
      <c r="Q43" s="33"/>
      <c r="R43" s="33"/>
    </row>
    <row r="44" spans="1:23" s="9" customFormat="1" x14ac:dyDescent="0.2">
      <c r="A44" s="37" t="s">
        <v>56</v>
      </c>
      <c r="B44" s="65"/>
      <c r="C44" s="106">
        <f t="shared" ref="C44:P44" si="14">C32+SUM(C35:C36)+SUM(C39:C42)</f>
        <v>339683.02</v>
      </c>
      <c r="D44" s="106">
        <f t="shared" si="14"/>
        <v>241114.01999999996</v>
      </c>
      <c r="E44" s="106">
        <f t="shared" si="14"/>
        <v>378692.55999999994</v>
      </c>
      <c r="F44" s="106">
        <f t="shared" si="14"/>
        <v>241572.42000000004</v>
      </c>
      <c r="G44" s="106">
        <f t="shared" si="14"/>
        <v>227942.53999999998</v>
      </c>
      <c r="H44" s="106">
        <f t="shared" si="14"/>
        <v>249738.62000000002</v>
      </c>
      <c r="I44" s="106">
        <f t="shared" si="14"/>
        <v>242031.97999999995</v>
      </c>
      <c r="J44" s="106">
        <f t="shared" si="14"/>
        <v>769172.78</v>
      </c>
      <c r="K44" s="106">
        <f t="shared" si="14"/>
        <v>461383.04</v>
      </c>
      <c r="L44" s="106">
        <f t="shared" si="14"/>
        <v>351691</v>
      </c>
      <c r="M44" s="106">
        <f t="shared" si="14"/>
        <v>289466.87999999995</v>
      </c>
      <c r="N44" s="106">
        <f t="shared" si="14"/>
        <v>435549.41</v>
      </c>
      <c r="O44" s="101">
        <f t="shared" si="14"/>
        <v>4170376.2399999993</v>
      </c>
      <c r="P44" s="121">
        <f t="shared" si="14"/>
        <v>4003400</v>
      </c>
      <c r="Q44" s="99">
        <f>O44-P44</f>
        <v>166976.23999999929</v>
      </c>
      <c r="R44" s="40">
        <f>O44/P44</f>
        <v>1.041708607683469</v>
      </c>
    </row>
    <row r="45" spans="1:23" s="9" customFormat="1" ht="8.25" customHeight="1" x14ac:dyDescent="0.2">
      <c r="A45" s="37"/>
      <c r="B45" s="38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94"/>
      <c r="P45" s="94"/>
      <c r="Q45" s="94"/>
      <c r="R45" s="113"/>
    </row>
    <row r="46" spans="1:23" s="9" customFormat="1" x14ac:dyDescent="0.2">
      <c r="A46" s="29" t="s">
        <v>50</v>
      </c>
      <c r="B46" s="38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2"/>
      <c r="Q46" s="33"/>
      <c r="R46" s="33"/>
    </row>
    <row r="47" spans="1:23" s="9" customFormat="1" ht="12.75" customHeight="1" x14ac:dyDescent="0.2">
      <c r="A47" s="7" t="s">
        <v>96</v>
      </c>
      <c r="B47" s="16"/>
      <c r="C47" s="84">
        <v>0</v>
      </c>
      <c r="D47" s="84">
        <v>0</v>
      </c>
      <c r="E47" s="84">
        <v>0</v>
      </c>
      <c r="F47" s="84">
        <v>0</v>
      </c>
      <c r="G47" s="84">
        <v>0</v>
      </c>
      <c r="H47" s="84">
        <v>0</v>
      </c>
      <c r="I47" s="84">
        <v>0</v>
      </c>
      <c r="J47" s="84">
        <v>0</v>
      </c>
      <c r="K47" s="84">
        <v>0</v>
      </c>
      <c r="L47" s="84">
        <v>0</v>
      </c>
      <c r="M47" s="84">
        <v>0</v>
      </c>
      <c r="N47" s="84">
        <v>0</v>
      </c>
      <c r="O47" s="89">
        <f>SUM(B47:N47)</f>
        <v>0</v>
      </c>
      <c r="P47" s="90">
        <v>-58128</v>
      </c>
      <c r="Q47" s="91">
        <f>O47-P47</f>
        <v>58128</v>
      </c>
      <c r="R47" s="8">
        <f>O47/P47</f>
        <v>0</v>
      </c>
    </row>
    <row r="48" spans="1:23" ht="12" customHeight="1" x14ac:dyDescent="0.2">
      <c r="A48" s="7" t="s">
        <v>51</v>
      </c>
      <c r="B48" s="16"/>
      <c r="C48" s="83">
        <v>0</v>
      </c>
      <c r="D48" s="83">
        <v>0</v>
      </c>
      <c r="E48" s="83">
        <v>0</v>
      </c>
      <c r="F48" s="83">
        <v>0</v>
      </c>
      <c r="G48" s="83">
        <v>0</v>
      </c>
      <c r="H48" s="83">
        <v>0</v>
      </c>
      <c r="I48" s="83">
        <v>0</v>
      </c>
      <c r="J48" s="83">
        <v>0</v>
      </c>
      <c r="K48" s="83">
        <v>0</v>
      </c>
      <c r="L48" s="83">
        <v>0</v>
      </c>
      <c r="M48" s="83">
        <v>0</v>
      </c>
      <c r="N48" s="83">
        <v>0</v>
      </c>
      <c r="O48" s="85">
        <f>SUM(B48:N48)</f>
        <v>0</v>
      </c>
      <c r="P48" s="86">
        <v>-3500</v>
      </c>
      <c r="Q48" s="87">
        <f>O48-P48</f>
        <v>3500</v>
      </c>
      <c r="R48" s="8">
        <f>O48/P48</f>
        <v>0</v>
      </c>
    </row>
    <row r="49" spans="1:18" ht="12" customHeight="1" x14ac:dyDescent="0.2">
      <c r="A49" s="7" t="s">
        <v>132</v>
      </c>
      <c r="B49" s="16"/>
      <c r="C49" s="84">
        <v>0</v>
      </c>
      <c r="D49" s="84">
        <v>0</v>
      </c>
      <c r="E49" s="84">
        <v>0</v>
      </c>
      <c r="F49" s="84">
        <v>0</v>
      </c>
      <c r="G49" s="84">
        <v>0</v>
      </c>
      <c r="H49" s="84">
        <v>0</v>
      </c>
      <c r="I49" s="84">
        <v>0</v>
      </c>
      <c r="J49" s="84">
        <v>0</v>
      </c>
      <c r="K49" s="84">
        <v>4000000</v>
      </c>
      <c r="L49" s="84">
        <v>0</v>
      </c>
      <c r="M49" s="84">
        <v>0</v>
      </c>
      <c r="N49" s="84">
        <v>0</v>
      </c>
      <c r="O49" s="85">
        <f>SUM(B49:N49)</f>
        <v>4000000</v>
      </c>
      <c r="P49" s="90">
        <v>0</v>
      </c>
      <c r="Q49" s="87">
        <f>O49-P49</f>
        <v>4000000</v>
      </c>
      <c r="R49" s="8"/>
    </row>
    <row r="50" spans="1:18" ht="12.75" customHeight="1" x14ac:dyDescent="0.2">
      <c r="A50" s="41"/>
      <c r="B50" s="80"/>
      <c r="C50" s="80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</row>
    <row r="51" spans="1:18" ht="12" customHeight="1" x14ac:dyDescent="0.2">
      <c r="A51" s="37" t="s">
        <v>85</v>
      </c>
      <c r="B51" s="80"/>
      <c r="C51" s="106">
        <f>C44+C47+C48</f>
        <v>339683.02</v>
      </c>
      <c r="D51" s="106">
        <f>D44+D47+D48</f>
        <v>241114.01999999996</v>
      </c>
      <c r="E51" s="106">
        <f t="shared" ref="E51:N51" si="15">E44+E47+E48</f>
        <v>378692.55999999994</v>
      </c>
      <c r="F51" s="106">
        <f t="shared" si="15"/>
        <v>241572.42000000004</v>
      </c>
      <c r="G51" s="106">
        <f t="shared" si="15"/>
        <v>227942.53999999998</v>
      </c>
      <c r="H51" s="106">
        <f t="shared" si="15"/>
        <v>249738.62000000002</v>
      </c>
      <c r="I51" s="106">
        <f t="shared" si="15"/>
        <v>242031.97999999995</v>
      </c>
      <c r="J51" s="106">
        <f t="shared" si="15"/>
        <v>769172.78</v>
      </c>
      <c r="K51" s="106">
        <f>-K49+K44</f>
        <v>-3538616.96</v>
      </c>
      <c r="L51" s="106">
        <f t="shared" si="15"/>
        <v>351691</v>
      </c>
      <c r="M51" s="106">
        <f t="shared" si="15"/>
        <v>289466.87999999995</v>
      </c>
      <c r="N51" s="106">
        <f t="shared" si="15"/>
        <v>435549.41</v>
      </c>
      <c r="O51" s="101">
        <f>O44+O47+O48+O49</f>
        <v>8170376.2399999993</v>
      </c>
      <c r="P51" s="102">
        <f>P44+P47+P48+P49</f>
        <v>3941772</v>
      </c>
      <c r="Q51" s="102">
        <f>Q44+Q47+Q48+Q49</f>
        <v>4228604.2399999993</v>
      </c>
      <c r="R51" s="40">
        <f>O51/P51</f>
        <v>2.072767334082235</v>
      </c>
    </row>
    <row r="52" spans="1:18" ht="11.25" customHeight="1" x14ac:dyDescent="0.2"/>
    <row r="53" spans="1:18" ht="27" customHeight="1" x14ac:dyDescent="0.2">
      <c r="A53" s="37" t="s">
        <v>49</v>
      </c>
      <c r="B53" s="65"/>
      <c r="C53" s="106">
        <f t="shared" ref="C53:P53" si="16">C14-C51</f>
        <v>886349.14999999991</v>
      </c>
      <c r="D53" s="106">
        <f t="shared" si="16"/>
        <v>736912.52</v>
      </c>
      <c r="E53" s="106">
        <f t="shared" ref="E53:N53" si="17">E14-E51</f>
        <v>-172134.31999999992</v>
      </c>
      <c r="F53" s="106">
        <f t="shared" si="17"/>
        <v>-42525.610000000044</v>
      </c>
      <c r="G53" s="106">
        <f t="shared" si="17"/>
        <v>-9324.7699999999895</v>
      </c>
      <c r="H53" s="106">
        <f t="shared" si="17"/>
        <v>-84903.6</v>
      </c>
      <c r="I53" s="106">
        <f t="shared" si="17"/>
        <v>-52021.249999999942</v>
      </c>
      <c r="J53" s="106">
        <f t="shared" si="17"/>
        <v>-573706.83000000007</v>
      </c>
      <c r="K53" s="106">
        <f t="shared" si="17"/>
        <v>3745353.03</v>
      </c>
      <c r="L53" s="106">
        <f t="shared" si="17"/>
        <v>-7836.6999999999534</v>
      </c>
      <c r="M53" s="106">
        <f t="shared" si="17"/>
        <v>113254.76000000001</v>
      </c>
      <c r="N53" s="106">
        <f t="shared" si="17"/>
        <v>669152.05000000005</v>
      </c>
      <c r="O53" s="110">
        <f t="shared" si="16"/>
        <v>-2733769.5399999991</v>
      </c>
      <c r="P53" s="102">
        <f t="shared" si="16"/>
        <v>338828</v>
      </c>
      <c r="Q53" s="103">
        <f>O53-P53</f>
        <v>-3072597.5399999991</v>
      </c>
      <c r="R53" s="112"/>
    </row>
    <row r="54" spans="1:18" ht="12" customHeight="1" x14ac:dyDescent="0.2"/>
    <row r="55" spans="1:18" ht="12.75" customHeight="1" x14ac:dyDescent="0.2">
      <c r="A55" s="3"/>
    </row>
    <row r="56" spans="1:18" ht="12.75" customHeight="1" x14ac:dyDescent="0.2"/>
    <row r="57" spans="1:18" ht="12.75" customHeight="1" x14ac:dyDescent="0.2">
      <c r="J57" s="108"/>
    </row>
    <row r="58" spans="1:18" ht="12.75" customHeight="1" x14ac:dyDescent="0.2">
      <c r="B58" s="18" t="s">
        <v>15</v>
      </c>
      <c r="C58" s="187" t="s">
        <v>136</v>
      </c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  <c r="P58" s="187"/>
    </row>
    <row r="59" spans="1:18" ht="12" customHeight="1" x14ac:dyDescent="0.2"/>
  </sheetData>
  <mergeCells count="1">
    <mergeCell ref="C58:P58"/>
  </mergeCells>
  <phoneticPr fontId="0" type="noConversion"/>
  <printOptions horizontalCentered="1" verticalCentered="1"/>
  <pageMargins left="0.55000000000000004" right="0.4" top="0.81" bottom="0.68" header="0.31" footer="0.35"/>
  <pageSetup scale="72" orientation="landscape" r:id="rId1"/>
  <headerFooter alignWithMargins="0">
    <oddHeader>&amp;C&amp;"Arial,Bold"&amp;18HCESD #29
 2018 Budget Year Summary Report</oddHeader>
    <oddFooter>&amp;L&amp;9&amp;F
&amp;A&amp;C&amp;9&amp;P of &amp;N</oddFooter>
  </headerFooter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99"/>
  <sheetViews>
    <sheetView zoomScaleNormal="100" workbookViewId="0"/>
  </sheetViews>
  <sheetFormatPr defaultRowHeight="12.75" x14ac:dyDescent="0.2"/>
  <cols>
    <col min="1" max="1" width="24" customWidth="1"/>
    <col min="2" max="5" width="11.7109375" customWidth="1"/>
    <col min="6" max="6" width="13.85546875" customWidth="1"/>
    <col min="7" max="7" width="13.5703125" customWidth="1"/>
    <col min="8" max="8" width="14" bestFit="1" customWidth="1"/>
    <col min="9" max="9" width="11.7109375" customWidth="1"/>
    <col min="10" max="10" width="9.7109375" customWidth="1"/>
    <col min="11" max="11" width="9.85546875" bestFit="1" customWidth="1"/>
    <col min="12" max="12" width="11" customWidth="1"/>
    <col min="13" max="13" width="10.28515625" customWidth="1"/>
    <col min="14" max="14" width="10.42578125" customWidth="1"/>
    <col min="15" max="15" width="11.140625" customWidth="1"/>
    <col min="17" max="17" width="12" customWidth="1"/>
    <col min="18" max="18" width="12.140625" customWidth="1"/>
  </cols>
  <sheetData>
    <row r="1" spans="1:18" ht="38.25" customHeight="1" x14ac:dyDescent="0.2">
      <c r="A1" s="1"/>
      <c r="B1" s="24">
        <v>43115</v>
      </c>
      <c r="C1" s="24">
        <f t="shared" ref="C1:I1" si="0">+B1+30</f>
        <v>43145</v>
      </c>
      <c r="D1" s="24">
        <f t="shared" si="0"/>
        <v>43175</v>
      </c>
      <c r="E1" s="24">
        <f t="shared" si="0"/>
        <v>43205</v>
      </c>
      <c r="F1" s="24">
        <f t="shared" si="0"/>
        <v>43235</v>
      </c>
      <c r="G1" s="24">
        <f t="shared" si="0"/>
        <v>43265</v>
      </c>
      <c r="H1" s="24">
        <f t="shared" si="0"/>
        <v>43295</v>
      </c>
      <c r="I1" s="24">
        <f t="shared" si="0"/>
        <v>43325</v>
      </c>
    </row>
    <row r="2" spans="1:18" ht="12" customHeight="1" x14ac:dyDescent="0.2">
      <c r="A2" s="6"/>
      <c r="B2" s="3"/>
      <c r="C2" s="3"/>
      <c r="D2" s="3"/>
      <c r="E2" s="3"/>
      <c r="F2" s="3"/>
      <c r="G2" s="3"/>
      <c r="H2" s="3"/>
      <c r="I2" s="3"/>
    </row>
    <row r="3" spans="1:18" ht="31.5" customHeight="1" x14ac:dyDescent="0.2">
      <c r="A3" s="82" t="s">
        <v>137</v>
      </c>
      <c r="B3" s="31"/>
      <c r="C3" s="31"/>
      <c r="D3" s="31"/>
      <c r="E3" s="31"/>
      <c r="F3" s="31"/>
      <c r="G3" s="31"/>
      <c r="H3" s="31"/>
      <c r="I3" s="31"/>
    </row>
    <row r="4" spans="1:18" ht="12" customHeight="1" x14ac:dyDescent="0.2">
      <c r="A4" s="7" t="s">
        <v>62</v>
      </c>
      <c r="B4" s="83">
        <v>454.2</v>
      </c>
      <c r="C4" s="83">
        <v>16385.009999999998</v>
      </c>
      <c r="D4" s="83">
        <v>3136.63</v>
      </c>
      <c r="E4" s="83">
        <v>1119.77</v>
      </c>
      <c r="F4" s="83">
        <v>1293.8499999999999</v>
      </c>
      <c r="G4" s="83">
        <v>5054.6000000000004</v>
      </c>
      <c r="H4" s="83">
        <v>692.89</v>
      </c>
      <c r="I4" s="83">
        <v>591.92999999999995</v>
      </c>
    </row>
    <row r="5" spans="1:18" ht="12" customHeight="1" x14ac:dyDescent="0.2">
      <c r="A5" s="7" t="s">
        <v>63</v>
      </c>
      <c r="B5" s="83">
        <v>5037.5</v>
      </c>
      <c r="C5" s="83">
        <v>0</v>
      </c>
      <c r="D5" s="83">
        <v>7714.92</v>
      </c>
      <c r="E5" s="83">
        <v>3320</v>
      </c>
      <c r="F5" s="170">
        <v>1798.77</v>
      </c>
      <c r="G5" s="83">
        <v>1037.49</v>
      </c>
      <c r="H5" s="83">
        <v>7381.79</v>
      </c>
      <c r="I5" s="83">
        <v>3331.44</v>
      </c>
    </row>
    <row r="6" spans="1:18" ht="12" customHeight="1" x14ac:dyDescent="0.2">
      <c r="A6" s="7" t="s">
        <v>64</v>
      </c>
      <c r="B6" s="83">
        <v>161598.67000000001</v>
      </c>
      <c r="C6" s="83">
        <v>141035.79999999999</v>
      </c>
      <c r="D6" s="83">
        <v>198673.04</v>
      </c>
      <c r="E6" s="83">
        <v>147987.19</v>
      </c>
      <c r="F6" s="83">
        <v>140310.49</v>
      </c>
      <c r="G6" s="83">
        <v>143449.42000000001</v>
      </c>
      <c r="H6" s="83">
        <v>145521.56</v>
      </c>
      <c r="I6" s="83">
        <f>64351.9+-0.32-0.42+144183.99+0.8</f>
        <v>208535.94999999998</v>
      </c>
    </row>
    <row r="7" spans="1:18" ht="12" customHeight="1" x14ac:dyDescent="0.2">
      <c r="A7" s="7" t="s">
        <v>65</v>
      </c>
      <c r="B7" s="83">
        <v>0</v>
      </c>
      <c r="C7" s="83">
        <v>9961.52</v>
      </c>
      <c r="D7" s="83">
        <v>5910.8</v>
      </c>
      <c r="E7" s="83">
        <v>4670.6000000000004</v>
      </c>
      <c r="F7" s="83">
        <v>16183</v>
      </c>
      <c r="G7" s="83">
        <v>13908.08</v>
      </c>
      <c r="H7" s="83">
        <v>1915.74</v>
      </c>
      <c r="I7" s="83">
        <f>280.29+36761</f>
        <v>37041.29</v>
      </c>
    </row>
    <row r="8" spans="1:18" ht="12" customHeight="1" x14ac:dyDescent="0.2">
      <c r="A8" s="7" t="s">
        <v>77</v>
      </c>
      <c r="B8" s="83">
        <v>978.33</v>
      </c>
      <c r="C8" s="83">
        <v>1600.5</v>
      </c>
      <c r="D8" s="83">
        <v>0</v>
      </c>
      <c r="E8" s="83">
        <v>584.22</v>
      </c>
      <c r="F8" s="83">
        <v>15.92</v>
      </c>
      <c r="G8" s="83">
        <f>1123.73+800</f>
        <v>1923.73</v>
      </c>
      <c r="H8" s="83">
        <v>816.55</v>
      </c>
      <c r="I8" s="83">
        <v>2127.42</v>
      </c>
    </row>
    <row r="9" spans="1:18" ht="12" customHeight="1" x14ac:dyDescent="0.2">
      <c r="A9" s="62" t="s">
        <v>93</v>
      </c>
      <c r="B9" s="83">
        <v>325</v>
      </c>
      <c r="C9" s="83">
        <v>908.95</v>
      </c>
      <c r="D9" s="83">
        <v>82.97</v>
      </c>
      <c r="E9" s="83">
        <v>116.24</v>
      </c>
      <c r="F9" s="83">
        <v>0</v>
      </c>
      <c r="G9" s="83">
        <v>0</v>
      </c>
      <c r="H9" s="83">
        <v>0</v>
      </c>
      <c r="I9" s="83">
        <v>0</v>
      </c>
      <c r="K9" s="44"/>
      <c r="R9" s="111"/>
    </row>
    <row r="10" spans="1:18" ht="12" customHeight="1" x14ac:dyDescent="0.2">
      <c r="A10" s="62" t="s">
        <v>66</v>
      </c>
      <c r="B10" s="83">
        <v>0</v>
      </c>
      <c r="C10" s="83">
        <f>5015+9274.75</f>
        <v>14289.75</v>
      </c>
      <c r="D10" s="83">
        <v>0</v>
      </c>
      <c r="E10" s="83">
        <v>0</v>
      </c>
      <c r="F10" s="83">
        <v>0</v>
      </c>
      <c r="G10" s="83">
        <v>11507.25</v>
      </c>
      <c r="H10" s="83">
        <v>23758.25</v>
      </c>
      <c r="I10" s="170">
        <v>0</v>
      </c>
      <c r="K10" s="111"/>
      <c r="M10" s="123"/>
      <c r="O10" s="111"/>
      <c r="R10" s="111"/>
    </row>
    <row r="11" spans="1:18" ht="12" customHeight="1" x14ac:dyDescent="0.2">
      <c r="A11" s="62" t="s">
        <v>67</v>
      </c>
      <c r="B11" s="83">
        <f>148+18648.61+11161.16+539.9+419-695</f>
        <v>30221.670000000002</v>
      </c>
      <c r="C11" s="83">
        <f>2294.97+2107.94+38+85.5+869.78+149.9+16.25+25.5+25.5</f>
        <v>5613.3399999999992</v>
      </c>
      <c r="D11" s="83">
        <f>764.33+3622.74+100+982.4+16.25+350</f>
        <v>5835.7199999999993</v>
      </c>
      <c r="E11" s="83">
        <f>92.97+16.77+7217.48+350</f>
        <v>7677.2199999999993</v>
      </c>
      <c r="F11" s="83">
        <f>5043.86+177.18+177.18+32.89+1478.7+350</f>
        <v>7259.81</v>
      </c>
      <c r="G11" s="83">
        <f>720+5786.46+350+337.08+61.75+44+7.75</f>
        <v>7307.04</v>
      </c>
      <c r="H11" s="83">
        <v>16684.900000000001</v>
      </c>
      <c r="I11" s="83">
        <f>84.56+1991.84+25.5+16.5+350</f>
        <v>2468.4</v>
      </c>
      <c r="K11" s="111"/>
      <c r="M11" s="123"/>
      <c r="O11" s="111"/>
      <c r="R11" s="111"/>
    </row>
    <row r="12" spans="1:18" ht="12" customHeight="1" x14ac:dyDescent="0.2">
      <c r="A12" s="62" t="s">
        <v>68</v>
      </c>
      <c r="B12" s="83">
        <v>0</v>
      </c>
      <c r="C12" s="83">
        <v>0</v>
      </c>
      <c r="D12" s="83">
        <v>141.34</v>
      </c>
      <c r="E12" s="83">
        <v>0</v>
      </c>
      <c r="F12" s="83">
        <v>222.61</v>
      </c>
      <c r="G12" s="170">
        <v>0</v>
      </c>
      <c r="H12" s="83">
        <v>0</v>
      </c>
      <c r="I12" s="83">
        <v>520.85</v>
      </c>
      <c r="O12" s="111"/>
      <c r="R12" s="111"/>
    </row>
    <row r="13" spans="1:18" ht="12" customHeight="1" x14ac:dyDescent="0.2">
      <c r="A13" s="62" t="s">
        <v>69</v>
      </c>
      <c r="B13" s="83">
        <v>0</v>
      </c>
      <c r="C13" s="83">
        <v>0</v>
      </c>
      <c r="D13" s="83">
        <v>0</v>
      </c>
      <c r="E13" s="83">
        <v>0</v>
      </c>
      <c r="F13" s="83">
        <v>0</v>
      </c>
      <c r="G13" s="83">
        <v>0</v>
      </c>
      <c r="H13" s="83">
        <v>0</v>
      </c>
      <c r="I13" s="83">
        <v>0</v>
      </c>
      <c r="O13" s="111"/>
      <c r="R13" s="111"/>
    </row>
    <row r="14" spans="1:18" ht="12" customHeight="1" x14ac:dyDescent="0.2">
      <c r="A14" s="62" t="s">
        <v>70</v>
      </c>
      <c r="B14" s="83">
        <f>832.66+641.09+9.99</f>
        <v>1483.74</v>
      </c>
      <c r="C14" s="83">
        <f>148.57+156.53</f>
        <v>305.10000000000002</v>
      </c>
      <c r="D14" s="83">
        <f>854.98+1121.9</f>
        <v>1976.88</v>
      </c>
      <c r="E14" s="83">
        <f>2046.2+193.33+771.79+1877.35</f>
        <v>4888.67</v>
      </c>
      <c r="F14" s="83">
        <f>446.39+524.52</f>
        <v>970.91</v>
      </c>
      <c r="G14" s="83">
        <f>89.48+289.52</f>
        <v>379</v>
      </c>
      <c r="H14" s="83">
        <f>874.2+309.68</f>
        <v>1183.8800000000001</v>
      </c>
      <c r="I14" s="83">
        <f>1206.99+284.11</f>
        <v>1491.1</v>
      </c>
      <c r="O14" s="111"/>
      <c r="R14" s="111"/>
    </row>
    <row r="15" spans="1:18" ht="12" customHeight="1" x14ac:dyDescent="0.2">
      <c r="A15" s="62" t="s">
        <v>71</v>
      </c>
      <c r="B15" s="83">
        <v>645</v>
      </c>
      <c r="C15" s="83">
        <v>0</v>
      </c>
      <c r="D15" s="83">
        <v>0</v>
      </c>
      <c r="E15" s="83">
        <v>271.27999999999997</v>
      </c>
      <c r="F15" s="83">
        <v>1384</v>
      </c>
      <c r="G15" s="83">
        <v>264</v>
      </c>
      <c r="H15" s="83">
        <v>589</v>
      </c>
      <c r="I15" s="83">
        <v>264</v>
      </c>
      <c r="O15" s="111"/>
      <c r="R15" s="111"/>
    </row>
    <row r="16" spans="1:18" ht="12" customHeight="1" x14ac:dyDescent="0.2">
      <c r="A16" s="62" t="s">
        <v>72</v>
      </c>
      <c r="B16" s="83">
        <v>1941.27</v>
      </c>
      <c r="C16" s="83">
        <v>10223.35</v>
      </c>
      <c r="D16" s="83">
        <f>7459.09+88.3</f>
        <v>7547.39</v>
      </c>
      <c r="E16" s="83">
        <v>7111.42</v>
      </c>
      <c r="F16" s="83">
        <v>3152.96</v>
      </c>
      <c r="G16" s="83">
        <v>1440.63</v>
      </c>
      <c r="H16" s="83">
        <f>3049.71-817.2-797.18</f>
        <v>1435.3300000000004</v>
      </c>
      <c r="I16" s="83">
        <v>2172.2800000000002</v>
      </c>
      <c r="O16" s="111"/>
      <c r="R16" s="111"/>
    </row>
    <row r="17" spans="1:18" ht="12" customHeight="1" x14ac:dyDescent="0.2">
      <c r="A17" s="62" t="s">
        <v>73</v>
      </c>
      <c r="B17" s="83">
        <v>2575.65</v>
      </c>
      <c r="C17" s="83">
        <v>2673.46</v>
      </c>
      <c r="D17" s="83">
        <f>2738.15</f>
        <v>2738.15</v>
      </c>
      <c r="E17" s="83">
        <v>2887.14</v>
      </c>
      <c r="F17" s="83">
        <v>2769.46</v>
      </c>
      <c r="G17" s="83">
        <v>2806.86</v>
      </c>
      <c r="H17" s="83">
        <v>3165.98</v>
      </c>
      <c r="I17" s="83">
        <v>2834.71</v>
      </c>
      <c r="O17" s="111"/>
      <c r="R17" s="111"/>
    </row>
    <row r="18" spans="1:18" ht="12" customHeight="1" x14ac:dyDescent="0.2">
      <c r="A18" s="62" t="s">
        <v>74</v>
      </c>
      <c r="B18" s="83">
        <v>1558.3</v>
      </c>
      <c r="C18" s="83">
        <v>8817.23</v>
      </c>
      <c r="D18" s="83">
        <v>0</v>
      </c>
      <c r="E18" s="83">
        <v>0</v>
      </c>
      <c r="F18" s="83">
        <v>2302.5</v>
      </c>
      <c r="G18" s="83">
        <v>2080.98</v>
      </c>
      <c r="H18" s="83">
        <v>21758</v>
      </c>
      <c r="I18" s="83">
        <v>1056.0999999999999</v>
      </c>
      <c r="O18" s="111"/>
      <c r="R18" s="111"/>
    </row>
    <row r="19" spans="1:18" ht="12" customHeight="1" x14ac:dyDescent="0.2">
      <c r="A19" s="62" t="s">
        <v>92</v>
      </c>
      <c r="B19" s="83">
        <v>0</v>
      </c>
      <c r="C19" s="83">
        <v>2050</v>
      </c>
      <c r="D19" s="83">
        <v>0</v>
      </c>
      <c r="E19" s="83">
        <v>449.5</v>
      </c>
      <c r="F19" s="83">
        <v>2826.5</v>
      </c>
      <c r="G19" s="83">
        <v>2110.98</v>
      </c>
      <c r="H19" s="83">
        <v>0</v>
      </c>
      <c r="I19" s="83">
        <v>4260.5</v>
      </c>
      <c r="O19" s="111"/>
      <c r="R19" s="111"/>
    </row>
    <row r="20" spans="1:18" ht="12" customHeight="1" x14ac:dyDescent="0.2">
      <c r="A20" s="62" t="s">
        <v>75</v>
      </c>
      <c r="B20" s="170">
        <f>616+200.35</f>
        <v>816.35</v>
      </c>
      <c r="C20" s="83">
        <v>636.44000000000005</v>
      </c>
      <c r="D20" s="83">
        <v>1357.37</v>
      </c>
      <c r="E20" s="83">
        <v>159.80000000000001</v>
      </c>
      <c r="F20" s="83">
        <v>397</v>
      </c>
      <c r="G20" s="83">
        <f>2353.11+8194.7</f>
        <v>10547.810000000001</v>
      </c>
      <c r="H20" s="83">
        <v>75</v>
      </c>
      <c r="I20" s="83">
        <v>0</v>
      </c>
      <c r="O20" s="111"/>
      <c r="R20" s="111"/>
    </row>
    <row r="21" spans="1:18" ht="12" customHeight="1" x14ac:dyDescent="0.2">
      <c r="A21" s="62" t="s">
        <v>76</v>
      </c>
      <c r="B21" s="83">
        <v>448.19</v>
      </c>
      <c r="C21" s="83">
        <v>55</v>
      </c>
      <c r="D21" s="83">
        <v>5465.87</v>
      </c>
      <c r="E21" s="83">
        <v>139.78</v>
      </c>
      <c r="F21" s="83">
        <v>0</v>
      </c>
      <c r="G21" s="83">
        <v>1208.5</v>
      </c>
      <c r="H21" s="83">
        <v>210</v>
      </c>
      <c r="I21" s="83">
        <v>409.12</v>
      </c>
    </row>
    <row r="22" spans="1:18" ht="12" customHeight="1" x14ac:dyDescent="0.2">
      <c r="A22" s="62" t="s">
        <v>87</v>
      </c>
      <c r="B22" s="83">
        <f>271.05+50+25</f>
        <v>346.05</v>
      </c>
      <c r="C22" s="83">
        <f>819.71+25</f>
        <v>844.71</v>
      </c>
      <c r="D22" s="83">
        <v>5881.49</v>
      </c>
      <c r="E22" s="83">
        <v>444.32</v>
      </c>
      <c r="F22" s="83">
        <v>338.04</v>
      </c>
      <c r="G22" s="83">
        <f>158.34+25</f>
        <v>183.34</v>
      </c>
      <c r="H22" s="83">
        <v>25</v>
      </c>
      <c r="I22" s="83">
        <v>270.64999999999998</v>
      </c>
      <c r="O22" s="111"/>
      <c r="R22" s="111"/>
    </row>
    <row r="23" spans="1:18" ht="12" customHeight="1" x14ac:dyDescent="0.2">
      <c r="A23" s="81" t="s">
        <v>88</v>
      </c>
      <c r="B23" s="83">
        <v>1783.5</v>
      </c>
      <c r="C23" s="83">
        <v>0</v>
      </c>
      <c r="D23" s="83">
        <v>0</v>
      </c>
      <c r="E23" s="83">
        <v>0</v>
      </c>
      <c r="F23" s="83">
        <v>310.27999999999997</v>
      </c>
      <c r="G23" s="83">
        <v>0</v>
      </c>
      <c r="H23" s="83">
        <v>1511.25</v>
      </c>
      <c r="I23" s="83">
        <v>0</v>
      </c>
      <c r="O23" s="111"/>
      <c r="R23" s="111"/>
    </row>
    <row r="24" spans="1:18" ht="12" customHeight="1" x14ac:dyDescent="0.2">
      <c r="O24" s="111"/>
      <c r="R24" s="111"/>
    </row>
    <row r="25" spans="1:18" ht="15" customHeight="1" x14ac:dyDescent="0.2">
      <c r="A25" s="92" t="s">
        <v>56</v>
      </c>
      <c r="B25" s="76">
        <f t="shared" ref="B25:I25" si="1">SUM(B4:B24)</f>
        <v>210213.41999999998</v>
      </c>
      <c r="C25" s="76">
        <f t="shared" si="1"/>
        <v>215400.16</v>
      </c>
      <c r="D25" s="76">
        <f t="shared" si="1"/>
        <v>246462.56999999998</v>
      </c>
      <c r="E25" s="76">
        <f t="shared" si="1"/>
        <v>181827.15000000002</v>
      </c>
      <c r="F25" s="76">
        <f t="shared" si="1"/>
        <v>181536.09999999998</v>
      </c>
      <c r="G25" s="76">
        <f t="shared" si="1"/>
        <v>205209.71000000002</v>
      </c>
      <c r="H25" s="76">
        <f t="shared" si="1"/>
        <v>226725.11999999997</v>
      </c>
      <c r="I25" s="76">
        <f t="shared" si="1"/>
        <v>267375.74</v>
      </c>
      <c r="O25" s="111"/>
      <c r="R25" s="111"/>
    </row>
    <row r="26" spans="1:18" ht="12" customHeight="1" x14ac:dyDescent="0.2">
      <c r="O26" s="111"/>
      <c r="R26" s="111"/>
    </row>
    <row r="27" spans="1:18" ht="12" customHeight="1" x14ac:dyDescent="0.2">
      <c r="O27" s="111"/>
      <c r="R27" s="111"/>
    </row>
    <row r="28" spans="1:18" ht="37.5" customHeight="1" x14ac:dyDescent="0.2">
      <c r="A28" s="1"/>
      <c r="B28" s="24">
        <f>+I1+30</f>
        <v>43355</v>
      </c>
      <c r="C28" s="24">
        <f>+B28+30</f>
        <v>43385</v>
      </c>
      <c r="D28" s="24">
        <f>+C28+30</f>
        <v>43415</v>
      </c>
      <c r="E28" s="24">
        <f>+D28+30</f>
        <v>43445</v>
      </c>
      <c r="F28" s="66" t="s">
        <v>144</v>
      </c>
      <c r="G28" s="26" t="s">
        <v>148</v>
      </c>
      <c r="H28" s="27" t="s">
        <v>61</v>
      </c>
      <c r="I28" s="28" t="s">
        <v>10</v>
      </c>
      <c r="O28" s="111"/>
      <c r="R28" s="111"/>
    </row>
    <row r="29" spans="1:18" ht="12" customHeight="1" x14ac:dyDescent="0.2">
      <c r="A29" s="6"/>
      <c r="B29" s="6"/>
      <c r="C29" s="6"/>
      <c r="D29" s="6"/>
      <c r="E29" s="6"/>
      <c r="F29" s="6"/>
      <c r="G29" s="17"/>
      <c r="H29" s="17"/>
      <c r="I29" s="17"/>
      <c r="R29" s="111"/>
    </row>
    <row r="30" spans="1:18" ht="31.5" customHeight="1" x14ac:dyDescent="0.2">
      <c r="A30" s="82" t="s">
        <v>137</v>
      </c>
      <c r="B30" s="6"/>
      <c r="C30" s="6"/>
      <c r="D30" s="6"/>
      <c r="E30" s="6"/>
      <c r="F30" s="6"/>
      <c r="G30" s="17"/>
      <c r="H30" s="17"/>
      <c r="I30" s="17"/>
      <c r="O30" s="111"/>
      <c r="R30" s="111"/>
    </row>
    <row r="31" spans="1:18" ht="12" customHeight="1" x14ac:dyDescent="0.2">
      <c r="A31" s="7" t="s">
        <v>62</v>
      </c>
      <c r="B31" s="83">
        <v>1149.8699999999999</v>
      </c>
      <c r="C31" s="83">
        <v>3132.86</v>
      </c>
      <c r="D31" s="83">
        <v>1260.82</v>
      </c>
      <c r="E31" s="83">
        <v>3863.24</v>
      </c>
      <c r="F31" s="85">
        <f t="shared" ref="F31:F50" si="2">SUM(B4:I4)+SUM(B31:E31)</f>
        <v>38135.67</v>
      </c>
      <c r="G31" s="90">
        <v>60000</v>
      </c>
      <c r="H31" s="87">
        <f t="shared" ref="H31:H50" si="3">G31-F31</f>
        <v>21864.33</v>
      </c>
      <c r="I31" s="77">
        <f t="shared" ref="I31:I50" si="4">F31/G31</f>
        <v>0.63559449999999995</v>
      </c>
      <c r="O31" s="111"/>
      <c r="R31" s="111"/>
    </row>
    <row r="32" spans="1:18" ht="12" customHeight="1" x14ac:dyDescent="0.2">
      <c r="A32" s="7" t="s">
        <v>63</v>
      </c>
      <c r="B32" s="83">
        <v>8120.91</v>
      </c>
      <c r="C32" s="83">
        <v>2410</v>
      </c>
      <c r="D32" s="83">
        <v>3970.59</v>
      </c>
      <c r="E32" s="83">
        <v>8046.81</v>
      </c>
      <c r="F32" s="85">
        <f t="shared" si="2"/>
        <v>52170.22</v>
      </c>
      <c r="G32" s="86">
        <v>46000</v>
      </c>
      <c r="H32" s="87">
        <f t="shared" si="3"/>
        <v>-6170.2200000000012</v>
      </c>
      <c r="I32" s="77">
        <f t="shared" si="4"/>
        <v>1.1341352173913044</v>
      </c>
    </row>
    <row r="33" spans="1:20" ht="12" customHeight="1" x14ac:dyDescent="0.2">
      <c r="A33" s="7" t="s">
        <v>64</v>
      </c>
      <c r="B33" s="83">
        <v>153545.99</v>
      </c>
      <c r="C33" s="83">
        <f>48857.78+16246.68+13012.16+48164.71+301.69+14968.58</f>
        <v>141551.59999999998</v>
      </c>
      <c r="D33" s="83">
        <f>-129.52+45505.42+5130.61+14600.3+12423.77+47968.23+15295.08+16656.43+5330.6</f>
        <v>162780.91999999998</v>
      </c>
      <c r="E33" s="170">
        <f>186560.05-14600.3</f>
        <v>171959.75</v>
      </c>
      <c r="F33" s="85">
        <f t="shared" si="2"/>
        <v>1916950.38</v>
      </c>
      <c r="G33" s="86">
        <v>1940000</v>
      </c>
      <c r="H33" s="87">
        <f t="shared" si="3"/>
        <v>23049.620000000112</v>
      </c>
      <c r="I33" s="77">
        <f t="shared" si="4"/>
        <v>0.98811875257731951</v>
      </c>
    </row>
    <row r="34" spans="1:20" ht="12" customHeight="1" x14ac:dyDescent="0.2">
      <c r="A34" s="7" t="s">
        <v>65</v>
      </c>
      <c r="B34" s="83">
        <v>12555.36</v>
      </c>
      <c r="C34" s="83">
        <v>2752.57</v>
      </c>
      <c r="D34" s="83">
        <v>5401.44</v>
      </c>
      <c r="E34" s="83">
        <v>15208.09</v>
      </c>
      <c r="F34" s="85">
        <f t="shared" si="2"/>
        <v>125508.48999999999</v>
      </c>
      <c r="G34" s="86">
        <v>81000</v>
      </c>
      <c r="H34" s="87">
        <f t="shared" si="3"/>
        <v>-44508.489999999991</v>
      </c>
      <c r="I34" s="77">
        <f t="shared" si="4"/>
        <v>1.5494875308641973</v>
      </c>
    </row>
    <row r="35" spans="1:20" ht="12" customHeight="1" x14ac:dyDescent="0.2">
      <c r="A35" s="7" t="s">
        <v>77</v>
      </c>
      <c r="B35" s="83">
        <v>32.450000000000003</v>
      </c>
      <c r="C35" s="83">
        <v>0</v>
      </c>
      <c r="D35" s="83">
        <v>2219.16</v>
      </c>
      <c r="E35" s="83">
        <v>892.85</v>
      </c>
      <c r="F35" s="85">
        <f t="shared" si="2"/>
        <v>11191.130000000001</v>
      </c>
      <c r="G35" s="86">
        <v>15000</v>
      </c>
      <c r="H35" s="87">
        <f t="shared" si="3"/>
        <v>3808.869999999999</v>
      </c>
      <c r="I35" s="77">
        <f t="shared" si="4"/>
        <v>0.74607533333333342</v>
      </c>
      <c r="O35" s="111"/>
      <c r="R35" s="111"/>
      <c r="S35" s="111"/>
    </row>
    <row r="36" spans="1:20" ht="12" customHeight="1" x14ac:dyDescent="0.2">
      <c r="A36" s="62" t="s">
        <v>93</v>
      </c>
      <c r="B36" s="83">
        <v>167.98</v>
      </c>
      <c r="C36" s="83">
        <v>60</v>
      </c>
      <c r="D36" s="83">
        <v>0</v>
      </c>
      <c r="E36" s="83">
        <v>0</v>
      </c>
      <c r="F36" s="85">
        <f t="shared" si="2"/>
        <v>1661.14</v>
      </c>
      <c r="G36" s="86">
        <v>1000</v>
      </c>
      <c r="H36" s="87">
        <f t="shared" si="3"/>
        <v>-661.1400000000001</v>
      </c>
      <c r="I36" s="77">
        <f t="shared" si="4"/>
        <v>1.6611400000000001</v>
      </c>
      <c r="O36" s="111"/>
      <c r="R36" s="111"/>
      <c r="S36" s="111"/>
    </row>
    <row r="37" spans="1:20" ht="12" customHeight="1" x14ac:dyDescent="0.2">
      <c r="A37" s="62" t="s">
        <v>66</v>
      </c>
      <c r="B37" s="83">
        <v>29207</v>
      </c>
      <c r="C37" s="83">
        <v>9973.25</v>
      </c>
      <c r="D37" s="83">
        <v>0</v>
      </c>
      <c r="E37" s="83">
        <v>682.18</v>
      </c>
      <c r="F37" s="85">
        <f t="shared" si="2"/>
        <v>89417.68</v>
      </c>
      <c r="G37" s="86">
        <v>84000</v>
      </c>
      <c r="H37" s="87">
        <f t="shared" si="3"/>
        <v>-5417.679999999993</v>
      </c>
      <c r="I37" s="77">
        <f t="shared" si="4"/>
        <v>1.0644961904761905</v>
      </c>
      <c r="O37" s="111"/>
      <c r="P37" s="111"/>
      <c r="R37" s="111"/>
      <c r="S37" s="111"/>
    </row>
    <row r="38" spans="1:20" ht="12" customHeight="1" x14ac:dyDescent="0.2">
      <c r="A38" s="62" t="s">
        <v>67</v>
      </c>
      <c r="B38" s="83">
        <v>81822.19</v>
      </c>
      <c r="C38" s="83">
        <v>17399.48</v>
      </c>
      <c r="D38" s="83">
        <v>9899.31</v>
      </c>
      <c r="E38" s="83">
        <f>265.41+7422.06+2320+438.01+650.73+224.19+2093.26+272.69+314.4+350</f>
        <v>14350.750000000002</v>
      </c>
      <c r="F38" s="85">
        <f t="shared" si="2"/>
        <v>206539.83000000002</v>
      </c>
      <c r="G38" s="86">
        <v>130000</v>
      </c>
      <c r="H38" s="87">
        <f t="shared" si="3"/>
        <v>-76539.830000000016</v>
      </c>
      <c r="I38" s="77">
        <f t="shared" si="4"/>
        <v>1.5887679230769232</v>
      </c>
      <c r="O38" s="111"/>
      <c r="P38" s="111"/>
      <c r="Q38" s="111"/>
      <c r="R38" s="111"/>
      <c r="S38" s="111"/>
      <c r="T38" s="111"/>
    </row>
    <row r="39" spans="1:20" ht="12" customHeight="1" x14ac:dyDescent="0.2">
      <c r="A39" s="62" t="s">
        <v>68</v>
      </c>
      <c r="B39" s="83">
        <v>0</v>
      </c>
      <c r="C39" s="83">
        <v>0</v>
      </c>
      <c r="D39" s="83">
        <v>0</v>
      </c>
      <c r="E39" s="83">
        <v>115.92</v>
      </c>
      <c r="F39" s="85">
        <f t="shared" si="2"/>
        <v>1000.72</v>
      </c>
      <c r="G39" s="86">
        <v>3000</v>
      </c>
      <c r="H39" s="87">
        <f t="shared" si="3"/>
        <v>1999.28</v>
      </c>
      <c r="I39" s="77">
        <f t="shared" si="4"/>
        <v>0.33357333333333333</v>
      </c>
      <c r="N39" s="111"/>
      <c r="O39" s="111"/>
      <c r="P39" s="111"/>
      <c r="Q39" s="111"/>
      <c r="R39" s="111"/>
      <c r="S39" s="111"/>
      <c r="T39" s="111"/>
    </row>
    <row r="40" spans="1:20" ht="12" customHeight="1" x14ac:dyDescent="0.2">
      <c r="A40" s="62" t="s">
        <v>69</v>
      </c>
      <c r="B40" s="83">
        <v>27708.33</v>
      </c>
      <c r="C40" s="83">
        <v>0</v>
      </c>
      <c r="D40" s="83">
        <v>0</v>
      </c>
      <c r="E40" s="83">
        <v>0</v>
      </c>
      <c r="F40" s="85">
        <f t="shared" si="2"/>
        <v>27708.33</v>
      </c>
      <c r="G40" s="86">
        <v>30000</v>
      </c>
      <c r="H40" s="87">
        <f t="shared" si="3"/>
        <v>2291.6699999999983</v>
      </c>
      <c r="I40" s="77">
        <f t="shared" si="4"/>
        <v>0.92361100000000007</v>
      </c>
      <c r="N40" s="111"/>
      <c r="O40" s="111"/>
      <c r="P40" s="111"/>
      <c r="Q40" s="111"/>
      <c r="R40" s="111"/>
      <c r="S40" s="111"/>
      <c r="T40" s="111"/>
    </row>
    <row r="41" spans="1:20" ht="12" customHeight="1" x14ac:dyDescent="0.2">
      <c r="A41" s="62" t="s">
        <v>70</v>
      </c>
      <c r="B41" s="83">
        <v>2964.13</v>
      </c>
      <c r="C41" s="83">
        <v>1984.54</v>
      </c>
      <c r="D41" s="83">
        <v>2249.27</v>
      </c>
      <c r="E41" s="83">
        <f>1070.32+1014.25</f>
        <v>2084.5699999999997</v>
      </c>
      <c r="F41" s="85">
        <f t="shared" si="2"/>
        <v>21961.79</v>
      </c>
      <c r="G41" s="86">
        <v>20000</v>
      </c>
      <c r="H41" s="87">
        <f t="shared" si="3"/>
        <v>-1961.7900000000009</v>
      </c>
      <c r="I41" s="77">
        <f t="shared" si="4"/>
        <v>1.0980894999999999</v>
      </c>
      <c r="N41" s="111"/>
      <c r="O41" s="111"/>
      <c r="Q41" s="111"/>
      <c r="R41" s="111"/>
      <c r="T41" s="111"/>
    </row>
    <row r="42" spans="1:20" ht="12" customHeight="1" x14ac:dyDescent="0.2">
      <c r="A42" s="62" t="s">
        <v>71</v>
      </c>
      <c r="B42" s="83">
        <v>325</v>
      </c>
      <c r="C42" s="83">
        <v>0</v>
      </c>
      <c r="D42" s="83">
        <v>1257</v>
      </c>
      <c r="E42" s="83">
        <v>6106.22</v>
      </c>
      <c r="F42" s="85">
        <f t="shared" si="2"/>
        <v>11105.5</v>
      </c>
      <c r="G42" s="86">
        <v>10000</v>
      </c>
      <c r="H42" s="87">
        <f t="shared" si="3"/>
        <v>-1105.5</v>
      </c>
      <c r="I42" s="77">
        <f t="shared" si="4"/>
        <v>1.1105499999999999</v>
      </c>
      <c r="N42" s="111"/>
      <c r="O42" s="111"/>
      <c r="P42" s="111"/>
      <c r="Q42" s="111"/>
      <c r="R42" s="111"/>
      <c r="S42" s="111"/>
      <c r="T42" s="111"/>
    </row>
    <row r="43" spans="1:20" ht="12" customHeight="1" x14ac:dyDescent="0.2">
      <c r="A43" s="62" t="s">
        <v>72</v>
      </c>
      <c r="B43" s="83">
        <v>6515.58</v>
      </c>
      <c r="C43" s="83">
        <v>834.7</v>
      </c>
      <c r="D43" s="83">
        <v>4843.24</v>
      </c>
      <c r="E43" s="83">
        <v>9712.5300000000007</v>
      </c>
      <c r="F43" s="85">
        <f t="shared" si="2"/>
        <v>56930.68</v>
      </c>
      <c r="G43" s="86">
        <v>60000</v>
      </c>
      <c r="H43" s="87">
        <f t="shared" si="3"/>
        <v>3069.3199999999997</v>
      </c>
      <c r="I43" s="77">
        <f t="shared" si="4"/>
        <v>0.94884466666666667</v>
      </c>
      <c r="N43" s="111"/>
      <c r="O43" s="111"/>
      <c r="P43" s="111"/>
      <c r="Q43" s="111"/>
      <c r="R43" s="111"/>
      <c r="S43" s="111"/>
      <c r="T43" s="111"/>
    </row>
    <row r="44" spans="1:20" ht="12" customHeight="1" x14ac:dyDescent="0.2">
      <c r="A44" s="62" t="s">
        <v>73</v>
      </c>
      <c r="B44" s="83">
        <v>3049.55</v>
      </c>
      <c r="C44" s="83">
        <v>5584.27</v>
      </c>
      <c r="D44" s="83">
        <v>2043.13</v>
      </c>
      <c r="E44" s="83">
        <v>2833.05</v>
      </c>
      <c r="F44" s="85">
        <f t="shared" si="2"/>
        <v>35961.410000000003</v>
      </c>
      <c r="G44" s="86">
        <v>35000</v>
      </c>
      <c r="H44" s="87">
        <f t="shared" si="3"/>
        <v>-961.41000000000349</v>
      </c>
      <c r="I44" s="77">
        <f t="shared" si="4"/>
        <v>1.0274688571428572</v>
      </c>
      <c r="Q44" s="111"/>
      <c r="R44" s="111"/>
      <c r="T44" s="111"/>
    </row>
    <row r="45" spans="1:20" ht="12" customHeight="1" x14ac:dyDescent="0.2">
      <c r="A45" s="62" t="s">
        <v>74</v>
      </c>
      <c r="B45" s="83">
        <v>410</v>
      </c>
      <c r="C45" s="83">
        <v>0</v>
      </c>
      <c r="D45" s="83">
        <v>199</v>
      </c>
      <c r="E45" s="83">
        <v>0</v>
      </c>
      <c r="F45" s="85">
        <f t="shared" si="2"/>
        <v>38182.109999999993</v>
      </c>
      <c r="G45" s="86">
        <v>30000</v>
      </c>
      <c r="H45" s="87">
        <f t="shared" si="3"/>
        <v>-8182.1099999999933</v>
      </c>
      <c r="I45" s="77">
        <f t="shared" si="4"/>
        <v>1.2727369999999998</v>
      </c>
      <c r="O45" s="111"/>
      <c r="Q45" s="111"/>
      <c r="R45" s="111"/>
      <c r="T45" s="111"/>
    </row>
    <row r="46" spans="1:20" ht="12" customHeight="1" x14ac:dyDescent="0.2">
      <c r="A46" s="62" t="s">
        <v>92</v>
      </c>
      <c r="B46" s="83">
        <v>813</v>
      </c>
      <c r="C46" s="83">
        <v>0</v>
      </c>
      <c r="D46" s="83">
        <v>4071</v>
      </c>
      <c r="E46" s="83">
        <v>3441</v>
      </c>
      <c r="F46" s="85">
        <f t="shared" si="2"/>
        <v>20022.48</v>
      </c>
      <c r="G46" s="86">
        <v>20000</v>
      </c>
      <c r="H46" s="87">
        <f t="shared" si="3"/>
        <v>-22.479999999999563</v>
      </c>
      <c r="I46" s="77">
        <f t="shared" si="4"/>
        <v>1.0011239999999999</v>
      </c>
      <c r="N46" s="111"/>
      <c r="O46" s="111"/>
      <c r="P46" s="111"/>
      <c r="Q46" s="111"/>
      <c r="R46" s="111"/>
      <c r="S46" s="111"/>
      <c r="T46" s="111"/>
    </row>
    <row r="47" spans="1:20" ht="12" customHeight="1" x14ac:dyDescent="0.2">
      <c r="A47" s="62" t="s">
        <v>75</v>
      </c>
      <c r="B47" s="83">
        <v>1153.22</v>
      </c>
      <c r="C47" s="83">
        <v>10</v>
      </c>
      <c r="D47" s="83">
        <v>3671.33</v>
      </c>
      <c r="E47" s="83">
        <v>706.98</v>
      </c>
      <c r="F47" s="85">
        <f t="shared" si="2"/>
        <v>19531.300000000003</v>
      </c>
      <c r="G47" s="86">
        <v>20000</v>
      </c>
      <c r="H47" s="87">
        <f t="shared" si="3"/>
        <v>468.69999999999709</v>
      </c>
      <c r="I47" s="77">
        <f t="shared" si="4"/>
        <v>0.97656500000000013</v>
      </c>
      <c r="Q47" s="111"/>
      <c r="R47" s="111"/>
      <c r="S47" s="111"/>
      <c r="T47" s="111"/>
    </row>
    <row r="48" spans="1:20" ht="12" customHeight="1" x14ac:dyDescent="0.2">
      <c r="A48" s="62" t="s">
        <v>76</v>
      </c>
      <c r="B48" s="83">
        <v>447.8</v>
      </c>
      <c r="C48" s="83">
        <v>0</v>
      </c>
      <c r="D48" s="83">
        <v>0</v>
      </c>
      <c r="E48" s="83">
        <v>0</v>
      </c>
      <c r="F48" s="85">
        <f t="shared" si="2"/>
        <v>8384.2599999999984</v>
      </c>
      <c r="G48" s="86">
        <v>10000</v>
      </c>
      <c r="H48" s="87">
        <f t="shared" si="3"/>
        <v>1615.7400000000016</v>
      </c>
      <c r="I48" s="77">
        <f t="shared" si="4"/>
        <v>0.83842599999999989</v>
      </c>
      <c r="O48" s="111"/>
      <c r="P48" s="111"/>
      <c r="R48" s="111"/>
      <c r="S48" s="111"/>
    </row>
    <row r="49" spans="1:20" ht="12" customHeight="1" x14ac:dyDescent="0.2">
      <c r="A49" s="62" t="s">
        <v>87</v>
      </c>
      <c r="B49" s="83">
        <v>856.04</v>
      </c>
      <c r="C49" s="83">
        <v>0</v>
      </c>
      <c r="D49" s="83">
        <v>820.32</v>
      </c>
      <c r="E49" s="83">
        <v>1147.96</v>
      </c>
      <c r="F49" s="85">
        <f t="shared" si="2"/>
        <v>11157.92</v>
      </c>
      <c r="G49" s="86">
        <v>15000</v>
      </c>
      <c r="H49" s="87">
        <f t="shared" si="3"/>
        <v>3842.08</v>
      </c>
      <c r="I49" s="77">
        <f t="shared" si="4"/>
        <v>0.74386133333333337</v>
      </c>
      <c r="N49" s="111"/>
      <c r="O49" s="111"/>
      <c r="P49" s="111"/>
      <c r="Q49" s="111"/>
      <c r="R49" s="111"/>
      <c r="S49" s="111"/>
      <c r="T49" s="111"/>
    </row>
    <row r="50" spans="1:20" ht="12" customHeight="1" x14ac:dyDescent="0.2">
      <c r="A50" s="81" t="s">
        <v>88</v>
      </c>
      <c r="B50" s="83">
        <v>0</v>
      </c>
      <c r="C50" s="83">
        <v>0</v>
      </c>
      <c r="D50" s="83">
        <v>0</v>
      </c>
      <c r="E50" s="83">
        <v>0</v>
      </c>
      <c r="F50" s="85">
        <f t="shared" si="2"/>
        <v>3605.0299999999997</v>
      </c>
      <c r="G50" s="86">
        <v>50000</v>
      </c>
      <c r="H50" s="87">
        <f t="shared" si="3"/>
        <v>46394.97</v>
      </c>
      <c r="I50" s="77">
        <f t="shared" si="4"/>
        <v>7.2100600000000001E-2</v>
      </c>
      <c r="O50" s="111"/>
      <c r="P50" s="111"/>
      <c r="Q50" s="111"/>
      <c r="R50" s="111"/>
      <c r="S50" s="111"/>
      <c r="T50" s="111"/>
    </row>
    <row r="51" spans="1:20" ht="12" customHeight="1" x14ac:dyDescent="0.2">
      <c r="B51" s="6"/>
      <c r="C51" s="6"/>
      <c r="D51" s="6"/>
      <c r="E51" s="6"/>
      <c r="F51" s="6"/>
      <c r="G51" s="17"/>
      <c r="H51" s="17"/>
      <c r="I51" s="17"/>
      <c r="O51" s="111"/>
      <c r="P51" s="111"/>
      <c r="Q51" s="111"/>
      <c r="R51" s="111"/>
      <c r="S51" s="111"/>
      <c r="T51" s="111"/>
    </row>
    <row r="52" spans="1:20" ht="15" customHeight="1" x14ac:dyDescent="0.2">
      <c r="A52" s="92" t="s">
        <v>56</v>
      </c>
      <c r="B52" s="76">
        <f t="shared" ref="B52:H52" si="5">SUM(B31:B51)</f>
        <v>330844.39999999997</v>
      </c>
      <c r="C52" s="76">
        <f t="shared" si="5"/>
        <v>185693.27</v>
      </c>
      <c r="D52" s="76">
        <f t="shared" si="5"/>
        <v>204686.52999999997</v>
      </c>
      <c r="E52" s="76">
        <f t="shared" si="5"/>
        <v>241151.9</v>
      </c>
      <c r="F52" s="107">
        <f t="shared" si="5"/>
        <v>2697126.07</v>
      </c>
      <c r="G52" s="107">
        <f t="shared" si="5"/>
        <v>2660000</v>
      </c>
      <c r="H52" s="107">
        <f t="shared" si="5"/>
        <v>-37126.069999999861</v>
      </c>
      <c r="I52" s="78">
        <f>F52/G52</f>
        <v>1.0139571691729323</v>
      </c>
      <c r="N52" s="111"/>
      <c r="O52" s="111"/>
      <c r="Q52" s="111"/>
      <c r="R52" s="111"/>
      <c r="S52" s="111"/>
      <c r="T52" s="111"/>
    </row>
    <row r="53" spans="1:20" ht="12" customHeight="1" x14ac:dyDescent="0.2">
      <c r="O53" s="111"/>
      <c r="Q53" s="111"/>
      <c r="R53" s="111"/>
      <c r="S53" s="111"/>
      <c r="T53" s="111"/>
    </row>
    <row r="54" spans="1:20" ht="12" customHeight="1" x14ac:dyDescent="0.2">
      <c r="O54" s="111"/>
      <c r="Q54" s="111"/>
      <c r="R54" s="111"/>
      <c r="S54" s="111"/>
      <c r="T54" s="111"/>
    </row>
    <row r="55" spans="1:20" ht="12" customHeight="1" x14ac:dyDescent="0.2">
      <c r="Q55" s="111"/>
      <c r="R55" s="111"/>
      <c r="S55" s="111"/>
      <c r="T55" s="111"/>
    </row>
    <row r="56" spans="1:20" ht="12" customHeight="1" x14ac:dyDescent="0.2">
      <c r="O56" s="111"/>
      <c r="P56" s="111"/>
      <c r="Q56" s="111"/>
      <c r="R56" s="111"/>
      <c r="S56" s="111"/>
      <c r="T56" s="111"/>
    </row>
    <row r="57" spans="1:20" ht="12" customHeight="1" x14ac:dyDescent="0.2">
      <c r="Q57" s="111"/>
      <c r="R57" s="111"/>
      <c r="T57" s="111"/>
    </row>
    <row r="58" spans="1:20" ht="12" customHeight="1" x14ac:dyDescent="0.2">
      <c r="O58" s="111"/>
      <c r="Q58" s="111"/>
      <c r="R58" s="111"/>
      <c r="T58" s="111"/>
    </row>
    <row r="59" spans="1:20" ht="12" customHeight="1" x14ac:dyDescent="0.2">
      <c r="N59" s="111"/>
      <c r="O59" s="111"/>
      <c r="Q59" s="111"/>
      <c r="R59" s="111"/>
      <c r="T59" s="111"/>
    </row>
    <row r="60" spans="1:20" ht="12" customHeight="1" x14ac:dyDescent="0.2"/>
    <row r="61" spans="1:20" ht="12" customHeight="1" x14ac:dyDescent="0.2"/>
    <row r="62" spans="1:20" ht="12" customHeight="1" x14ac:dyDescent="0.2"/>
    <row r="63" spans="1:20" ht="12" customHeight="1" x14ac:dyDescent="0.2"/>
    <row r="64" spans="1:20" ht="12" customHeight="1" x14ac:dyDescent="0.2"/>
    <row r="65" spans="5:12" ht="12" customHeight="1" x14ac:dyDescent="0.2"/>
    <row r="66" spans="5:12" ht="12" customHeight="1" x14ac:dyDescent="0.2">
      <c r="E66" s="111"/>
      <c r="H66" s="111"/>
      <c r="K66" s="111"/>
    </row>
    <row r="67" spans="5:12" ht="12" customHeight="1" x14ac:dyDescent="0.2">
      <c r="E67" s="111"/>
      <c r="G67" s="111"/>
      <c r="H67" s="111"/>
      <c r="J67" s="111"/>
    </row>
    <row r="68" spans="5:12" ht="12" customHeight="1" x14ac:dyDescent="0.2">
      <c r="E68" s="111"/>
      <c r="F68" s="111"/>
      <c r="G68" s="111"/>
      <c r="H68" s="111"/>
      <c r="I68" s="111"/>
      <c r="J68" s="111"/>
      <c r="K68" s="111"/>
    </row>
    <row r="69" spans="5:12" ht="12" customHeight="1" x14ac:dyDescent="0.2">
      <c r="E69" s="111"/>
      <c r="F69" s="111"/>
      <c r="G69" s="111"/>
      <c r="H69" s="111"/>
      <c r="I69" s="111"/>
      <c r="J69" s="111"/>
      <c r="K69" s="111"/>
    </row>
    <row r="70" spans="5:12" ht="12" customHeight="1" x14ac:dyDescent="0.2">
      <c r="E70" s="111"/>
      <c r="F70" s="111"/>
      <c r="G70" s="111"/>
      <c r="H70" s="111"/>
      <c r="I70" s="111"/>
      <c r="J70" s="111"/>
      <c r="K70" s="111"/>
    </row>
    <row r="71" spans="5:12" ht="12" customHeight="1" x14ac:dyDescent="0.2">
      <c r="E71" s="111"/>
      <c r="F71" s="111"/>
      <c r="G71" s="111"/>
      <c r="H71" s="111"/>
      <c r="I71" s="111"/>
      <c r="J71" s="111"/>
      <c r="K71" s="111"/>
    </row>
    <row r="72" spans="5:12" ht="12" customHeight="1" x14ac:dyDescent="0.2">
      <c r="E72" s="111"/>
      <c r="F72" s="111"/>
      <c r="G72" s="111"/>
      <c r="H72" s="111"/>
      <c r="I72" s="111"/>
      <c r="J72" s="111"/>
    </row>
    <row r="73" spans="5:12" ht="12" customHeight="1" x14ac:dyDescent="0.2">
      <c r="E73" s="111"/>
      <c r="F73" s="111"/>
      <c r="G73" s="111"/>
      <c r="H73" s="111"/>
      <c r="I73" s="111"/>
      <c r="J73" s="111"/>
      <c r="K73" s="111"/>
    </row>
    <row r="74" spans="5:12" ht="12" customHeight="1" x14ac:dyDescent="0.2">
      <c r="E74" s="111"/>
      <c r="F74" s="111"/>
      <c r="G74" s="111"/>
      <c r="H74" s="111"/>
      <c r="I74" s="111"/>
      <c r="J74" s="111"/>
      <c r="K74" s="111"/>
    </row>
    <row r="75" spans="5:12" ht="12" customHeight="1" x14ac:dyDescent="0.2">
      <c r="F75" s="111"/>
      <c r="G75" s="111"/>
      <c r="I75" s="111"/>
      <c r="J75" s="111"/>
      <c r="L75" s="111"/>
    </row>
    <row r="76" spans="5:12" ht="12" customHeight="1" x14ac:dyDescent="0.2">
      <c r="E76" s="111"/>
      <c r="F76" s="111"/>
      <c r="G76" s="111"/>
      <c r="H76" s="111"/>
      <c r="I76" s="111"/>
      <c r="J76" s="111"/>
      <c r="L76" s="111"/>
    </row>
    <row r="77" spans="5:12" ht="12" customHeight="1" x14ac:dyDescent="0.2">
      <c r="E77" s="111"/>
      <c r="F77" s="111"/>
      <c r="G77" s="111"/>
      <c r="H77" s="111"/>
      <c r="I77" s="111"/>
      <c r="J77" s="111"/>
      <c r="K77" s="111"/>
      <c r="L77" s="111"/>
    </row>
    <row r="78" spans="5:12" ht="12" customHeight="1" x14ac:dyDescent="0.2">
      <c r="E78" s="111"/>
      <c r="F78" s="111"/>
      <c r="G78" s="111"/>
      <c r="H78" s="111"/>
      <c r="I78" s="111"/>
      <c r="J78" s="111"/>
      <c r="L78" s="111"/>
    </row>
    <row r="79" spans="5:12" ht="12" customHeight="1" x14ac:dyDescent="0.2">
      <c r="E79" s="111"/>
      <c r="F79" s="111"/>
      <c r="G79" s="111"/>
      <c r="H79" s="111"/>
      <c r="I79" s="111"/>
      <c r="J79" s="111"/>
      <c r="K79" s="111"/>
      <c r="L79" s="111"/>
    </row>
    <row r="80" spans="5:12" ht="12" customHeight="1" x14ac:dyDescent="0.2">
      <c r="E80" s="111"/>
      <c r="F80" s="111"/>
      <c r="G80" s="111"/>
      <c r="H80" s="111"/>
      <c r="I80" s="111"/>
      <c r="J80" s="111"/>
      <c r="K80" s="111"/>
      <c r="L80" s="111"/>
    </row>
    <row r="81" spans="5:12" ht="12" customHeight="1" x14ac:dyDescent="0.2">
      <c r="F81" s="111"/>
      <c r="G81" s="111"/>
      <c r="H81" s="111"/>
      <c r="I81" s="111"/>
      <c r="J81" s="111"/>
    </row>
    <row r="82" spans="5:12" ht="12" customHeight="1" x14ac:dyDescent="0.2">
      <c r="F82" s="111"/>
      <c r="G82" s="111"/>
      <c r="H82" s="111"/>
      <c r="I82" s="111"/>
      <c r="J82" s="111"/>
      <c r="L82" s="111"/>
    </row>
    <row r="83" spans="5:12" ht="12" customHeight="1" x14ac:dyDescent="0.2">
      <c r="E83" s="111"/>
      <c r="F83" s="111"/>
      <c r="G83" s="111"/>
      <c r="H83" s="111"/>
      <c r="I83" s="111"/>
      <c r="J83" s="111"/>
      <c r="K83" s="111"/>
      <c r="L83" s="111"/>
    </row>
    <row r="84" spans="5:12" ht="12" customHeight="1" x14ac:dyDescent="0.2">
      <c r="F84" s="111"/>
      <c r="G84" s="111"/>
      <c r="H84" s="111"/>
      <c r="I84" s="111"/>
      <c r="J84" s="111"/>
    </row>
    <row r="85" spans="5:12" ht="12" customHeight="1" x14ac:dyDescent="0.2">
      <c r="E85" s="111"/>
      <c r="G85" s="111"/>
      <c r="H85" s="111"/>
      <c r="I85" s="111"/>
      <c r="J85" s="111"/>
      <c r="K85" s="111"/>
    </row>
    <row r="86" spans="5:12" x14ac:dyDescent="0.2">
      <c r="E86" s="111"/>
      <c r="F86" s="111"/>
      <c r="G86" s="111"/>
      <c r="H86" s="111"/>
      <c r="I86" s="111"/>
      <c r="J86" s="111"/>
      <c r="L86" s="111"/>
    </row>
    <row r="87" spans="5:12" x14ac:dyDescent="0.2">
      <c r="E87" s="111"/>
      <c r="F87" s="111"/>
      <c r="H87" s="111"/>
      <c r="I87" s="111"/>
      <c r="J87" s="111"/>
      <c r="K87" s="111"/>
    </row>
    <row r="88" spans="5:12" x14ac:dyDescent="0.2">
      <c r="F88" s="111"/>
      <c r="G88" s="111"/>
      <c r="H88" s="111"/>
      <c r="I88" s="111"/>
      <c r="J88" s="111"/>
      <c r="L88" s="111"/>
    </row>
    <row r="89" spans="5:12" x14ac:dyDescent="0.2">
      <c r="F89" s="111"/>
      <c r="G89" s="111"/>
      <c r="H89" s="111"/>
      <c r="I89" s="111"/>
      <c r="J89" s="111"/>
      <c r="L89" s="111"/>
    </row>
    <row r="90" spans="5:12" x14ac:dyDescent="0.2">
      <c r="E90" s="111"/>
      <c r="F90" s="111"/>
      <c r="G90" s="111"/>
      <c r="H90" s="111"/>
      <c r="I90" s="111"/>
      <c r="J90" s="111"/>
    </row>
    <row r="91" spans="5:12" x14ac:dyDescent="0.2">
      <c r="F91" s="111"/>
      <c r="I91" s="111"/>
    </row>
    <row r="92" spans="5:12" x14ac:dyDescent="0.2">
      <c r="F92" s="111"/>
      <c r="I92" s="111"/>
      <c r="L92" s="111"/>
    </row>
    <row r="93" spans="5:12" x14ac:dyDescent="0.2">
      <c r="L93" s="111"/>
    </row>
    <row r="94" spans="5:12" x14ac:dyDescent="0.2">
      <c r="I94" s="111"/>
      <c r="L94" s="111"/>
    </row>
    <row r="95" spans="5:12" x14ac:dyDescent="0.2">
      <c r="F95" s="111"/>
      <c r="I95" s="111"/>
      <c r="L95" s="111"/>
    </row>
    <row r="96" spans="5:12" x14ac:dyDescent="0.2">
      <c r="I96" s="111"/>
      <c r="L96" s="111"/>
    </row>
    <row r="97" spans="6:9" x14ac:dyDescent="0.2">
      <c r="I97" s="111"/>
    </row>
    <row r="98" spans="6:9" x14ac:dyDescent="0.2">
      <c r="I98" s="111"/>
    </row>
    <row r="99" spans="6:9" x14ac:dyDescent="0.2">
      <c r="F99" s="111"/>
      <c r="I99" s="111"/>
    </row>
  </sheetData>
  <phoneticPr fontId="0" type="noConversion"/>
  <printOptions verticalCentered="1"/>
  <pageMargins left="0.59" right="0.4" top="1.24" bottom="0.82" header="0.69" footer="0.5"/>
  <pageSetup scale="78" orientation="portrait" r:id="rId1"/>
  <headerFooter alignWithMargins="0">
    <oddHeader>&amp;C&amp;"Arial,Bold"&amp;20CESD 2018 Fire Operations
Expenditures</oddHeader>
    <oddFooter>&amp;L&amp;F
&amp;A&amp;C&amp;P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P173"/>
  <sheetViews>
    <sheetView zoomScale="85" zoomScaleNormal="85" workbookViewId="0"/>
  </sheetViews>
  <sheetFormatPr defaultRowHeight="12.75" x14ac:dyDescent="0.2"/>
  <cols>
    <col min="1" max="1" width="9.140625" style="132"/>
    <col min="2" max="2" width="42.42578125" style="42" bestFit="1" customWidth="1"/>
    <col min="3" max="3" width="13.85546875" customWidth="1"/>
    <col min="4" max="4" width="14" customWidth="1"/>
    <col min="5" max="5" width="13.85546875" customWidth="1"/>
    <col min="6" max="9" width="14.28515625" bestFit="1" customWidth="1"/>
    <col min="10" max="10" width="14.85546875" customWidth="1"/>
    <col min="11" max="14" width="14.28515625" bestFit="1" customWidth="1"/>
    <col min="15" max="15" width="14.42578125" customWidth="1"/>
    <col min="16" max="16" width="9.85546875" bestFit="1" customWidth="1"/>
    <col min="17" max="17" width="11.5703125" bestFit="1" customWidth="1"/>
  </cols>
  <sheetData>
    <row r="1" spans="1:17" s="53" customFormat="1" ht="25.5" x14ac:dyDescent="0.2">
      <c r="A1" s="130"/>
      <c r="B1" s="25" t="s">
        <v>36</v>
      </c>
      <c r="C1" s="24">
        <v>43115</v>
      </c>
      <c r="D1" s="24">
        <f t="shared" ref="D1:N1" si="0">+C1+30</f>
        <v>43145</v>
      </c>
      <c r="E1" s="24">
        <f t="shared" si="0"/>
        <v>43175</v>
      </c>
      <c r="F1" s="24">
        <f t="shared" si="0"/>
        <v>43205</v>
      </c>
      <c r="G1" s="24">
        <f t="shared" si="0"/>
        <v>43235</v>
      </c>
      <c r="H1" s="24">
        <f t="shared" si="0"/>
        <v>43265</v>
      </c>
      <c r="I1" s="24">
        <f t="shared" si="0"/>
        <v>43295</v>
      </c>
      <c r="J1" s="24">
        <f t="shared" si="0"/>
        <v>43325</v>
      </c>
      <c r="K1" s="24">
        <f t="shared" si="0"/>
        <v>43355</v>
      </c>
      <c r="L1" s="24">
        <f t="shared" si="0"/>
        <v>43385</v>
      </c>
      <c r="M1" s="24">
        <f t="shared" si="0"/>
        <v>43415</v>
      </c>
      <c r="N1" s="24">
        <f t="shared" si="0"/>
        <v>43445</v>
      </c>
      <c r="O1" s="25" t="s">
        <v>144</v>
      </c>
    </row>
    <row r="2" spans="1:17" s="52" customFormat="1" x14ac:dyDescent="0.2">
      <c r="A2" s="131"/>
      <c r="B2" s="50" t="s">
        <v>37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17" x14ac:dyDescent="0.2">
      <c r="B3" s="7" t="s">
        <v>38</v>
      </c>
      <c r="C3" s="46">
        <f>C12</f>
        <v>0</v>
      </c>
      <c r="D3" s="46">
        <v>0</v>
      </c>
      <c r="E3" s="46">
        <f t="shared" ref="E3:N3" si="1">E12</f>
        <v>0</v>
      </c>
      <c r="F3" s="46">
        <f t="shared" si="1"/>
        <v>0</v>
      </c>
      <c r="G3" s="46">
        <f t="shared" si="1"/>
        <v>0</v>
      </c>
      <c r="H3" s="46">
        <f t="shared" si="1"/>
        <v>0</v>
      </c>
      <c r="I3" s="46">
        <f t="shared" si="1"/>
        <v>0</v>
      </c>
      <c r="J3" s="46">
        <f t="shared" si="1"/>
        <v>0</v>
      </c>
      <c r="K3" s="46">
        <f t="shared" si="1"/>
        <v>0</v>
      </c>
      <c r="L3" s="46">
        <f t="shared" si="1"/>
        <v>0</v>
      </c>
      <c r="M3" s="46">
        <f t="shared" si="1"/>
        <v>0</v>
      </c>
      <c r="N3" s="46">
        <f t="shared" si="1"/>
        <v>0</v>
      </c>
      <c r="O3" s="55">
        <f>SUM(C3:N3)</f>
        <v>0</v>
      </c>
    </row>
    <row r="4" spans="1:17" x14ac:dyDescent="0.2">
      <c r="B4" s="7" t="s">
        <v>104</v>
      </c>
      <c r="C4" s="46">
        <f>C120</f>
        <v>129.86000000000001</v>
      </c>
      <c r="D4" s="46">
        <f>D120</f>
        <v>121.6</v>
      </c>
      <c r="E4" s="46">
        <f>E120</f>
        <v>113.44</v>
      </c>
      <c r="F4" s="46">
        <f>F120</f>
        <v>125.98</v>
      </c>
      <c r="G4" s="46">
        <f>G120</f>
        <v>142.94999999999999</v>
      </c>
      <c r="H4" s="46">
        <v>201.27</v>
      </c>
      <c r="I4" s="46">
        <v>208.32</v>
      </c>
      <c r="J4" s="46">
        <v>208.67</v>
      </c>
      <c r="K4" s="46">
        <f>K120</f>
        <v>202.28</v>
      </c>
      <c r="L4" s="46">
        <v>209.95</v>
      </c>
      <c r="M4" s="46">
        <v>202.95</v>
      </c>
      <c r="N4" s="46">
        <f>N120</f>
        <v>210.06</v>
      </c>
      <c r="O4" s="55">
        <f>SUM(C4:N4)</f>
        <v>2077.33</v>
      </c>
    </row>
    <row r="5" spans="1:17" ht="12" customHeight="1" x14ac:dyDescent="0.2">
      <c r="B5" s="171" t="s">
        <v>174</v>
      </c>
      <c r="C5" s="60">
        <f>C64+C72</f>
        <v>2.38</v>
      </c>
      <c r="D5" s="60">
        <f>70.54+1.07</f>
        <v>71.61</v>
      </c>
      <c r="E5" s="60">
        <f>1.19+179.32</f>
        <v>180.51</v>
      </c>
      <c r="F5" s="60">
        <f>1229.75+1.15</f>
        <v>1230.9000000000001</v>
      </c>
      <c r="G5" s="60">
        <f>+G64+G72</f>
        <v>3468.96</v>
      </c>
      <c r="H5" s="60">
        <f>3599.93+2.14</f>
        <v>3602.0699999999997</v>
      </c>
      <c r="I5" s="60">
        <v>3916.31</v>
      </c>
      <c r="J5" s="60">
        <f>5180.75+729.93+0.05</f>
        <v>5910.7300000000005</v>
      </c>
      <c r="K5" s="60">
        <f>7055.88+493.74+0.08</f>
        <v>7549.7</v>
      </c>
      <c r="L5" s="60">
        <v>13661.36</v>
      </c>
      <c r="M5" s="60">
        <v>0</v>
      </c>
      <c r="N5" s="60">
        <f>6583.27+550.61+5495.83+6033.01+515.78+4937.74+53.29+891.6+524.24+0.08-0.81</f>
        <v>25584.639999999999</v>
      </c>
      <c r="O5" s="55">
        <f>SUM(C5:N5)</f>
        <v>65179.17</v>
      </c>
    </row>
    <row r="6" spans="1:17" s="45" customFormat="1" x14ac:dyDescent="0.2">
      <c r="A6" s="132"/>
      <c r="B6" s="48" t="s">
        <v>39</v>
      </c>
      <c r="C6" s="49">
        <f t="shared" ref="C6:O6" si="2">SUM(C2:C5)</f>
        <v>132.24</v>
      </c>
      <c r="D6" s="49">
        <f t="shared" si="2"/>
        <v>193.20999999999998</v>
      </c>
      <c r="E6" s="49">
        <f t="shared" si="2"/>
        <v>293.95</v>
      </c>
      <c r="F6" s="49">
        <f t="shared" si="2"/>
        <v>1356.88</v>
      </c>
      <c r="G6" s="49">
        <f t="shared" si="2"/>
        <v>3611.91</v>
      </c>
      <c r="H6" s="49">
        <f t="shared" si="2"/>
        <v>3803.3399999999997</v>
      </c>
      <c r="I6" s="49">
        <f t="shared" si="2"/>
        <v>4124.63</v>
      </c>
      <c r="J6" s="49">
        <f t="shared" si="2"/>
        <v>6119.4000000000005</v>
      </c>
      <c r="K6" s="49">
        <f t="shared" si="2"/>
        <v>7751.98</v>
      </c>
      <c r="L6" s="49">
        <f t="shared" si="2"/>
        <v>13871.310000000001</v>
      </c>
      <c r="M6" s="49">
        <f t="shared" si="2"/>
        <v>202.95</v>
      </c>
      <c r="N6" s="49">
        <f t="shared" si="2"/>
        <v>25794.7</v>
      </c>
      <c r="O6" s="179">
        <f t="shared" si="2"/>
        <v>67256.5</v>
      </c>
    </row>
    <row r="7" spans="1:17" s="45" customFormat="1" x14ac:dyDescent="0.2">
      <c r="A7" s="132"/>
      <c r="B7" s="61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8"/>
    </row>
    <row r="8" spans="1:17" x14ac:dyDescent="0.2">
      <c r="B8" s="43" t="s">
        <v>42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</row>
    <row r="9" spans="1:17" ht="12.75" customHeight="1" x14ac:dyDescent="0.2">
      <c r="A9" s="132">
        <v>1020</v>
      </c>
      <c r="B9" s="43" t="s">
        <v>79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56"/>
    </row>
    <row r="10" spans="1:17" x14ac:dyDescent="0.2">
      <c r="B10" s="7" t="s">
        <v>3</v>
      </c>
      <c r="C10" s="46">
        <v>1223729.4099999999</v>
      </c>
      <c r="D10" s="46">
        <f t="shared" ref="D10:I10" si="3">+C15</f>
        <v>1954778.44</v>
      </c>
      <c r="E10" s="46">
        <f t="shared" si="3"/>
        <v>2522295.7199999997</v>
      </c>
      <c r="F10" s="46">
        <f t="shared" si="3"/>
        <v>2251018.94</v>
      </c>
      <c r="G10" s="46">
        <f t="shared" si="3"/>
        <v>2037230.6600000001</v>
      </c>
      <c r="H10" s="46">
        <f t="shared" si="3"/>
        <v>1680781.4600000002</v>
      </c>
      <c r="I10" s="46">
        <f t="shared" si="3"/>
        <v>1509808.7500000002</v>
      </c>
      <c r="J10" s="46">
        <f>+I15</f>
        <v>69747.450000000186</v>
      </c>
      <c r="K10" s="46">
        <f>+J15</f>
        <v>69747.450000000186</v>
      </c>
      <c r="L10" s="46">
        <f>+K15</f>
        <v>19990.000000000182</v>
      </c>
      <c r="M10" s="46">
        <f>+L15</f>
        <v>19970.000000000182</v>
      </c>
      <c r="N10" s="46">
        <f>+M15</f>
        <v>19970.000000000182</v>
      </c>
      <c r="O10" s="57"/>
    </row>
    <row r="11" spans="1:17" x14ac:dyDescent="0.2">
      <c r="B11" s="47" t="s">
        <v>35</v>
      </c>
      <c r="C11" s="46">
        <f>695+1061276.03</f>
        <v>1061971.03</v>
      </c>
      <c r="D11" s="46">
        <v>795317.28</v>
      </c>
      <c r="E11" s="46">
        <f>889.95+3435.81+669.92+22530.96+55.47+6201.4+13739.71</f>
        <v>47523.22</v>
      </c>
      <c r="F11" s="46">
        <f>360+10887.14+119.5+1244.77+5100.31</f>
        <v>17711.72</v>
      </c>
      <c r="G11" s="46">
        <f>10699.15+468.1+5527.91+4255.64</f>
        <v>20950.8</v>
      </c>
      <c r="H11" s="46">
        <f>6702.54+91+294.65+359.1</f>
        <v>7447.29</v>
      </c>
      <c r="I11" s="46">
        <f>7117.34+44.86+844.33</f>
        <v>8006.53</v>
      </c>
      <c r="J11" s="46">
        <v>0</v>
      </c>
      <c r="K11" s="46">
        <v>316.67</v>
      </c>
      <c r="L11" s="46">
        <v>0</v>
      </c>
      <c r="M11" s="46">
        <v>0</v>
      </c>
      <c r="N11" s="46">
        <v>0</v>
      </c>
      <c r="O11" s="57"/>
    </row>
    <row r="12" spans="1:17" x14ac:dyDescent="0.2">
      <c r="B12" s="47" t="s">
        <v>34</v>
      </c>
      <c r="C12" s="46">
        <v>0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57"/>
    </row>
    <row r="13" spans="1:17" x14ac:dyDescent="0.2">
      <c r="B13" s="133" t="s">
        <v>139</v>
      </c>
      <c r="C13" s="46">
        <v>0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-20</v>
      </c>
      <c r="J13" s="46">
        <v>0</v>
      </c>
      <c r="K13" s="46">
        <v>-10</v>
      </c>
      <c r="L13" s="46">
        <v>-20</v>
      </c>
      <c r="M13" s="46">
        <v>0</v>
      </c>
      <c r="N13" s="46">
        <v>0</v>
      </c>
      <c r="O13" s="57"/>
    </row>
    <row r="14" spans="1:17" x14ac:dyDescent="0.2">
      <c r="B14" s="7" t="s">
        <v>78</v>
      </c>
      <c r="C14" s="46">
        <f>-(51800+150800+128322)</f>
        <v>-330922</v>
      </c>
      <c r="D14" s="46">
        <f>-80700-135500-11600</f>
        <v>-227800</v>
      </c>
      <c r="E14" s="46">
        <f>-39600-144500-5600-71100-58000</f>
        <v>-318800</v>
      </c>
      <c r="F14" s="46">
        <f>-65900-137400-9500-18700</f>
        <v>-231500</v>
      </c>
      <c r="G14" s="46">
        <f>-67400-52500-149700-7800-100000</f>
        <v>-377400</v>
      </c>
      <c r="H14" s="46">
        <f>-135300-10-10-43100</f>
        <v>-178420</v>
      </c>
      <c r="I14" s="46">
        <f>-69400-144500-28300-345847.83-10000-850000</f>
        <v>-1448047.83</v>
      </c>
      <c r="J14" s="46">
        <v>0</v>
      </c>
      <c r="K14" s="46">
        <v>-50064.12</v>
      </c>
      <c r="L14" s="46">
        <v>0</v>
      </c>
      <c r="M14" s="46">
        <v>0</v>
      </c>
      <c r="N14" s="46">
        <v>0</v>
      </c>
      <c r="O14" s="57"/>
    </row>
    <row r="15" spans="1:17" s="45" customFormat="1" x14ac:dyDescent="0.2">
      <c r="A15" s="132"/>
      <c r="B15" s="54" t="s">
        <v>4</v>
      </c>
      <c r="C15" s="49">
        <f t="shared" ref="C15:D15" si="4">SUM(C10:C14)</f>
        <v>1954778.44</v>
      </c>
      <c r="D15" s="49">
        <f t="shared" si="4"/>
        <v>2522295.7199999997</v>
      </c>
      <c r="E15" s="49">
        <f t="shared" ref="E15:N15" si="5">SUM(E10:E14)</f>
        <v>2251018.94</v>
      </c>
      <c r="F15" s="49">
        <f t="shared" si="5"/>
        <v>2037230.6600000001</v>
      </c>
      <c r="G15" s="49">
        <f t="shared" si="5"/>
        <v>1680781.4600000002</v>
      </c>
      <c r="H15" s="49">
        <f t="shared" si="5"/>
        <v>1509808.7500000002</v>
      </c>
      <c r="I15" s="49">
        <f t="shared" si="5"/>
        <v>69747.450000000186</v>
      </c>
      <c r="J15" s="49">
        <f t="shared" si="5"/>
        <v>69747.450000000186</v>
      </c>
      <c r="K15" s="49">
        <f t="shared" si="5"/>
        <v>19990.000000000182</v>
      </c>
      <c r="L15" s="49">
        <f t="shared" si="5"/>
        <v>19970.000000000182</v>
      </c>
      <c r="M15" s="49">
        <f t="shared" si="5"/>
        <v>19970.000000000182</v>
      </c>
      <c r="N15" s="49">
        <f t="shared" si="5"/>
        <v>19970.000000000182</v>
      </c>
      <c r="O15" s="58"/>
      <c r="Q15" s="125"/>
    </row>
    <row r="16" spans="1:17" x14ac:dyDescent="0.2">
      <c r="B16" s="41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57"/>
    </row>
    <row r="17" spans="1:15" ht="12" customHeight="1" x14ac:dyDescent="0.2">
      <c r="A17" s="132">
        <v>1010</v>
      </c>
      <c r="B17" s="43" t="s">
        <v>80</v>
      </c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57"/>
    </row>
    <row r="18" spans="1:15" x14ac:dyDescent="0.2">
      <c r="B18" s="7" t="s">
        <v>3</v>
      </c>
      <c r="C18" s="46">
        <v>5786.87</v>
      </c>
      <c r="D18" s="46">
        <f t="shared" ref="D18:I18" si="6">+C23</f>
        <v>12214.399999999965</v>
      </c>
      <c r="E18" s="46">
        <f t="shared" si="6"/>
        <v>9908.2999999999593</v>
      </c>
      <c r="F18" s="46">
        <f t="shared" si="6"/>
        <v>8801.4099999999453</v>
      </c>
      <c r="G18" s="46">
        <f t="shared" si="6"/>
        <v>6616.3799999999464</v>
      </c>
      <c r="H18" s="46">
        <f t="shared" si="6"/>
        <v>72240.779999999941</v>
      </c>
      <c r="I18" s="46">
        <f t="shared" si="6"/>
        <v>9904.3299999999435</v>
      </c>
      <c r="J18" s="46">
        <f>+I23</f>
        <v>19473.529999999941</v>
      </c>
      <c r="K18" s="46">
        <f>+J23</f>
        <v>19396.369999999941</v>
      </c>
      <c r="L18" s="46">
        <f>+K23</f>
        <v>-1809.5500000000598</v>
      </c>
      <c r="M18" s="46">
        <f>+L23</f>
        <v>-1809.5500000000598</v>
      </c>
      <c r="N18" s="46">
        <f>+M23</f>
        <v>-1809.5500000000598</v>
      </c>
      <c r="O18" s="57"/>
    </row>
    <row r="19" spans="1:15" x14ac:dyDescent="0.2">
      <c r="B19" s="47" t="s">
        <v>103</v>
      </c>
      <c r="C19" s="46">
        <f>51800+128322</f>
        <v>180122</v>
      </c>
      <c r="D19" s="46">
        <f>80700+11600</f>
        <v>92300</v>
      </c>
      <c r="E19" s="46">
        <f>39600+71100+58000</f>
        <v>168700</v>
      </c>
      <c r="F19" s="46">
        <v>84700</v>
      </c>
      <c r="G19" s="46">
        <v>152500</v>
      </c>
      <c r="H19" s="46">
        <v>43100</v>
      </c>
      <c r="I19" s="46">
        <f>69400+28300+1000</f>
        <v>98700</v>
      </c>
      <c r="J19" s="46">
        <v>0</v>
      </c>
      <c r="K19" s="46">
        <v>-24923.79</v>
      </c>
      <c r="L19" s="46">
        <v>0</v>
      </c>
      <c r="M19" s="46">
        <v>0</v>
      </c>
      <c r="N19" s="46">
        <v>0</v>
      </c>
      <c r="O19" s="57"/>
    </row>
    <row r="20" spans="1:15" x14ac:dyDescent="0.2">
      <c r="B20" s="133" t="s">
        <v>140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57"/>
    </row>
    <row r="21" spans="1:15" x14ac:dyDescent="0.2">
      <c r="B21" s="133" t="s">
        <v>139</v>
      </c>
      <c r="C21" s="46">
        <v>0</v>
      </c>
      <c r="D21" s="46">
        <v>0</v>
      </c>
      <c r="E21" s="46">
        <v>0</v>
      </c>
      <c r="F21" s="46">
        <v>0</v>
      </c>
      <c r="G21" s="46">
        <v>-117.04</v>
      </c>
      <c r="H21" s="46">
        <v>-133.81</v>
      </c>
      <c r="I21" s="46">
        <v>-81.09</v>
      </c>
      <c r="J21" s="46">
        <v>-77.16</v>
      </c>
      <c r="K21" s="46">
        <v>-69.36</v>
      </c>
      <c r="L21" s="46">
        <v>0</v>
      </c>
      <c r="M21" s="46">
        <v>0</v>
      </c>
      <c r="N21" s="46">
        <v>0</v>
      </c>
      <c r="O21" s="57"/>
    </row>
    <row r="22" spans="1:15" x14ac:dyDescent="0.2">
      <c r="B22" s="47" t="s">
        <v>52</v>
      </c>
      <c r="C22" s="46">
        <f>-(51696.04+128322)+5174.33+1149.24</f>
        <v>-173694.47000000003</v>
      </c>
      <c r="D22" s="46">
        <v>-94606.1</v>
      </c>
      <c r="E22" s="46">
        <v>-169806.89</v>
      </c>
      <c r="F22" s="46">
        <v>-86885.03</v>
      </c>
      <c r="G22" s="46">
        <v>-86758.56</v>
      </c>
      <c r="H22" s="46">
        <v>-105302.64</v>
      </c>
      <c r="I22" s="46">
        <v>-89049.71</v>
      </c>
      <c r="J22" s="46">
        <v>0</v>
      </c>
      <c r="K22" s="46">
        <v>3787.23</v>
      </c>
      <c r="L22" s="46">
        <v>0</v>
      </c>
      <c r="M22" s="46">
        <v>0</v>
      </c>
      <c r="N22" s="46">
        <v>0</v>
      </c>
      <c r="O22" s="57"/>
    </row>
    <row r="23" spans="1:15" s="45" customFormat="1" x14ac:dyDescent="0.2">
      <c r="A23" s="132"/>
      <c r="B23" s="54" t="s">
        <v>4</v>
      </c>
      <c r="C23" s="49">
        <f>SUM(C18:C22)</f>
        <v>12214.399999999965</v>
      </c>
      <c r="D23" s="49">
        <f>SUM(D18:D22)</f>
        <v>9908.2999999999593</v>
      </c>
      <c r="E23" s="49">
        <f t="shared" ref="E23:N23" si="7">SUM(E18:E22)</f>
        <v>8801.4099999999453</v>
      </c>
      <c r="F23" s="49">
        <f t="shared" si="7"/>
        <v>6616.3799999999464</v>
      </c>
      <c r="G23" s="49">
        <f t="shared" si="7"/>
        <v>72240.779999999941</v>
      </c>
      <c r="H23" s="49">
        <f t="shared" si="7"/>
        <v>9904.3299999999435</v>
      </c>
      <c r="I23" s="49">
        <f t="shared" si="7"/>
        <v>19473.529999999941</v>
      </c>
      <c r="J23" s="49">
        <f t="shared" si="7"/>
        <v>19396.369999999941</v>
      </c>
      <c r="K23" s="49">
        <f t="shared" si="7"/>
        <v>-1809.5500000000598</v>
      </c>
      <c r="L23" s="49">
        <f t="shared" si="7"/>
        <v>-1809.5500000000598</v>
      </c>
      <c r="M23" s="49">
        <f t="shared" si="7"/>
        <v>-1809.5500000000598</v>
      </c>
      <c r="N23" s="49">
        <f t="shared" si="7"/>
        <v>-1809.5500000000598</v>
      </c>
      <c r="O23" s="58"/>
    </row>
    <row r="24" spans="1:15" x14ac:dyDescent="0.2">
      <c r="B24" s="41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57"/>
    </row>
    <row r="25" spans="1:15" x14ac:dyDescent="0.2">
      <c r="A25" s="132">
        <v>1011</v>
      </c>
      <c r="B25" s="43" t="s">
        <v>81</v>
      </c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57"/>
    </row>
    <row r="26" spans="1:15" x14ac:dyDescent="0.2">
      <c r="B26" s="7" t="s">
        <v>3</v>
      </c>
      <c r="C26" s="46">
        <v>88649.279999999999</v>
      </c>
      <c r="D26" s="46">
        <f t="shared" ref="D26:I26" si="8">+C30</f>
        <v>77850.609999999986</v>
      </c>
      <c r="E26" s="46">
        <f t="shared" si="8"/>
        <v>72314.81</v>
      </c>
      <c r="F26" s="46">
        <f t="shared" si="8"/>
        <v>18141.76999999999</v>
      </c>
      <c r="G26" s="46">
        <f t="shared" si="8"/>
        <v>7554.5799999999872</v>
      </c>
      <c r="H26" s="46">
        <f t="shared" si="8"/>
        <v>84344.09</v>
      </c>
      <c r="I26" s="46">
        <f t="shared" si="8"/>
        <v>76194.669999999984</v>
      </c>
      <c r="J26" s="46">
        <f>+I30</f>
        <v>75173.109999999986</v>
      </c>
      <c r="K26" s="46">
        <f>+J30</f>
        <v>10821.209999999985</v>
      </c>
      <c r="L26" s="46">
        <f>+K30</f>
        <v>-81.980000000015934</v>
      </c>
      <c r="M26" s="46">
        <f>+L30</f>
        <v>-71.980000000015934</v>
      </c>
      <c r="N26" s="46">
        <f>+M30</f>
        <v>-71.980000000015934</v>
      </c>
      <c r="O26" s="57"/>
    </row>
    <row r="27" spans="1:15" x14ac:dyDescent="0.2">
      <c r="B27" s="47" t="s">
        <v>103</v>
      </c>
      <c r="C27" s="46">
        <v>150800</v>
      </c>
      <c r="D27" s="46">
        <v>135500</v>
      </c>
      <c r="E27" s="46">
        <v>144500</v>
      </c>
      <c r="F27" s="46">
        <v>137400</v>
      </c>
      <c r="G27" s="46">
        <v>217100</v>
      </c>
      <c r="H27" s="46">
        <v>135300</v>
      </c>
      <c r="I27" s="46">
        <v>144500</v>
      </c>
      <c r="J27" s="46">
        <v>0</v>
      </c>
      <c r="K27" s="46">
        <v>-10893.19</v>
      </c>
      <c r="L27" s="46">
        <v>10</v>
      </c>
      <c r="M27" s="46">
        <v>0</v>
      </c>
      <c r="N27" s="46">
        <v>0</v>
      </c>
      <c r="O27" s="57"/>
    </row>
    <row r="28" spans="1:15" x14ac:dyDescent="0.2">
      <c r="B28" s="133" t="s">
        <v>139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-10</v>
      </c>
      <c r="L28" s="46">
        <v>0</v>
      </c>
      <c r="M28" s="46">
        <v>0</v>
      </c>
      <c r="N28" s="46">
        <v>0</v>
      </c>
      <c r="O28" s="57"/>
    </row>
    <row r="29" spans="1:15" x14ac:dyDescent="0.2">
      <c r="B29" s="47" t="s">
        <v>52</v>
      </c>
      <c r="C29" s="46">
        <v>-161598.67000000001</v>
      </c>
      <c r="D29" s="46">
        <v>-141035.79999999999</v>
      </c>
      <c r="E29" s="46">
        <f>-14866.02-102.6-48110.94-14929.42-12287.92-104.47-46003.3-47939.12-106.33-14222.92</f>
        <v>-198673.04</v>
      </c>
      <c r="F29" s="46">
        <v>-147987.19</v>
      </c>
      <c r="G29" s="46">
        <v>-140310.49</v>
      </c>
      <c r="H29" s="46">
        <v>-143449.42000000001</v>
      </c>
      <c r="I29" s="46">
        <f>-98.87-48297.24-15339.34-12703.05-98.87-49306.9-16940.48-3.73-2733.08</f>
        <v>-145521.56</v>
      </c>
      <c r="J29" s="46">
        <f>-(49190.16+15161.74)</f>
        <v>-64351.9</v>
      </c>
      <c r="K29" s="46">
        <v>0</v>
      </c>
      <c r="L29" s="46">
        <v>0</v>
      </c>
      <c r="M29" s="46">
        <v>0</v>
      </c>
      <c r="N29" s="46">
        <v>0</v>
      </c>
      <c r="O29" s="57"/>
    </row>
    <row r="30" spans="1:15" x14ac:dyDescent="0.2">
      <c r="B30" s="54" t="s">
        <v>4</v>
      </c>
      <c r="C30" s="49">
        <f t="shared" ref="C30:D30" si="9">SUM(C26:C29)</f>
        <v>77850.609999999986</v>
      </c>
      <c r="D30" s="49">
        <f t="shared" si="9"/>
        <v>72314.81</v>
      </c>
      <c r="E30" s="49">
        <f t="shared" ref="E30:N30" si="10">SUM(E26:E29)</f>
        <v>18141.76999999999</v>
      </c>
      <c r="F30" s="49">
        <f t="shared" si="10"/>
        <v>7554.5799999999872</v>
      </c>
      <c r="G30" s="49">
        <f t="shared" si="10"/>
        <v>84344.09</v>
      </c>
      <c r="H30" s="49">
        <f t="shared" si="10"/>
        <v>76194.669999999984</v>
      </c>
      <c r="I30" s="49">
        <f t="shared" si="10"/>
        <v>75173.109999999986</v>
      </c>
      <c r="J30" s="49">
        <f t="shared" si="10"/>
        <v>10821.209999999985</v>
      </c>
      <c r="K30" s="49">
        <f t="shared" si="10"/>
        <v>-81.980000000015934</v>
      </c>
      <c r="L30" s="49">
        <f t="shared" si="10"/>
        <v>-71.980000000015934</v>
      </c>
      <c r="M30" s="49">
        <f t="shared" si="10"/>
        <v>-71.980000000015934</v>
      </c>
      <c r="N30" s="49">
        <f t="shared" si="10"/>
        <v>-71.980000000015934</v>
      </c>
      <c r="O30" s="57"/>
    </row>
    <row r="31" spans="1:15" x14ac:dyDescent="0.2">
      <c r="B31" s="41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57"/>
    </row>
    <row r="32" spans="1:15" x14ac:dyDescent="0.2">
      <c r="A32" s="132">
        <v>1012</v>
      </c>
      <c r="B32" s="43" t="s">
        <v>82</v>
      </c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57"/>
    </row>
    <row r="33" spans="1:16" x14ac:dyDescent="0.2">
      <c r="B33" s="7" t="s">
        <v>3</v>
      </c>
      <c r="C33" s="46">
        <v>17592.68</v>
      </c>
      <c r="D33" s="46">
        <f t="shared" ref="D33:I33" si="11">+C38</f>
        <v>12622.79</v>
      </c>
      <c r="E33" s="46">
        <f t="shared" si="11"/>
        <v>7126.670000000001</v>
      </c>
      <c r="F33" s="46">
        <f t="shared" si="11"/>
        <v>2634.090000000002</v>
      </c>
      <c r="G33" s="46">
        <f t="shared" si="11"/>
        <v>5162.3900000000021</v>
      </c>
      <c r="H33" s="46">
        <f t="shared" si="11"/>
        <v>12229.850000000002</v>
      </c>
      <c r="I33" s="46">
        <f t="shared" si="11"/>
        <v>1.8189894035458565E-12</v>
      </c>
      <c r="J33" s="46">
        <f>+I38</f>
        <v>817.20000000000186</v>
      </c>
      <c r="K33" s="46">
        <f>+J38</f>
        <v>817.20000000000186</v>
      </c>
      <c r="L33" s="46">
        <f>+K38</f>
        <v>-9.999999999998181</v>
      </c>
      <c r="M33" s="46">
        <f>+L38</f>
        <v>1.8189894035458565E-12</v>
      </c>
      <c r="N33" s="46">
        <f>+M38</f>
        <v>1.8189894035458565E-12</v>
      </c>
      <c r="O33" s="57"/>
    </row>
    <row r="34" spans="1:16" x14ac:dyDescent="0.2">
      <c r="B34" s="133" t="s">
        <v>165</v>
      </c>
      <c r="C34" s="46">
        <v>0</v>
      </c>
      <c r="D34" s="46">
        <v>0</v>
      </c>
      <c r="E34" s="46">
        <v>5600</v>
      </c>
      <c r="F34" s="46">
        <v>9500</v>
      </c>
      <c r="G34" s="46">
        <v>7800</v>
      </c>
      <c r="H34" s="46">
        <f>-11429.85+10</f>
        <v>-11419.85</v>
      </c>
      <c r="I34" s="46">
        <v>0</v>
      </c>
      <c r="J34" s="46">
        <v>0</v>
      </c>
      <c r="K34" s="46">
        <v>-817.2</v>
      </c>
      <c r="L34" s="46">
        <v>10</v>
      </c>
      <c r="M34" s="46">
        <v>0</v>
      </c>
      <c r="N34" s="46">
        <v>0</v>
      </c>
      <c r="O34" s="57"/>
    </row>
    <row r="35" spans="1:16" x14ac:dyDescent="0.2">
      <c r="B35" s="133" t="s">
        <v>35</v>
      </c>
      <c r="C35" s="46">
        <v>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f>408.6+408.6</f>
        <v>817.2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57"/>
    </row>
    <row r="36" spans="1:16" x14ac:dyDescent="0.2">
      <c r="B36" s="133" t="s">
        <v>139</v>
      </c>
      <c r="C36" s="46">
        <v>0</v>
      </c>
      <c r="D36" s="46">
        <v>0</v>
      </c>
      <c r="E36" s="46">
        <v>0</v>
      </c>
      <c r="F36" s="46">
        <v>0</v>
      </c>
      <c r="G36" s="46">
        <v>0</v>
      </c>
      <c r="H36" s="46">
        <v>-10</v>
      </c>
      <c r="I36" s="46">
        <v>0</v>
      </c>
      <c r="J36" s="46">
        <v>0</v>
      </c>
      <c r="K36" s="46">
        <v>-10</v>
      </c>
      <c r="L36" s="46">
        <v>0</v>
      </c>
      <c r="M36" s="46">
        <v>0</v>
      </c>
      <c r="N36" s="46">
        <v>0</v>
      </c>
      <c r="O36" s="57"/>
    </row>
    <row r="37" spans="1:16" x14ac:dyDescent="0.2">
      <c r="B37" s="47" t="s">
        <v>52</v>
      </c>
      <c r="C37" s="46">
        <v>-4969.8900000000003</v>
      </c>
      <c r="D37" s="46">
        <v>-5496.12</v>
      </c>
      <c r="E37" s="46">
        <v>-10092.58</v>
      </c>
      <c r="F37" s="46">
        <f>175-7146.7</f>
        <v>-6971.7</v>
      </c>
      <c r="G37" s="46">
        <v>-732.54</v>
      </c>
      <c r="H37" s="46">
        <v>-800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57"/>
    </row>
    <row r="38" spans="1:16" x14ac:dyDescent="0.2">
      <c r="B38" s="54" t="s">
        <v>4</v>
      </c>
      <c r="C38" s="49">
        <f t="shared" ref="C38:D38" si="12">SUM(C33:C37)</f>
        <v>12622.79</v>
      </c>
      <c r="D38" s="49">
        <f t="shared" si="12"/>
        <v>7126.670000000001</v>
      </c>
      <c r="E38" s="49">
        <f>SUM(E33:E37)</f>
        <v>2634.090000000002</v>
      </c>
      <c r="F38" s="49">
        <f t="shared" ref="F38:N38" si="13">SUM(F33:F37)</f>
        <v>5162.3900000000021</v>
      </c>
      <c r="G38" s="49">
        <f t="shared" si="13"/>
        <v>12229.850000000002</v>
      </c>
      <c r="H38" s="49">
        <f t="shared" si="13"/>
        <v>1.8189894035458565E-12</v>
      </c>
      <c r="I38" s="49">
        <f t="shared" si="13"/>
        <v>817.20000000000186</v>
      </c>
      <c r="J38" s="49">
        <f t="shared" si="13"/>
        <v>817.20000000000186</v>
      </c>
      <c r="K38" s="49">
        <f t="shared" si="13"/>
        <v>-9.999999999998181</v>
      </c>
      <c r="L38" s="49">
        <f t="shared" si="13"/>
        <v>1.8189894035458565E-12</v>
      </c>
      <c r="M38" s="49">
        <f t="shared" si="13"/>
        <v>1.8189894035458565E-12</v>
      </c>
      <c r="N38" s="49">
        <f t="shared" si="13"/>
        <v>1.8189894035458565E-12</v>
      </c>
      <c r="O38" s="57"/>
    </row>
    <row r="39" spans="1:16" x14ac:dyDescent="0.2">
      <c r="B39" s="41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57"/>
    </row>
    <row r="40" spans="1:16" x14ac:dyDescent="0.2">
      <c r="B40" s="43" t="s">
        <v>100</v>
      </c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57"/>
    </row>
    <row r="41" spans="1:16" x14ac:dyDescent="0.2">
      <c r="B41" s="7" t="s">
        <v>3</v>
      </c>
      <c r="C41" s="46">
        <v>494.59</v>
      </c>
      <c r="D41" s="46">
        <f t="shared" ref="D41:I41" si="14">+C44</f>
        <v>734.59999999999991</v>
      </c>
      <c r="E41" s="46">
        <f t="shared" si="14"/>
        <v>2158.6</v>
      </c>
      <c r="F41" s="46">
        <f t="shared" si="14"/>
        <v>1133.5999999999999</v>
      </c>
      <c r="G41" s="46">
        <f t="shared" si="14"/>
        <v>1067.0999999999999</v>
      </c>
      <c r="H41" s="46">
        <f t="shared" si="14"/>
        <v>1028.1899999999998</v>
      </c>
      <c r="I41" s="46">
        <f t="shared" si="14"/>
        <v>1003.1899999999998</v>
      </c>
      <c r="J41" s="46">
        <f>+I44</f>
        <v>1051.6899999999998</v>
      </c>
      <c r="K41" s="46">
        <f>+J44</f>
        <v>995.93999999999983</v>
      </c>
      <c r="L41" s="46">
        <f>+K44</f>
        <v>985.93999999999983</v>
      </c>
      <c r="M41" s="46">
        <f>+L44</f>
        <v>955.93999999999983</v>
      </c>
      <c r="N41" s="46">
        <f>+M44</f>
        <v>715.93999999999983</v>
      </c>
      <c r="O41" s="57"/>
    </row>
    <row r="42" spans="1:16" x14ac:dyDescent="0.2">
      <c r="B42" s="47" t="s">
        <v>103</v>
      </c>
      <c r="C42" s="46">
        <v>325</v>
      </c>
      <c r="D42" s="46">
        <v>1500</v>
      </c>
      <c r="E42" s="46">
        <v>0</v>
      </c>
      <c r="F42" s="46">
        <v>0</v>
      </c>
      <c r="G42" s="46">
        <v>0</v>
      </c>
      <c r="H42" s="46">
        <v>0</v>
      </c>
      <c r="I42" s="46">
        <v>100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57"/>
    </row>
    <row r="43" spans="1:16" x14ac:dyDescent="0.2">
      <c r="B43" s="47" t="s">
        <v>52</v>
      </c>
      <c r="C43" s="46">
        <v>-84.99</v>
      </c>
      <c r="D43" s="46">
        <v>-76</v>
      </c>
      <c r="E43" s="46">
        <v>-1025</v>
      </c>
      <c r="F43" s="46">
        <v>-66.5</v>
      </c>
      <c r="G43" s="46">
        <v>-38.909999999999997</v>
      </c>
      <c r="H43" s="46">
        <v>-25</v>
      </c>
      <c r="I43" s="46">
        <f>-6.5-20-25</f>
        <v>-51.5</v>
      </c>
      <c r="J43" s="46">
        <v>-55.75</v>
      </c>
      <c r="K43" s="46">
        <v>-10</v>
      </c>
      <c r="L43" s="46">
        <v>-30</v>
      </c>
      <c r="M43" s="46">
        <v>-240</v>
      </c>
      <c r="N43" s="46">
        <v>0</v>
      </c>
      <c r="O43" s="57"/>
      <c r="P43" s="57">
        <v>-270</v>
      </c>
    </row>
    <row r="44" spans="1:16" x14ac:dyDescent="0.2">
      <c r="B44" s="54" t="s">
        <v>4</v>
      </c>
      <c r="C44" s="49">
        <f t="shared" ref="C44:D44" si="15">C41+C42+C43</f>
        <v>734.59999999999991</v>
      </c>
      <c r="D44" s="49">
        <f t="shared" si="15"/>
        <v>2158.6</v>
      </c>
      <c r="E44" s="49">
        <f t="shared" ref="E44:N44" si="16">E41+E42+E43</f>
        <v>1133.5999999999999</v>
      </c>
      <c r="F44" s="49">
        <f t="shared" si="16"/>
        <v>1067.0999999999999</v>
      </c>
      <c r="G44" s="49">
        <f t="shared" si="16"/>
        <v>1028.1899999999998</v>
      </c>
      <c r="H44" s="49">
        <f t="shared" si="16"/>
        <v>1003.1899999999998</v>
      </c>
      <c r="I44" s="49">
        <f t="shared" si="16"/>
        <v>1051.6899999999998</v>
      </c>
      <c r="J44" s="49">
        <f t="shared" si="16"/>
        <v>995.93999999999983</v>
      </c>
      <c r="K44" s="49">
        <f t="shared" si="16"/>
        <v>985.93999999999983</v>
      </c>
      <c r="L44" s="49">
        <f t="shared" si="16"/>
        <v>955.93999999999983</v>
      </c>
      <c r="M44" s="49">
        <f t="shared" si="16"/>
        <v>715.93999999999983</v>
      </c>
      <c r="N44" s="49">
        <f t="shared" si="16"/>
        <v>715.93999999999983</v>
      </c>
      <c r="O44" s="57"/>
    </row>
    <row r="45" spans="1:16" x14ac:dyDescent="0.2"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57"/>
    </row>
    <row r="46" spans="1:16" ht="12" customHeight="1" x14ac:dyDescent="0.2">
      <c r="A46" s="132">
        <v>1013</v>
      </c>
      <c r="B46" s="43" t="s">
        <v>83</v>
      </c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57"/>
    </row>
    <row r="47" spans="1:16" x14ac:dyDescent="0.2">
      <c r="B47" s="7" t="s">
        <v>3</v>
      </c>
      <c r="C47" s="46">
        <v>4829.84</v>
      </c>
      <c r="D47" s="46">
        <f t="shared" ref="D47:I47" si="17">+C52</f>
        <v>4829.84</v>
      </c>
      <c r="E47" s="46">
        <f t="shared" si="17"/>
        <v>4829.84</v>
      </c>
      <c r="F47" s="46">
        <f t="shared" si="17"/>
        <v>4829.84</v>
      </c>
      <c r="G47" s="46">
        <f t="shared" si="17"/>
        <v>4729.84</v>
      </c>
      <c r="H47" s="46">
        <f t="shared" si="17"/>
        <v>4729.84</v>
      </c>
      <c r="I47" s="46">
        <f t="shared" si="17"/>
        <v>0</v>
      </c>
      <c r="J47" s="46">
        <v>0</v>
      </c>
      <c r="K47" s="46">
        <f>+J52</f>
        <v>0</v>
      </c>
      <c r="L47" s="46">
        <v>0</v>
      </c>
      <c r="M47" s="46">
        <v>0</v>
      </c>
      <c r="N47" s="46">
        <f>+M52</f>
        <v>0</v>
      </c>
      <c r="O47" s="57"/>
    </row>
    <row r="48" spans="1:16" x14ac:dyDescent="0.2">
      <c r="B48" s="47" t="s">
        <v>35</v>
      </c>
      <c r="C48" s="46">
        <v>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57"/>
    </row>
    <row r="49" spans="1:15" x14ac:dyDescent="0.2">
      <c r="B49" s="47" t="s">
        <v>52</v>
      </c>
      <c r="C49" s="46">
        <v>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57"/>
    </row>
    <row r="50" spans="1:15" x14ac:dyDescent="0.2">
      <c r="B50" s="127" t="s">
        <v>165</v>
      </c>
      <c r="C50" s="46">
        <v>0</v>
      </c>
      <c r="D50" s="46">
        <v>0</v>
      </c>
      <c r="E50" s="46">
        <v>0</v>
      </c>
      <c r="F50" s="46">
        <v>-100</v>
      </c>
      <c r="G50" s="46">
        <v>0</v>
      </c>
      <c r="H50" s="46">
        <f>-4729.84+10</f>
        <v>-4719.84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57"/>
    </row>
    <row r="51" spans="1:15" x14ac:dyDescent="0.2">
      <c r="B51" s="133" t="s">
        <v>139</v>
      </c>
      <c r="C51" s="46">
        <v>0</v>
      </c>
      <c r="D51" s="46">
        <v>0</v>
      </c>
      <c r="E51" s="46">
        <v>0</v>
      </c>
      <c r="F51" s="46">
        <v>0</v>
      </c>
      <c r="G51" s="46">
        <v>0</v>
      </c>
      <c r="H51" s="46">
        <v>-10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57"/>
    </row>
    <row r="52" spans="1:15" x14ac:dyDescent="0.2">
      <c r="B52" s="54" t="s">
        <v>4</v>
      </c>
      <c r="C52" s="49">
        <f t="shared" ref="C52:N52" si="18">SUM(C47:C51)</f>
        <v>4829.84</v>
      </c>
      <c r="D52" s="49">
        <f t="shared" si="18"/>
        <v>4829.84</v>
      </c>
      <c r="E52" s="49">
        <f t="shared" si="18"/>
        <v>4829.84</v>
      </c>
      <c r="F52" s="49">
        <f t="shared" si="18"/>
        <v>4729.84</v>
      </c>
      <c r="G52" s="49">
        <f t="shared" si="18"/>
        <v>4729.84</v>
      </c>
      <c r="H52" s="49">
        <f t="shared" si="18"/>
        <v>0</v>
      </c>
      <c r="I52" s="49">
        <f t="shared" si="18"/>
        <v>0</v>
      </c>
      <c r="J52" s="49">
        <f t="shared" si="18"/>
        <v>0</v>
      </c>
      <c r="K52" s="49">
        <f t="shared" si="18"/>
        <v>0</v>
      </c>
      <c r="L52" s="49">
        <f t="shared" si="18"/>
        <v>0</v>
      </c>
      <c r="M52" s="49">
        <f t="shared" si="18"/>
        <v>0</v>
      </c>
      <c r="N52" s="49">
        <f t="shared" si="18"/>
        <v>0</v>
      </c>
      <c r="O52" s="57"/>
    </row>
    <row r="53" spans="1:15" x14ac:dyDescent="0.2">
      <c r="B53" s="41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57"/>
    </row>
    <row r="54" spans="1:15" x14ac:dyDescent="0.2">
      <c r="A54" s="132">
        <v>1018</v>
      </c>
      <c r="B54" s="43" t="s">
        <v>101</v>
      </c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57"/>
    </row>
    <row r="55" spans="1:15" x14ac:dyDescent="0.2">
      <c r="B55" s="7" t="s">
        <v>3</v>
      </c>
      <c r="C55" s="46">
        <v>2365055.2000000002</v>
      </c>
      <c r="D55" s="46">
        <f>+C59</f>
        <v>2529354.1</v>
      </c>
      <c r="E55" s="46">
        <f>+D59</f>
        <v>2529354.1</v>
      </c>
      <c r="F55" s="46">
        <f>+E59</f>
        <v>2529354.1</v>
      </c>
      <c r="G55" s="46">
        <f>+F59</f>
        <v>0</v>
      </c>
      <c r="H55" s="46">
        <f>+G59</f>
        <v>0</v>
      </c>
      <c r="I55" s="46">
        <v>0</v>
      </c>
      <c r="J55" s="46">
        <v>0</v>
      </c>
      <c r="K55" s="46">
        <f>+J59</f>
        <v>0</v>
      </c>
      <c r="L55" s="46">
        <v>0</v>
      </c>
      <c r="M55" s="46">
        <v>0</v>
      </c>
      <c r="N55" s="46">
        <f>+M59</f>
        <v>0</v>
      </c>
      <c r="O55" s="57"/>
    </row>
    <row r="56" spans="1:15" x14ac:dyDescent="0.2">
      <c r="B56" s="47" t="s">
        <v>35</v>
      </c>
      <c r="C56" s="46">
        <v>164298.9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57"/>
    </row>
    <row r="57" spans="1:15" x14ac:dyDescent="0.2">
      <c r="B57" s="7" t="s">
        <v>78</v>
      </c>
      <c r="C57" s="46">
        <v>0</v>
      </c>
      <c r="D57" s="46">
        <v>0</v>
      </c>
      <c r="E57" s="46">
        <v>0</v>
      </c>
      <c r="F57" s="46">
        <v>-2529332.1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57"/>
    </row>
    <row r="58" spans="1:15" x14ac:dyDescent="0.2">
      <c r="B58" s="127" t="s">
        <v>139</v>
      </c>
      <c r="C58" s="46">
        <v>0</v>
      </c>
      <c r="D58" s="46">
        <v>0</v>
      </c>
      <c r="E58" s="46">
        <v>0</v>
      </c>
      <c r="F58" s="46">
        <f>-10-12</f>
        <v>-22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57"/>
    </row>
    <row r="59" spans="1:15" x14ac:dyDescent="0.2">
      <c r="B59" s="54" t="s">
        <v>4</v>
      </c>
      <c r="C59" s="49">
        <f>C55+C56+C57+C58</f>
        <v>2529354.1</v>
      </c>
      <c r="D59" s="49">
        <f>D55+D56+D57+D58</f>
        <v>2529354.1</v>
      </c>
      <c r="E59" s="49">
        <f t="shared" ref="E59:N59" si="19">E55+E56+E57+E58</f>
        <v>2529354.1</v>
      </c>
      <c r="F59" s="49">
        <f t="shared" si="19"/>
        <v>0</v>
      </c>
      <c r="G59" s="49">
        <f t="shared" si="19"/>
        <v>0</v>
      </c>
      <c r="H59" s="49">
        <f t="shared" si="19"/>
        <v>0</v>
      </c>
      <c r="I59" s="49">
        <f t="shared" si="19"/>
        <v>0</v>
      </c>
      <c r="J59" s="49">
        <f t="shared" si="19"/>
        <v>0</v>
      </c>
      <c r="K59" s="49">
        <f t="shared" si="19"/>
        <v>0</v>
      </c>
      <c r="L59" s="49">
        <f t="shared" si="19"/>
        <v>0</v>
      </c>
      <c r="M59" s="49">
        <f t="shared" si="19"/>
        <v>0</v>
      </c>
      <c r="N59" s="49">
        <f t="shared" si="19"/>
        <v>0</v>
      </c>
      <c r="O59" s="57"/>
    </row>
    <row r="60" spans="1:15" x14ac:dyDescent="0.2">
      <c r="B60" s="41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57"/>
    </row>
    <row r="61" spans="1:15" ht="12.75" customHeight="1" x14ac:dyDescent="0.2">
      <c r="B61" s="43" t="s">
        <v>169</v>
      </c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56"/>
    </row>
    <row r="62" spans="1:15" x14ac:dyDescent="0.2">
      <c r="B62" s="7" t="s">
        <v>3</v>
      </c>
      <c r="C62" s="46">
        <v>2000.65</v>
      </c>
      <c r="D62" s="46">
        <f t="shared" ref="D62:I62" si="20">+C67</f>
        <v>1986.8400000000001</v>
      </c>
      <c r="E62" s="46">
        <f t="shared" si="20"/>
        <v>183173.43</v>
      </c>
      <c r="F62" s="46">
        <f t="shared" si="20"/>
        <v>342998.76999999996</v>
      </c>
      <c r="G62" s="46">
        <f t="shared" si="20"/>
        <v>3053898.83</v>
      </c>
      <c r="H62" s="46">
        <f t="shared" si="20"/>
        <v>3251420.67</v>
      </c>
      <c r="I62" s="46">
        <f t="shared" si="20"/>
        <v>3408604.99</v>
      </c>
      <c r="J62" s="46">
        <f>+I67</f>
        <v>3590330.34</v>
      </c>
      <c r="K62" s="46">
        <f>+J67</f>
        <v>3767087.6399999997</v>
      </c>
      <c r="L62" s="46">
        <f>+K67</f>
        <v>7821085.8399999999</v>
      </c>
      <c r="M62" s="46">
        <f>+L67</f>
        <v>3758614.1499999994</v>
      </c>
      <c r="N62" s="46">
        <f>+M67</f>
        <v>3752325.3699999992</v>
      </c>
      <c r="O62" s="57"/>
    </row>
    <row r="63" spans="1:15" x14ac:dyDescent="0.2">
      <c r="B63" s="47" t="s">
        <v>35</v>
      </c>
      <c r="C63" s="46">
        <v>0</v>
      </c>
      <c r="D63" s="46">
        <v>181116.05</v>
      </c>
      <c r="E63" s="46">
        <v>159631.01999999999</v>
      </c>
      <c r="F63" s="46">
        <v>180338.21</v>
      </c>
      <c r="G63" s="46">
        <v>194055.06</v>
      </c>
      <c r="H63" s="46">
        <v>153584.39000000001</v>
      </c>
      <c r="I63" s="46">
        <v>177841.53</v>
      </c>
      <c r="J63" s="46">
        <v>171576.55</v>
      </c>
      <c r="K63" s="46">
        <v>195642.32</v>
      </c>
      <c r="L63" s="46">
        <v>192877.38</v>
      </c>
      <c r="M63" s="46">
        <v>308411.21999999997</v>
      </c>
      <c r="N63" s="46">
        <v>259970.75</v>
      </c>
      <c r="O63" s="57"/>
    </row>
    <row r="64" spans="1:15" x14ac:dyDescent="0.2">
      <c r="B64" s="133" t="s">
        <v>34</v>
      </c>
      <c r="C64" s="46">
        <v>1.19</v>
      </c>
      <c r="D64" s="46">
        <v>70.540000000000006</v>
      </c>
      <c r="E64" s="46">
        <v>179.32</v>
      </c>
      <c r="F64" s="46">
        <v>1229.75</v>
      </c>
      <c r="G64" s="46">
        <v>3466.78</v>
      </c>
      <c r="H64" s="46">
        <v>3599.93</v>
      </c>
      <c r="I64" s="46">
        <v>3883.82</v>
      </c>
      <c r="J64" s="46">
        <v>5180.75</v>
      </c>
      <c r="K64" s="46">
        <v>7055.88</v>
      </c>
      <c r="L64" s="46">
        <v>8312.43</v>
      </c>
      <c r="M64" s="46">
        <v>0</v>
      </c>
      <c r="N64" s="46">
        <f>6033.01+515.78+4937.74</f>
        <v>11486.529999999999</v>
      </c>
      <c r="O64" s="57"/>
    </row>
    <row r="65" spans="2:15" x14ac:dyDescent="0.2">
      <c r="B65" s="127" t="s">
        <v>142</v>
      </c>
      <c r="C65" s="46">
        <v>0</v>
      </c>
      <c r="D65" s="46">
        <v>0</v>
      </c>
      <c r="E65" s="46">
        <v>0</v>
      </c>
      <c r="F65" s="46">
        <v>2529332.1</v>
      </c>
      <c r="G65" s="46">
        <v>0</v>
      </c>
      <c r="H65" s="46">
        <v>0</v>
      </c>
      <c r="I65" s="46">
        <v>0</v>
      </c>
      <c r="J65" s="46">
        <v>0</v>
      </c>
      <c r="K65" s="46">
        <f>-148700+4000000</f>
        <v>3851300</v>
      </c>
      <c r="L65" s="46">
        <f>-153200-4000000-110461.5</f>
        <v>-4263661.5</v>
      </c>
      <c r="M65" s="46">
        <f>-104800-209900</f>
        <v>-314700</v>
      </c>
      <c r="N65" s="46">
        <f>-179500-7000-155002.4</f>
        <v>-341502.4</v>
      </c>
      <c r="O65" s="57"/>
    </row>
    <row r="66" spans="2:15" x14ac:dyDescent="0.2">
      <c r="B66" s="127" t="s">
        <v>139</v>
      </c>
      <c r="C66" s="46">
        <v>-15</v>
      </c>
      <c r="D66" s="46">
        <v>0</v>
      </c>
      <c r="E66" s="46">
        <v>15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57"/>
    </row>
    <row r="67" spans="2:15" x14ac:dyDescent="0.2">
      <c r="B67" s="54" t="s">
        <v>4</v>
      </c>
      <c r="C67" s="49">
        <f>C62+C63+C64+C65+C66</f>
        <v>1986.8400000000001</v>
      </c>
      <c r="D67" s="49">
        <f t="shared" ref="D67" si="21">D62+D63+D64+D65+D66</f>
        <v>183173.43</v>
      </c>
      <c r="E67" s="49">
        <f t="shared" ref="E67:N67" si="22">E62+E63+E64+E65+E66</f>
        <v>342998.76999999996</v>
      </c>
      <c r="F67" s="49">
        <f t="shared" si="22"/>
        <v>3053898.83</v>
      </c>
      <c r="G67" s="49">
        <f t="shared" si="22"/>
        <v>3251420.67</v>
      </c>
      <c r="H67" s="49">
        <f t="shared" si="22"/>
        <v>3408604.99</v>
      </c>
      <c r="I67" s="49">
        <f t="shared" si="22"/>
        <v>3590330.34</v>
      </c>
      <c r="J67" s="49">
        <f t="shared" si="22"/>
        <v>3767087.6399999997</v>
      </c>
      <c r="K67" s="49">
        <f t="shared" si="22"/>
        <v>7821085.8399999999</v>
      </c>
      <c r="L67" s="49">
        <f t="shared" si="22"/>
        <v>3758614.1499999994</v>
      </c>
      <c r="M67" s="49">
        <f t="shared" si="22"/>
        <v>3752325.3699999992</v>
      </c>
      <c r="N67" s="49">
        <f t="shared" si="22"/>
        <v>3682280.2499999991</v>
      </c>
      <c r="O67" s="57"/>
    </row>
    <row r="68" spans="2:15" x14ac:dyDescent="0.2">
      <c r="B68" s="41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57"/>
    </row>
    <row r="69" spans="2:15" ht="12.75" customHeight="1" x14ac:dyDescent="0.2">
      <c r="B69" s="43" t="s">
        <v>170</v>
      </c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56"/>
    </row>
    <row r="70" spans="2:15" x14ac:dyDescent="0.2">
      <c r="B70" s="7" t="s">
        <v>3</v>
      </c>
      <c r="C70" s="46">
        <v>2000.65</v>
      </c>
      <c r="D70" s="46">
        <f t="shared" ref="D70:I70" si="23">+C75</f>
        <v>1986.8400000000001</v>
      </c>
      <c r="E70" s="46">
        <f t="shared" si="23"/>
        <v>1987.91</v>
      </c>
      <c r="F70" s="46">
        <f t="shared" si="23"/>
        <v>1989.1000000000001</v>
      </c>
      <c r="G70" s="46">
        <f t="shared" si="23"/>
        <v>1990.2500000000002</v>
      </c>
      <c r="H70" s="46">
        <f t="shared" si="23"/>
        <v>2007.4300000000003</v>
      </c>
      <c r="I70" s="46">
        <f t="shared" si="23"/>
        <v>2009.5700000000004</v>
      </c>
      <c r="J70" s="46">
        <f>+I75</f>
        <v>852034.56000000006</v>
      </c>
      <c r="K70" s="46">
        <f>+J75</f>
        <v>495472.53000000014</v>
      </c>
      <c r="L70" s="46">
        <f>+K75</f>
        <v>275676.34000000014</v>
      </c>
      <c r="M70" s="46">
        <f>+L75</f>
        <v>348166.10000000009</v>
      </c>
      <c r="N70" s="46">
        <f>+M75</f>
        <v>420753.57000000007</v>
      </c>
      <c r="O70" s="57"/>
    </row>
    <row r="71" spans="2:15" x14ac:dyDescent="0.2">
      <c r="B71" s="47" t="s">
        <v>35</v>
      </c>
      <c r="C71" s="46">
        <v>0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f>32.55+8476.68+1517.05+3965.74+1017.35+1636.61+1162.06</f>
        <v>17808.04</v>
      </c>
      <c r="K71" s="46">
        <v>3341.77</v>
      </c>
      <c r="L71" s="46">
        <f>6821.69+65141.96</f>
        <v>71963.649999999994</v>
      </c>
      <c r="M71" s="46">
        <v>94107.47</v>
      </c>
      <c r="N71" s="46">
        <f>19555.54+5527.38+691.07+793162.02</f>
        <v>818936.01</v>
      </c>
      <c r="O71" s="57"/>
    </row>
    <row r="72" spans="2:15" x14ac:dyDescent="0.2">
      <c r="B72" s="133" t="s">
        <v>34</v>
      </c>
      <c r="C72" s="46">
        <v>1.19</v>
      </c>
      <c r="D72" s="46">
        <v>1.07</v>
      </c>
      <c r="E72" s="46">
        <v>1.19</v>
      </c>
      <c r="F72" s="46">
        <v>1.1499999999999999</v>
      </c>
      <c r="G72" s="46">
        <v>2.1800000000000002</v>
      </c>
      <c r="H72" s="46">
        <v>2.14</v>
      </c>
      <c r="I72" s="46">
        <v>32.49</v>
      </c>
      <c r="J72" s="46">
        <v>729.93</v>
      </c>
      <c r="K72" s="46">
        <v>493.74</v>
      </c>
      <c r="L72" s="46">
        <v>526.11</v>
      </c>
      <c r="M72" s="46">
        <v>0</v>
      </c>
      <c r="N72" s="46">
        <f>53.29+891.6+524.24</f>
        <v>1469.13</v>
      </c>
      <c r="O72" s="57"/>
    </row>
    <row r="73" spans="2:15" x14ac:dyDescent="0.2">
      <c r="B73" s="127" t="s">
        <v>142</v>
      </c>
      <c r="C73" s="46">
        <v>0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850000</v>
      </c>
      <c r="J73" s="46">
        <f>-(153500+160000+61600)</f>
        <v>-375100</v>
      </c>
      <c r="K73" s="46">
        <v>-223601.7</v>
      </c>
      <c r="L73" s="46">
        <v>0</v>
      </c>
      <c r="M73" s="46">
        <v>-21520</v>
      </c>
      <c r="N73" s="46">
        <f>-26000-7100</f>
        <v>-33100</v>
      </c>
      <c r="O73" s="57"/>
    </row>
    <row r="74" spans="2:15" x14ac:dyDescent="0.2">
      <c r="B74" s="127" t="s">
        <v>139</v>
      </c>
      <c r="C74" s="46">
        <v>-15</v>
      </c>
      <c r="D74" s="46">
        <v>0</v>
      </c>
      <c r="E74" s="46">
        <v>0</v>
      </c>
      <c r="F74" s="46">
        <v>0</v>
      </c>
      <c r="G74" s="46">
        <v>15</v>
      </c>
      <c r="H74" s="46">
        <v>0</v>
      </c>
      <c r="I74" s="46">
        <v>-7.5</v>
      </c>
      <c r="J74" s="46">
        <v>0</v>
      </c>
      <c r="K74" s="46">
        <v>-30</v>
      </c>
      <c r="L74" s="46">
        <v>0</v>
      </c>
      <c r="M74" s="46">
        <v>0</v>
      </c>
      <c r="N74" s="46">
        <v>0</v>
      </c>
      <c r="O74" s="57"/>
    </row>
    <row r="75" spans="2:15" x14ac:dyDescent="0.2">
      <c r="B75" s="54" t="s">
        <v>4</v>
      </c>
      <c r="C75" s="49">
        <f>C70+C71+C72+C73+C74</f>
        <v>1986.8400000000001</v>
      </c>
      <c r="D75" s="49">
        <f t="shared" ref="D75:N75" si="24">D70+D71+D72+D73+D74</f>
        <v>1987.91</v>
      </c>
      <c r="E75" s="49">
        <f t="shared" si="24"/>
        <v>1989.1000000000001</v>
      </c>
      <c r="F75" s="49">
        <f t="shared" si="24"/>
        <v>1990.2500000000002</v>
      </c>
      <c r="G75" s="49">
        <f t="shared" si="24"/>
        <v>2007.4300000000003</v>
      </c>
      <c r="H75" s="49">
        <f t="shared" si="24"/>
        <v>2009.5700000000004</v>
      </c>
      <c r="I75" s="49">
        <f t="shared" si="24"/>
        <v>852034.56000000006</v>
      </c>
      <c r="J75" s="49">
        <f t="shared" si="24"/>
        <v>495472.53000000014</v>
      </c>
      <c r="K75" s="49">
        <f t="shared" si="24"/>
        <v>275676.34000000014</v>
      </c>
      <c r="L75" s="49">
        <f t="shared" si="24"/>
        <v>348166.10000000009</v>
      </c>
      <c r="M75" s="49">
        <f t="shared" si="24"/>
        <v>420753.57000000007</v>
      </c>
      <c r="N75" s="49">
        <f t="shared" si="24"/>
        <v>1208058.71</v>
      </c>
      <c r="O75" s="57"/>
    </row>
    <row r="76" spans="2:15" x14ac:dyDescent="0.2">
      <c r="B76" s="41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57"/>
    </row>
    <row r="77" spans="2:15" ht="12" customHeight="1" x14ac:dyDescent="0.2">
      <c r="B77" s="43" t="s">
        <v>171</v>
      </c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57"/>
    </row>
    <row r="78" spans="2:15" x14ac:dyDescent="0.2">
      <c r="B78" s="7" t="s">
        <v>3</v>
      </c>
      <c r="C78" s="46">
        <v>2000</v>
      </c>
      <c r="D78" s="46">
        <f t="shared" ref="D78:I78" si="25">+C84</f>
        <v>2000</v>
      </c>
      <c r="E78" s="46">
        <f t="shared" si="25"/>
        <v>2000</v>
      </c>
      <c r="F78" s="46">
        <f t="shared" si="25"/>
        <v>2000</v>
      </c>
      <c r="G78" s="46">
        <f t="shared" si="25"/>
        <v>2000</v>
      </c>
      <c r="H78" s="46">
        <f t="shared" si="25"/>
        <v>2000</v>
      </c>
      <c r="I78" s="46">
        <f t="shared" si="25"/>
        <v>2000</v>
      </c>
      <c r="J78" s="46">
        <f>+I84</f>
        <v>2835.22</v>
      </c>
      <c r="K78" s="46">
        <f>+J84</f>
        <v>14716.380000000005</v>
      </c>
      <c r="L78" s="46">
        <f>+K84</f>
        <v>16434.669999999984</v>
      </c>
      <c r="M78" s="46">
        <f>+L84</f>
        <v>-57243.23000000001</v>
      </c>
      <c r="N78" s="46">
        <f>+M84</f>
        <v>-63394.090000000011</v>
      </c>
      <c r="O78" s="57"/>
    </row>
    <row r="79" spans="2:15" x14ac:dyDescent="0.2">
      <c r="B79" s="47" t="s">
        <v>103</v>
      </c>
      <c r="C79" s="46">
        <v>0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f>160000+61600</f>
        <v>221600</v>
      </c>
      <c r="K79" s="46">
        <f>138100+95000+70300</f>
        <v>303400</v>
      </c>
      <c r="L79" s="46">
        <f>26000+110461.5</f>
        <v>136461.5</v>
      </c>
      <c r="M79" s="46">
        <v>104800</v>
      </c>
      <c r="N79" s="46">
        <v>155002.4</v>
      </c>
      <c r="O79" s="57"/>
    </row>
    <row r="80" spans="2:15" x14ac:dyDescent="0.2">
      <c r="B80" s="133" t="s">
        <v>140</v>
      </c>
      <c r="C80" s="46">
        <v>0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v>0</v>
      </c>
      <c r="O80" s="57"/>
    </row>
    <row r="81" spans="1:15" x14ac:dyDescent="0.2">
      <c r="B81" s="133" t="s">
        <v>35</v>
      </c>
      <c r="C81" s="46">
        <v>0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f>38.04+797.18</f>
        <v>835.21999999999991</v>
      </c>
      <c r="J81" s="46">
        <v>0</v>
      </c>
      <c r="K81" s="46">
        <v>0</v>
      </c>
      <c r="L81" s="46">
        <v>0</v>
      </c>
      <c r="M81" s="46">
        <v>0</v>
      </c>
      <c r="N81" s="46">
        <v>0</v>
      </c>
      <c r="O81" s="57"/>
    </row>
    <row r="82" spans="1:15" x14ac:dyDescent="0.2">
      <c r="B82" s="133" t="s">
        <v>139</v>
      </c>
      <c r="C82" s="46">
        <v>0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v>0</v>
      </c>
      <c r="O82" s="57"/>
    </row>
    <row r="83" spans="1:15" x14ac:dyDescent="0.2">
      <c r="B83" s="47" t="s">
        <v>52</v>
      </c>
      <c r="C83" s="46">
        <v>0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f>-209718.84</f>
        <v>-209718.84</v>
      </c>
      <c r="K83" s="46">
        <v>-301681.71000000002</v>
      </c>
      <c r="L83" s="46">
        <v>-210139.4</v>
      </c>
      <c r="M83" s="46">
        <v>-110950.86</v>
      </c>
      <c r="N83" s="46">
        <f>-150332.77-102493.66</f>
        <v>-252826.43</v>
      </c>
      <c r="O83" s="57"/>
    </row>
    <row r="84" spans="1:15" s="45" customFormat="1" x14ac:dyDescent="0.2">
      <c r="A84" s="132"/>
      <c r="B84" s="54" t="s">
        <v>4</v>
      </c>
      <c r="C84" s="49">
        <f t="shared" ref="C84" si="26">SUM(C78:C83)</f>
        <v>2000</v>
      </c>
      <c r="D84" s="49">
        <f t="shared" ref="D84" si="27">SUM(D78:D83)</f>
        <v>2000</v>
      </c>
      <c r="E84" s="49">
        <f t="shared" ref="E84:N84" si="28">SUM(E78:E83)</f>
        <v>2000</v>
      </c>
      <c r="F84" s="49">
        <f t="shared" si="28"/>
        <v>2000</v>
      </c>
      <c r="G84" s="49">
        <f t="shared" si="28"/>
        <v>2000</v>
      </c>
      <c r="H84" s="49">
        <f t="shared" si="28"/>
        <v>2000</v>
      </c>
      <c r="I84" s="49">
        <f t="shared" si="28"/>
        <v>2835.22</v>
      </c>
      <c r="J84" s="49">
        <f t="shared" si="28"/>
        <v>14716.380000000005</v>
      </c>
      <c r="K84" s="49">
        <f t="shared" si="28"/>
        <v>16434.669999999984</v>
      </c>
      <c r="L84" s="49">
        <f t="shared" si="28"/>
        <v>-57243.23000000001</v>
      </c>
      <c r="M84" s="49">
        <f t="shared" si="28"/>
        <v>-63394.090000000011</v>
      </c>
      <c r="N84" s="49">
        <f t="shared" si="28"/>
        <v>-161218.12</v>
      </c>
      <c r="O84" s="58"/>
    </row>
    <row r="85" spans="1:15" x14ac:dyDescent="0.2">
      <c r="B85" s="41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57"/>
    </row>
    <row r="86" spans="1:15" x14ac:dyDescent="0.2">
      <c r="B86" s="43" t="s">
        <v>172</v>
      </c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57"/>
    </row>
    <row r="87" spans="1:15" x14ac:dyDescent="0.2">
      <c r="B87" s="7" t="s">
        <v>3</v>
      </c>
      <c r="C87" s="46">
        <v>2000</v>
      </c>
      <c r="D87" s="46">
        <f t="shared" ref="D87:I87" si="29">+C91</f>
        <v>2000</v>
      </c>
      <c r="E87" s="46">
        <f t="shared" si="29"/>
        <v>2000</v>
      </c>
      <c r="F87" s="46">
        <f t="shared" si="29"/>
        <v>2000</v>
      </c>
      <c r="G87" s="46">
        <f t="shared" si="29"/>
        <v>2000</v>
      </c>
      <c r="H87" s="46">
        <f t="shared" si="29"/>
        <v>2000</v>
      </c>
      <c r="I87" s="46">
        <f t="shared" si="29"/>
        <v>2000</v>
      </c>
      <c r="J87" s="46">
        <f>+I91</f>
        <v>2000</v>
      </c>
      <c r="K87" s="46">
        <f>+J91</f>
        <v>11316.750000000029</v>
      </c>
      <c r="L87" s="46">
        <f>+K91</f>
        <v>6470.7600000000384</v>
      </c>
      <c r="M87" s="46">
        <f>+L91</f>
        <v>18119.160000000033</v>
      </c>
      <c r="N87" s="46">
        <f>+M91</f>
        <v>86758.24000000002</v>
      </c>
      <c r="O87" s="57"/>
    </row>
    <row r="88" spans="1:15" x14ac:dyDescent="0.2">
      <c r="B88" s="47" t="s">
        <v>103</v>
      </c>
      <c r="C88" s="46">
        <v>0</v>
      </c>
      <c r="D88" s="46">
        <v>0</v>
      </c>
      <c r="E88" s="46">
        <v>0</v>
      </c>
      <c r="F88" s="46">
        <v>0</v>
      </c>
      <c r="G88" s="46">
        <v>0</v>
      </c>
      <c r="H88" s="46">
        <v>0</v>
      </c>
      <c r="I88" s="46">
        <v>0</v>
      </c>
      <c r="J88" s="46">
        <v>153500</v>
      </c>
      <c r="K88" s="46">
        <v>148700</v>
      </c>
      <c r="L88" s="46">
        <v>153200</v>
      </c>
      <c r="M88" s="46">
        <v>231420</v>
      </c>
      <c r="N88" s="46">
        <v>179500</v>
      </c>
      <c r="O88" s="57"/>
    </row>
    <row r="89" spans="1:15" x14ac:dyDescent="0.2">
      <c r="B89" s="133" t="s">
        <v>139</v>
      </c>
      <c r="C89" s="46">
        <v>0</v>
      </c>
      <c r="D89" s="46">
        <v>0</v>
      </c>
      <c r="E89" s="46">
        <v>0</v>
      </c>
      <c r="F89" s="46">
        <v>0</v>
      </c>
      <c r="G89" s="46">
        <v>0</v>
      </c>
      <c r="H89" s="46">
        <v>0</v>
      </c>
      <c r="I89" s="46">
        <v>0</v>
      </c>
      <c r="J89" s="46">
        <v>0</v>
      </c>
      <c r="K89" s="46">
        <v>0</v>
      </c>
      <c r="L89" s="46">
        <v>0</v>
      </c>
      <c r="M89" s="46">
        <v>0</v>
      </c>
      <c r="N89" s="46">
        <v>0</v>
      </c>
      <c r="O89" s="57"/>
    </row>
    <row r="90" spans="1:15" x14ac:dyDescent="0.2">
      <c r="B90" s="47" t="s">
        <v>52</v>
      </c>
      <c r="C90" s="46">
        <v>0</v>
      </c>
      <c r="D90" s="46">
        <v>0</v>
      </c>
      <c r="E90" s="46">
        <v>0</v>
      </c>
      <c r="F90" s="46">
        <v>0</v>
      </c>
      <c r="G90" s="46">
        <v>0</v>
      </c>
      <c r="H90" s="46">
        <v>0</v>
      </c>
      <c r="I90" s="46">
        <v>0</v>
      </c>
      <c r="J90" s="46">
        <f>-144183.99+0.32+0.42</f>
        <v>-144183.24999999997</v>
      </c>
      <c r="K90" s="46">
        <v>-153545.99</v>
      </c>
      <c r="L90" s="46">
        <v>-141551.6</v>
      </c>
      <c r="M90" s="46">
        <v>-162780.92000000001</v>
      </c>
      <c r="N90" s="46">
        <f>-186560.05+14600.3</f>
        <v>-171959.75</v>
      </c>
      <c r="O90" s="57"/>
    </row>
    <row r="91" spans="1:15" x14ac:dyDescent="0.2">
      <c r="B91" s="54" t="s">
        <v>4</v>
      </c>
      <c r="C91" s="49">
        <f t="shared" ref="C91" si="30">SUM(C87:C90)</f>
        <v>2000</v>
      </c>
      <c r="D91" s="49">
        <f t="shared" ref="D91" si="31">SUM(D87:D90)</f>
        <v>2000</v>
      </c>
      <c r="E91" s="49">
        <f t="shared" ref="E91:N91" si="32">SUM(E87:E90)</f>
        <v>2000</v>
      </c>
      <c r="F91" s="49">
        <f t="shared" si="32"/>
        <v>2000</v>
      </c>
      <c r="G91" s="49">
        <f t="shared" si="32"/>
        <v>2000</v>
      </c>
      <c r="H91" s="49">
        <f t="shared" si="32"/>
        <v>2000</v>
      </c>
      <c r="I91" s="49">
        <f t="shared" si="32"/>
        <v>2000</v>
      </c>
      <c r="J91" s="49">
        <f t="shared" si="32"/>
        <v>11316.750000000029</v>
      </c>
      <c r="K91" s="49">
        <f t="shared" si="32"/>
        <v>6470.7600000000384</v>
      </c>
      <c r="L91" s="49">
        <f t="shared" si="32"/>
        <v>18119.160000000033</v>
      </c>
      <c r="M91" s="49">
        <f t="shared" si="32"/>
        <v>86758.24000000002</v>
      </c>
      <c r="N91" s="49">
        <f t="shared" si="32"/>
        <v>94298.489999999991</v>
      </c>
      <c r="O91" s="57"/>
    </row>
    <row r="92" spans="1:15" x14ac:dyDescent="0.2">
      <c r="B92" s="41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57"/>
    </row>
    <row r="93" spans="1:15" x14ac:dyDescent="0.2">
      <c r="B93" s="43" t="s">
        <v>173</v>
      </c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57"/>
    </row>
    <row r="94" spans="1:15" x14ac:dyDescent="0.2">
      <c r="B94" s="127" t="s">
        <v>3</v>
      </c>
      <c r="C94" s="46">
        <v>2000</v>
      </c>
      <c r="D94" s="46">
        <f t="shared" ref="D94:I94" si="33">+C99</f>
        <v>2000</v>
      </c>
      <c r="E94" s="46">
        <f t="shared" si="33"/>
        <v>2000</v>
      </c>
      <c r="F94" s="46">
        <f t="shared" si="33"/>
        <v>2000</v>
      </c>
      <c r="G94" s="46">
        <f t="shared" si="33"/>
        <v>2000</v>
      </c>
      <c r="H94" s="46">
        <f t="shared" si="33"/>
        <v>2000</v>
      </c>
      <c r="I94" s="46">
        <f t="shared" si="33"/>
        <v>18151.940000000002</v>
      </c>
      <c r="J94" s="46">
        <f>+I99</f>
        <v>18151.940000000002</v>
      </c>
      <c r="K94" s="46">
        <f>+J99</f>
        <v>13175.850000000002</v>
      </c>
      <c r="L94" s="46">
        <f>+K99</f>
        <v>9955.970000000003</v>
      </c>
      <c r="M94" s="46">
        <f>+L99</f>
        <v>11977.970000000001</v>
      </c>
      <c r="N94" s="46">
        <f>+M99</f>
        <v>4879.6800000000012</v>
      </c>
      <c r="O94" s="57"/>
    </row>
    <row r="95" spans="1:15" x14ac:dyDescent="0.2">
      <c r="B95" s="47" t="s">
        <v>103</v>
      </c>
      <c r="C95" s="46">
        <v>0</v>
      </c>
      <c r="D95" s="46">
        <v>0</v>
      </c>
      <c r="E95" s="46">
        <v>0</v>
      </c>
      <c r="F95" s="46">
        <v>0</v>
      </c>
      <c r="G95" s="46">
        <v>0</v>
      </c>
      <c r="H95" s="46">
        <f>11429.85+4729.84</f>
        <v>16159.69</v>
      </c>
      <c r="I95" s="46">
        <v>0</v>
      </c>
      <c r="J95" s="46">
        <v>0</v>
      </c>
      <c r="K95" s="46">
        <v>6900</v>
      </c>
      <c r="L95" s="46">
        <v>7100</v>
      </c>
      <c r="M95" s="46">
        <v>0</v>
      </c>
      <c r="N95" s="46">
        <v>7000</v>
      </c>
      <c r="O95" s="57"/>
    </row>
    <row r="96" spans="1:15" x14ac:dyDescent="0.2">
      <c r="B96" s="133" t="s">
        <v>35</v>
      </c>
      <c r="C96" s="46">
        <v>0</v>
      </c>
      <c r="D96" s="46">
        <v>0</v>
      </c>
      <c r="E96" s="46">
        <v>0</v>
      </c>
      <c r="F96" s="46">
        <v>0</v>
      </c>
      <c r="G96" s="46">
        <v>0</v>
      </c>
      <c r="H96" s="46">
        <v>0</v>
      </c>
      <c r="I96" s="46">
        <v>0</v>
      </c>
      <c r="J96" s="46">
        <v>0</v>
      </c>
      <c r="K96" s="46">
        <v>58.52</v>
      </c>
      <c r="L96" s="46">
        <v>0</v>
      </c>
      <c r="M96" s="46">
        <v>0</v>
      </c>
      <c r="N96" s="46">
        <v>0</v>
      </c>
      <c r="O96" s="57"/>
    </row>
    <row r="97" spans="1:15" x14ac:dyDescent="0.2">
      <c r="B97" s="133" t="s">
        <v>139</v>
      </c>
      <c r="C97" s="46">
        <v>0</v>
      </c>
      <c r="D97" s="46">
        <v>0</v>
      </c>
      <c r="E97" s="46">
        <v>0</v>
      </c>
      <c r="F97" s="46">
        <v>0</v>
      </c>
      <c r="G97" s="46">
        <v>0</v>
      </c>
      <c r="H97" s="46">
        <v>0</v>
      </c>
      <c r="I97" s="46">
        <v>0</v>
      </c>
      <c r="J97" s="46">
        <v>0</v>
      </c>
      <c r="K97" s="46">
        <v>0</v>
      </c>
      <c r="L97" s="46">
        <v>0</v>
      </c>
      <c r="M97" s="46">
        <v>0</v>
      </c>
      <c r="N97" s="46">
        <v>0</v>
      </c>
      <c r="O97" s="57"/>
    </row>
    <row r="98" spans="1:15" x14ac:dyDescent="0.2">
      <c r="B98" s="47" t="s">
        <v>52</v>
      </c>
      <c r="C98" s="46">
        <v>0</v>
      </c>
      <c r="D98" s="46">
        <v>0</v>
      </c>
      <c r="E98" s="46">
        <v>0</v>
      </c>
      <c r="F98" s="46">
        <v>0</v>
      </c>
      <c r="G98" s="46">
        <v>0</v>
      </c>
      <c r="H98" s="46">
        <v>-7.75</v>
      </c>
      <c r="I98" s="46">
        <v>0</v>
      </c>
      <c r="J98" s="46">
        <v>-4976.09</v>
      </c>
      <c r="K98" s="46">
        <v>-10178.4</v>
      </c>
      <c r="L98" s="46">
        <v>-5078</v>
      </c>
      <c r="M98" s="46">
        <v>-7098.29</v>
      </c>
      <c r="N98" s="46">
        <f>7.5-10770.76</f>
        <v>-10763.26</v>
      </c>
      <c r="O98" s="57"/>
    </row>
    <row r="99" spans="1:15" x14ac:dyDescent="0.2">
      <c r="B99" s="54" t="s">
        <v>4</v>
      </c>
      <c r="C99" s="49">
        <f t="shared" ref="C99" si="34">SUM(C94:C98)</f>
        <v>2000</v>
      </c>
      <c r="D99" s="49">
        <f t="shared" ref="D99" si="35">SUM(D94:D98)</f>
        <v>2000</v>
      </c>
      <c r="E99" s="49">
        <f t="shared" ref="E99:N99" si="36">SUM(E94:E98)</f>
        <v>2000</v>
      </c>
      <c r="F99" s="49">
        <f t="shared" si="36"/>
        <v>2000</v>
      </c>
      <c r="G99" s="49">
        <f t="shared" si="36"/>
        <v>2000</v>
      </c>
      <c r="H99" s="49">
        <f t="shared" si="36"/>
        <v>18151.940000000002</v>
      </c>
      <c r="I99" s="49">
        <f t="shared" si="36"/>
        <v>18151.940000000002</v>
      </c>
      <c r="J99" s="49">
        <f t="shared" si="36"/>
        <v>13175.850000000002</v>
      </c>
      <c r="K99" s="49">
        <f t="shared" si="36"/>
        <v>9955.970000000003</v>
      </c>
      <c r="L99" s="49">
        <f t="shared" si="36"/>
        <v>11977.970000000001</v>
      </c>
      <c r="M99" s="49">
        <f t="shared" si="36"/>
        <v>4879.6800000000012</v>
      </c>
      <c r="N99" s="49">
        <f t="shared" si="36"/>
        <v>1116.42</v>
      </c>
      <c r="O99" s="57"/>
    </row>
    <row r="100" spans="1:15" x14ac:dyDescent="0.2">
      <c r="B100" s="41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57"/>
    </row>
    <row r="101" spans="1:15" x14ac:dyDescent="0.2">
      <c r="B101" s="43" t="s">
        <v>168</v>
      </c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57"/>
    </row>
    <row r="102" spans="1:15" x14ac:dyDescent="0.2">
      <c r="B102" s="127" t="s">
        <v>3</v>
      </c>
      <c r="C102" s="46">
        <v>0</v>
      </c>
      <c r="D102" s="46">
        <v>0</v>
      </c>
      <c r="E102" s="46">
        <f t="shared" ref="E102" si="37">+D107</f>
        <v>0</v>
      </c>
      <c r="F102" s="46">
        <f t="shared" ref="F102" si="38">+E107</f>
        <v>0</v>
      </c>
      <c r="G102" s="46">
        <f t="shared" ref="G102" si="39">+F107</f>
        <v>0</v>
      </c>
      <c r="H102" s="46">
        <f t="shared" ref="H102" si="40">+G107</f>
        <v>0</v>
      </c>
      <c r="I102" s="46">
        <f t="shared" ref="I102" si="41">+H107</f>
        <v>0</v>
      </c>
      <c r="J102" s="46">
        <f>+I107</f>
        <v>0</v>
      </c>
      <c r="K102" s="46">
        <f>+J107</f>
        <v>0</v>
      </c>
      <c r="L102" s="46">
        <f>+K107</f>
        <v>0</v>
      </c>
      <c r="M102" s="46">
        <f>+L107</f>
        <v>4004821.92</v>
      </c>
      <c r="N102" s="46">
        <f>+M107</f>
        <v>4004821.92</v>
      </c>
      <c r="O102" s="57"/>
    </row>
    <row r="103" spans="1:15" x14ac:dyDescent="0.2">
      <c r="B103" s="47" t="s">
        <v>103</v>
      </c>
      <c r="C103" s="46">
        <v>0</v>
      </c>
      <c r="D103" s="46">
        <v>0</v>
      </c>
      <c r="E103" s="46">
        <v>0</v>
      </c>
      <c r="F103" s="46">
        <v>0</v>
      </c>
      <c r="G103" s="46">
        <v>0</v>
      </c>
      <c r="H103" s="46">
        <v>0</v>
      </c>
      <c r="I103" s="46">
        <v>0</v>
      </c>
      <c r="J103" s="46">
        <v>0</v>
      </c>
      <c r="K103" s="46">
        <v>0</v>
      </c>
      <c r="L103" s="46">
        <v>4000000</v>
      </c>
      <c r="M103" s="46">
        <v>0</v>
      </c>
      <c r="N103" s="46">
        <v>0</v>
      </c>
      <c r="O103" s="57"/>
    </row>
    <row r="104" spans="1:15" x14ac:dyDescent="0.2">
      <c r="B104" s="133" t="s">
        <v>35</v>
      </c>
      <c r="C104" s="46">
        <v>0</v>
      </c>
      <c r="D104" s="46">
        <v>0</v>
      </c>
      <c r="E104" s="46">
        <v>0</v>
      </c>
      <c r="F104" s="46">
        <v>0</v>
      </c>
      <c r="G104" s="46">
        <v>0</v>
      </c>
      <c r="H104" s="46">
        <v>0</v>
      </c>
      <c r="I104" s="46">
        <v>0</v>
      </c>
      <c r="J104" s="46">
        <v>0</v>
      </c>
      <c r="K104" s="46">
        <v>0</v>
      </c>
      <c r="L104" s="46">
        <v>0</v>
      </c>
      <c r="M104" s="46">
        <v>0</v>
      </c>
      <c r="N104" s="46">
        <v>0</v>
      </c>
      <c r="O104" s="57"/>
    </row>
    <row r="105" spans="1:15" x14ac:dyDescent="0.2">
      <c r="B105" s="133" t="s">
        <v>34</v>
      </c>
      <c r="C105" s="46">
        <v>0</v>
      </c>
      <c r="D105" s="46">
        <v>0</v>
      </c>
      <c r="E105" s="46">
        <v>0</v>
      </c>
      <c r="F105" s="46">
        <v>0</v>
      </c>
      <c r="G105" s="46">
        <v>0</v>
      </c>
      <c r="H105" s="46">
        <v>0</v>
      </c>
      <c r="I105" s="46">
        <v>0</v>
      </c>
      <c r="J105" s="46">
        <v>0</v>
      </c>
      <c r="K105" s="46">
        <v>0</v>
      </c>
      <c r="L105" s="46">
        <v>4821.92</v>
      </c>
      <c r="M105" s="46">
        <v>0</v>
      </c>
      <c r="N105" s="46">
        <v>12629.71</v>
      </c>
      <c r="O105" s="57"/>
    </row>
    <row r="106" spans="1:15" x14ac:dyDescent="0.2">
      <c r="B106" s="47" t="s">
        <v>52</v>
      </c>
      <c r="C106" s="46">
        <v>0</v>
      </c>
      <c r="D106" s="46">
        <v>0</v>
      </c>
      <c r="E106" s="46">
        <v>0</v>
      </c>
      <c r="F106" s="46">
        <v>0</v>
      </c>
      <c r="G106" s="46">
        <v>0</v>
      </c>
      <c r="H106" s="46">
        <v>0</v>
      </c>
      <c r="I106" s="46">
        <v>0</v>
      </c>
      <c r="J106" s="46">
        <v>0</v>
      </c>
      <c r="K106" s="46">
        <v>0</v>
      </c>
      <c r="L106" s="46">
        <v>0</v>
      </c>
      <c r="M106" s="46">
        <v>0</v>
      </c>
      <c r="N106" s="46">
        <v>0</v>
      </c>
      <c r="O106" s="57"/>
    </row>
    <row r="107" spans="1:15" x14ac:dyDescent="0.2">
      <c r="B107" s="54" t="s">
        <v>4</v>
      </c>
      <c r="C107" s="49">
        <f t="shared" ref="C107" si="42">SUM(C102:C106)</f>
        <v>0</v>
      </c>
      <c r="D107" s="49">
        <f t="shared" ref="D107:N107" si="43">SUM(D102:D106)</f>
        <v>0</v>
      </c>
      <c r="E107" s="49">
        <f t="shared" si="43"/>
        <v>0</v>
      </c>
      <c r="F107" s="49">
        <f t="shared" si="43"/>
        <v>0</v>
      </c>
      <c r="G107" s="49">
        <f t="shared" si="43"/>
        <v>0</v>
      </c>
      <c r="H107" s="49">
        <f t="shared" si="43"/>
        <v>0</v>
      </c>
      <c r="I107" s="49">
        <f t="shared" si="43"/>
        <v>0</v>
      </c>
      <c r="J107" s="49">
        <f t="shared" si="43"/>
        <v>0</v>
      </c>
      <c r="K107" s="49">
        <f t="shared" si="43"/>
        <v>0</v>
      </c>
      <c r="L107" s="49">
        <f t="shared" si="43"/>
        <v>4004821.92</v>
      </c>
      <c r="M107" s="49">
        <f t="shared" si="43"/>
        <v>4004821.92</v>
      </c>
      <c r="N107" s="49">
        <f t="shared" si="43"/>
        <v>4017451.63</v>
      </c>
      <c r="O107" s="57"/>
    </row>
    <row r="108" spans="1:15" x14ac:dyDescent="0.2">
      <c r="B108" s="41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57"/>
    </row>
    <row r="109" spans="1:15" x14ac:dyDescent="0.2">
      <c r="A109" s="132">
        <v>1015</v>
      </c>
      <c r="B109" s="43" t="s">
        <v>102</v>
      </c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57"/>
    </row>
    <row r="110" spans="1:15" x14ac:dyDescent="0.2">
      <c r="B110" s="7" t="s">
        <v>3</v>
      </c>
      <c r="C110" s="46">
        <v>3400.27</v>
      </c>
      <c r="D110" s="46">
        <f t="shared" ref="D110:I110" si="44">+C115</f>
        <v>3400.27</v>
      </c>
      <c r="E110" s="46">
        <f t="shared" si="44"/>
        <v>3400.27</v>
      </c>
      <c r="F110" s="46">
        <f t="shared" si="44"/>
        <v>3400.27</v>
      </c>
      <c r="G110" s="46">
        <f t="shared" si="44"/>
        <v>3400.27</v>
      </c>
      <c r="H110" s="46">
        <f t="shared" si="44"/>
        <v>3400.27</v>
      </c>
      <c r="I110" s="46">
        <f t="shared" si="44"/>
        <v>3400.27</v>
      </c>
      <c r="J110" s="46">
        <f>+I115</f>
        <v>349233.10000000003</v>
      </c>
      <c r="K110" s="46">
        <f>+J115</f>
        <v>3385.3200000000188</v>
      </c>
      <c r="L110" s="46">
        <f>+K115</f>
        <v>3385.4000000000187</v>
      </c>
      <c r="M110" s="46">
        <f>+L115</f>
        <v>3386.3000000000188</v>
      </c>
      <c r="N110" s="46">
        <f>+M115</f>
        <v>3386.3000000000188</v>
      </c>
      <c r="O110" s="57"/>
    </row>
    <row r="111" spans="1:15" x14ac:dyDescent="0.2">
      <c r="B111" s="47" t="s">
        <v>103</v>
      </c>
      <c r="C111" s="46">
        <v>0</v>
      </c>
      <c r="D111" s="46">
        <v>0</v>
      </c>
      <c r="E111" s="46">
        <v>0</v>
      </c>
      <c r="F111" s="46">
        <v>0</v>
      </c>
      <c r="G111" s="46">
        <v>0</v>
      </c>
      <c r="H111" s="46">
        <v>0</v>
      </c>
      <c r="I111" s="46">
        <v>345847.83</v>
      </c>
      <c r="J111" s="46">
        <v>0</v>
      </c>
      <c r="K111" s="46">
        <v>0</v>
      </c>
      <c r="L111" s="46">
        <v>0</v>
      </c>
      <c r="M111" s="46">
        <v>0</v>
      </c>
      <c r="N111" s="46">
        <v>0</v>
      </c>
      <c r="O111" s="57"/>
    </row>
    <row r="112" spans="1:15" x14ac:dyDescent="0.2">
      <c r="B112" s="47" t="s">
        <v>52</v>
      </c>
      <c r="C112" s="46">
        <v>0</v>
      </c>
      <c r="D112" s="46">
        <v>0</v>
      </c>
      <c r="E112" s="46">
        <v>0</v>
      </c>
      <c r="F112" s="46">
        <v>0</v>
      </c>
      <c r="G112" s="46">
        <v>0</v>
      </c>
      <c r="H112" s="46">
        <v>0</v>
      </c>
      <c r="I112" s="46">
        <v>0</v>
      </c>
      <c r="J112" s="46">
        <v>-345847.83</v>
      </c>
      <c r="K112" s="46">
        <v>0</v>
      </c>
      <c r="L112" s="46">
        <v>0</v>
      </c>
      <c r="M112" s="46">
        <v>0</v>
      </c>
      <c r="N112" s="46">
        <v>0</v>
      </c>
      <c r="O112" s="57"/>
    </row>
    <row r="113" spans="2:20" x14ac:dyDescent="0.2">
      <c r="B113" s="133" t="s">
        <v>34</v>
      </c>
      <c r="C113" s="46">
        <v>0</v>
      </c>
      <c r="D113" s="46">
        <v>0</v>
      </c>
      <c r="E113" s="46">
        <v>0</v>
      </c>
      <c r="F113" s="46">
        <v>0</v>
      </c>
      <c r="G113" s="46">
        <v>0</v>
      </c>
      <c r="H113" s="46">
        <v>0</v>
      </c>
      <c r="I113" s="46">
        <v>0</v>
      </c>
      <c r="J113" s="46">
        <v>0.05</v>
      </c>
      <c r="K113" s="46">
        <v>0.08</v>
      </c>
      <c r="L113" s="46">
        <v>0.9</v>
      </c>
      <c r="M113" s="46">
        <v>0</v>
      </c>
      <c r="N113" s="46">
        <f>0.08-0.81</f>
        <v>-0.73000000000000009</v>
      </c>
      <c r="O113" s="57"/>
    </row>
    <row r="114" spans="2:20" x14ac:dyDescent="0.2">
      <c r="B114" s="127" t="s">
        <v>139</v>
      </c>
      <c r="C114" s="46">
        <v>0</v>
      </c>
      <c r="D114" s="46">
        <v>0</v>
      </c>
      <c r="E114" s="46">
        <v>0</v>
      </c>
      <c r="F114" s="46">
        <v>0</v>
      </c>
      <c r="G114" s="46">
        <v>0</v>
      </c>
      <c r="H114" s="46">
        <v>0</v>
      </c>
      <c r="I114" s="46">
        <v>-15</v>
      </c>
      <c r="J114" s="46">
        <v>0</v>
      </c>
      <c r="K114" s="46">
        <v>0</v>
      </c>
      <c r="L114" s="46">
        <v>0</v>
      </c>
      <c r="M114" s="46">
        <v>0</v>
      </c>
      <c r="N114" s="46">
        <v>0</v>
      </c>
      <c r="O114" s="57"/>
    </row>
    <row r="115" spans="2:20" x14ac:dyDescent="0.2">
      <c r="B115" s="54" t="s">
        <v>4</v>
      </c>
      <c r="C115" s="49">
        <f t="shared" ref="C115:D115" si="45">C110+C111+C112+C114</f>
        <v>3400.27</v>
      </c>
      <c r="D115" s="49">
        <f t="shared" si="45"/>
        <v>3400.27</v>
      </c>
      <c r="E115" s="49">
        <f t="shared" ref="E115:I115" si="46">E110+E111+E112+E114</f>
        <v>3400.27</v>
      </c>
      <c r="F115" s="49">
        <f t="shared" si="46"/>
        <v>3400.27</v>
      </c>
      <c r="G115" s="49">
        <f t="shared" si="46"/>
        <v>3400.27</v>
      </c>
      <c r="H115" s="49">
        <f t="shared" si="46"/>
        <v>3400.27</v>
      </c>
      <c r="I115" s="49">
        <f t="shared" si="46"/>
        <v>349233.10000000003</v>
      </c>
      <c r="J115" s="49">
        <f>SUM(J110:J114)</f>
        <v>3385.3200000000188</v>
      </c>
      <c r="K115" s="49">
        <f>SUM(K110:K114)</f>
        <v>3385.4000000000187</v>
      </c>
      <c r="L115" s="49">
        <f>SUM(L110:L114)</f>
        <v>3386.3000000000188</v>
      </c>
      <c r="M115" s="49">
        <f>SUM(M110:M114)</f>
        <v>3386.3000000000188</v>
      </c>
      <c r="N115" s="49">
        <f>SUM(N110:N114)</f>
        <v>3385.5700000000188</v>
      </c>
      <c r="O115" s="57"/>
    </row>
    <row r="116" spans="2:20" x14ac:dyDescent="0.2">
      <c r="B116" s="41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57"/>
      <c r="T116" t="s">
        <v>135</v>
      </c>
    </row>
    <row r="117" spans="2:20" x14ac:dyDescent="0.2">
      <c r="B117" s="43" t="s">
        <v>105</v>
      </c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51"/>
    </row>
    <row r="118" spans="2:20" x14ac:dyDescent="0.2">
      <c r="B118" s="7" t="s">
        <v>3</v>
      </c>
      <c r="C118" s="46">
        <v>123044.24</v>
      </c>
      <c r="D118" s="46">
        <f t="shared" ref="D118:I118" si="47">+C121</f>
        <v>123174.1</v>
      </c>
      <c r="E118" s="46">
        <f t="shared" si="47"/>
        <v>123295.70000000001</v>
      </c>
      <c r="F118" s="46">
        <f t="shared" si="47"/>
        <v>123409.14000000001</v>
      </c>
      <c r="G118" s="46">
        <f t="shared" si="47"/>
        <v>123535.12000000001</v>
      </c>
      <c r="H118" s="46">
        <f t="shared" si="47"/>
        <v>123678.07</v>
      </c>
      <c r="I118" s="46">
        <f t="shared" si="47"/>
        <v>123879.34000000001</v>
      </c>
      <c r="J118" s="46">
        <f>+I121</f>
        <v>124087.66000000002</v>
      </c>
      <c r="K118" s="46">
        <f>+J121</f>
        <v>124296.33000000002</v>
      </c>
      <c r="L118" s="46">
        <f>+K121</f>
        <v>124498.61000000002</v>
      </c>
      <c r="M118" s="46">
        <f>+L121</f>
        <v>124707.97000000002</v>
      </c>
      <c r="N118" s="46">
        <f>+M121</f>
        <v>124910.92000000001</v>
      </c>
      <c r="O118" s="51"/>
    </row>
    <row r="119" spans="2:20" x14ac:dyDescent="0.2">
      <c r="B119" s="47" t="s">
        <v>58</v>
      </c>
      <c r="C119" s="46">
        <v>0</v>
      </c>
      <c r="D119" s="46">
        <v>0</v>
      </c>
      <c r="E119" s="46">
        <v>0</v>
      </c>
      <c r="F119" s="46">
        <v>0</v>
      </c>
      <c r="G119" s="46">
        <v>0</v>
      </c>
      <c r="H119" s="46">
        <v>0</v>
      </c>
      <c r="I119" s="46">
        <v>0</v>
      </c>
      <c r="J119" s="46">
        <v>0</v>
      </c>
      <c r="K119" s="46">
        <v>0</v>
      </c>
      <c r="L119" s="46">
        <v>0</v>
      </c>
      <c r="M119" s="46">
        <v>0</v>
      </c>
      <c r="N119" s="46">
        <v>0</v>
      </c>
      <c r="O119" s="51"/>
    </row>
    <row r="120" spans="2:20" x14ac:dyDescent="0.2">
      <c r="B120" s="63" t="s">
        <v>34</v>
      </c>
      <c r="C120" s="46">
        <v>129.86000000000001</v>
      </c>
      <c r="D120" s="46">
        <v>121.6</v>
      </c>
      <c r="E120" s="46">
        <v>113.44</v>
      </c>
      <c r="F120" s="46">
        <v>125.98</v>
      </c>
      <c r="G120" s="46">
        <v>142.94999999999999</v>
      </c>
      <c r="H120" s="46">
        <v>201.27</v>
      </c>
      <c r="I120" s="46">
        <v>208.32</v>
      </c>
      <c r="J120" s="46">
        <v>208.67</v>
      </c>
      <c r="K120" s="46">
        <v>202.28</v>
      </c>
      <c r="L120" s="46">
        <v>209.36</v>
      </c>
      <c r="M120" s="46">
        <v>202.95</v>
      </c>
      <c r="N120" s="46">
        <v>210.06</v>
      </c>
      <c r="O120" s="51"/>
      <c r="P120" s="44">
        <v>412.31</v>
      </c>
    </row>
    <row r="121" spans="2:20" x14ac:dyDescent="0.2">
      <c r="B121" s="54" t="s">
        <v>4</v>
      </c>
      <c r="C121" s="49">
        <f t="shared" ref="C121:D121" si="48">C118+C119+C120</f>
        <v>123174.1</v>
      </c>
      <c r="D121" s="49">
        <f t="shared" si="48"/>
        <v>123295.70000000001</v>
      </c>
      <c r="E121" s="49">
        <f t="shared" ref="E121:N121" si="49">E118+E119+E120</f>
        <v>123409.14000000001</v>
      </c>
      <c r="F121" s="49">
        <f t="shared" si="49"/>
        <v>123535.12000000001</v>
      </c>
      <c r="G121" s="49">
        <f t="shared" si="49"/>
        <v>123678.07</v>
      </c>
      <c r="H121" s="49">
        <f t="shared" si="49"/>
        <v>123879.34000000001</v>
      </c>
      <c r="I121" s="49">
        <f t="shared" si="49"/>
        <v>124087.66000000002</v>
      </c>
      <c r="J121" s="49">
        <f t="shared" si="49"/>
        <v>124296.33000000002</v>
      </c>
      <c r="K121" s="49">
        <f t="shared" si="49"/>
        <v>124498.61000000002</v>
      </c>
      <c r="L121" s="49">
        <f t="shared" si="49"/>
        <v>124707.97000000002</v>
      </c>
      <c r="M121" s="49">
        <f t="shared" si="49"/>
        <v>124910.92000000001</v>
      </c>
      <c r="N121" s="49">
        <f t="shared" si="49"/>
        <v>125120.98000000001</v>
      </c>
      <c r="O121" s="51"/>
    </row>
    <row r="122" spans="2:20" ht="13.5" thickBot="1" x14ac:dyDescent="0.25">
      <c r="B122" s="109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</row>
    <row r="123" spans="2:20" ht="13.5" thickBot="1" x14ac:dyDescent="0.25">
      <c r="B123" s="67" t="s">
        <v>53</v>
      </c>
      <c r="C123" s="68">
        <f t="shared" ref="C123:J123" si="50">C15+C23+C30+C38+C44+C52+C59+C115+C121+C67+C75+C84+C91+C99</f>
        <v>4728932.8299999991</v>
      </c>
      <c r="D123" s="68">
        <f t="shared" si="50"/>
        <v>5465845.3499999987</v>
      </c>
      <c r="E123" s="68">
        <f t="shared" si="50"/>
        <v>5293711.0299999984</v>
      </c>
      <c r="F123" s="68">
        <f t="shared" si="50"/>
        <v>5251185.42</v>
      </c>
      <c r="G123" s="68">
        <f t="shared" si="50"/>
        <v>5241860.6500000004</v>
      </c>
      <c r="H123" s="68">
        <f t="shared" si="50"/>
        <v>5156957.0500000007</v>
      </c>
      <c r="I123" s="68">
        <f t="shared" si="50"/>
        <v>5104935.8000000007</v>
      </c>
      <c r="J123" s="68">
        <f t="shared" si="50"/>
        <v>4531228.97</v>
      </c>
      <c r="K123" s="68">
        <f>K15+K23+K30+K38+K44+K52+K59+K115+K121+K67+K75+K84+K91+K99+K107</f>
        <v>8276581.9999999991</v>
      </c>
      <c r="L123" s="68">
        <f>L15+L23+L30+L38+L44+L52+L59+L115+L121+L67+L75+L84+L91+L99+L107</f>
        <v>8231594.7499999991</v>
      </c>
      <c r="M123" s="68">
        <f>M15+M23+M30+M38+M44+M52+M59+M115+M121+M67+M75+M84+M91+M99+M107</f>
        <v>8353246.3199999994</v>
      </c>
      <c r="N123" s="68">
        <f>N15+N23+N30+N38+N44+N52+N59+N115+N121+N67+N75+N84+N91+N99+N107</f>
        <v>8989298.3399999999</v>
      </c>
      <c r="O123" s="51"/>
    </row>
    <row r="124" spans="2:20" x14ac:dyDescent="0.2">
      <c r="B124"/>
      <c r="F124" s="44"/>
    </row>
    <row r="125" spans="2:20" ht="18" x14ac:dyDescent="0.25">
      <c r="B125" s="188" t="s">
        <v>159</v>
      </c>
      <c r="C125" s="188"/>
      <c r="D125" s="188"/>
      <c r="E125" s="188"/>
      <c r="F125" s="188"/>
      <c r="G125" s="188"/>
      <c r="H125" s="188"/>
      <c r="I125" s="188"/>
      <c r="J125" s="188"/>
      <c r="K125" s="188"/>
      <c r="L125" s="188"/>
      <c r="M125" s="188"/>
      <c r="N125" s="188"/>
    </row>
    <row r="126" spans="2:20" ht="13.5" thickBot="1" x14ac:dyDescent="0.25">
      <c r="B126"/>
    </row>
    <row r="127" spans="2:20" ht="13.5" thickBot="1" x14ac:dyDescent="0.25">
      <c r="B127" s="69" t="s">
        <v>36</v>
      </c>
      <c r="C127" s="70" t="s">
        <v>16</v>
      </c>
      <c r="D127" s="70" t="s">
        <v>17</v>
      </c>
      <c r="E127" s="70" t="s">
        <v>18</v>
      </c>
      <c r="F127" s="70" t="s">
        <v>19</v>
      </c>
      <c r="G127" s="70" t="s">
        <v>20</v>
      </c>
      <c r="H127" s="70" t="s">
        <v>21</v>
      </c>
      <c r="I127" s="70" t="s">
        <v>22</v>
      </c>
      <c r="J127" s="70" t="s">
        <v>23</v>
      </c>
      <c r="K127" s="70" t="s">
        <v>24</v>
      </c>
      <c r="L127" s="70" t="s">
        <v>25</v>
      </c>
      <c r="M127" s="70" t="s">
        <v>26</v>
      </c>
      <c r="N127" s="70" t="s">
        <v>27</v>
      </c>
    </row>
    <row r="128" spans="2:20" x14ac:dyDescent="0.2">
      <c r="B128"/>
      <c r="Q128" s="180">
        <v>42855</v>
      </c>
    </row>
    <row r="129" spans="2:17" x14ac:dyDescent="0.2">
      <c r="B129" s="45" t="s">
        <v>113</v>
      </c>
      <c r="Q129" s="180">
        <v>43190</v>
      </c>
    </row>
    <row r="130" spans="2:17" x14ac:dyDescent="0.2">
      <c r="B130" s="81" t="s">
        <v>114</v>
      </c>
      <c r="C130" s="46">
        <f t="shared" ref="C130:N130" si="51">C15+C23+C30+C38+C52+C59</f>
        <v>4591650.18</v>
      </c>
      <c r="D130" s="46">
        <f t="shared" si="51"/>
        <v>5145829.4399999995</v>
      </c>
      <c r="E130" s="46">
        <f t="shared" si="51"/>
        <v>4814780.1500000004</v>
      </c>
      <c r="F130" s="46">
        <f t="shared" si="51"/>
        <v>2061293.85</v>
      </c>
      <c r="G130" s="46">
        <f t="shared" si="51"/>
        <v>1854326.0200000005</v>
      </c>
      <c r="H130" s="46">
        <f t="shared" si="51"/>
        <v>1595907.75</v>
      </c>
      <c r="I130" s="46">
        <f t="shared" si="51"/>
        <v>165211.29000000012</v>
      </c>
      <c r="J130" s="46">
        <f t="shared" si="51"/>
        <v>100782.23000000011</v>
      </c>
      <c r="K130" s="46">
        <f t="shared" si="51"/>
        <v>18088.470000000103</v>
      </c>
      <c r="L130" s="46">
        <f t="shared" si="51"/>
        <v>18088.470000000103</v>
      </c>
      <c r="M130" s="46">
        <f t="shared" si="51"/>
        <v>18088.470000000103</v>
      </c>
      <c r="N130" s="46">
        <f t="shared" si="51"/>
        <v>18088.470000000103</v>
      </c>
    </row>
    <row r="131" spans="2:17" x14ac:dyDescent="0.2">
      <c r="B131" s="81" t="s">
        <v>118</v>
      </c>
      <c r="C131" s="46">
        <v>250000</v>
      </c>
      <c r="D131" s="46">
        <v>250000</v>
      </c>
      <c r="E131" s="46">
        <v>250000</v>
      </c>
      <c r="F131" s="46">
        <v>250000</v>
      </c>
      <c r="G131" s="46">
        <v>250000</v>
      </c>
      <c r="H131" s="46">
        <v>250000</v>
      </c>
      <c r="I131" s="46">
        <v>250000</v>
      </c>
      <c r="J131" s="46">
        <v>250000</v>
      </c>
      <c r="K131" s="46">
        <v>250000</v>
      </c>
      <c r="L131" s="46">
        <v>250000</v>
      </c>
      <c r="M131" s="46">
        <v>250000</v>
      </c>
      <c r="N131" s="46">
        <v>250000</v>
      </c>
      <c r="Q131" s="181">
        <f>+Q129-Q128</f>
        <v>335</v>
      </c>
    </row>
    <row r="132" spans="2:17" x14ac:dyDescent="0.2">
      <c r="B132" s="81" t="s">
        <v>119</v>
      </c>
      <c r="C132" s="116">
        <v>4760673.92</v>
      </c>
      <c r="D132" s="116">
        <v>5393675.04</v>
      </c>
      <c r="E132" s="116">
        <v>5279925.97</v>
      </c>
      <c r="F132" s="116">
        <v>5279925.97</v>
      </c>
      <c r="G132" s="116">
        <v>5279925.97</v>
      </c>
      <c r="H132" s="116">
        <v>5279925.97</v>
      </c>
      <c r="I132" s="116">
        <v>0</v>
      </c>
      <c r="J132" s="116">
        <v>0</v>
      </c>
      <c r="K132" s="116">
        <v>0</v>
      </c>
      <c r="L132" s="116">
        <v>0</v>
      </c>
      <c r="M132" s="116">
        <v>0</v>
      </c>
      <c r="N132" s="116">
        <v>0</v>
      </c>
    </row>
    <row r="133" spans="2:17" x14ac:dyDescent="0.2">
      <c r="B133" s="115" t="s">
        <v>112</v>
      </c>
      <c r="C133" s="49">
        <f t="shared" ref="C133:F133" si="52">C131+C132-C130</f>
        <v>419023.74000000022</v>
      </c>
      <c r="D133" s="49">
        <f t="shared" si="52"/>
        <v>497845.60000000056</v>
      </c>
      <c r="E133" s="49">
        <f t="shared" si="52"/>
        <v>715145.81999999937</v>
      </c>
      <c r="F133" s="49">
        <f t="shared" si="52"/>
        <v>3468632.1199999996</v>
      </c>
      <c r="G133" s="49">
        <f t="shared" ref="G133:H133" si="53">G131+G132-G130</f>
        <v>3675599.9499999993</v>
      </c>
      <c r="H133" s="49">
        <f t="shared" si="53"/>
        <v>3934018.2199999997</v>
      </c>
      <c r="I133" s="49">
        <f t="shared" ref="I133:J133" si="54">I131+I132-I130</f>
        <v>84788.709999999875</v>
      </c>
      <c r="J133" s="49">
        <f t="shared" si="54"/>
        <v>149217.7699999999</v>
      </c>
      <c r="K133" s="49">
        <f t="shared" ref="K133:L133" si="55">K131+K132-K130</f>
        <v>231911.52999999991</v>
      </c>
      <c r="L133" s="49">
        <f t="shared" si="55"/>
        <v>231911.52999999991</v>
      </c>
      <c r="M133" s="49">
        <f t="shared" ref="M133:N133" si="56">M131+M132-M130</f>
        <v>231911.52999999991</v>
      </c>
      <c r="N133" s="49">
        <f t="shared" si="56"/>
        <v>231911.52999999991</v>
      </c>
    </row>
    <row r="134" spans="2:17" x14ac:dyDescent="0.2">
      <c r="B134"/>
    </row>
    <row r="135" spans="2:17" x14ac:dyDescent="0.2">
      <c r="B135" s="45" t="s">
        <v>143</v>
      </c>
    </row>
    <row r="136" spans="2:17" x14ac:dyDescent="0.2">
      <c r="B136" s="81" t="s">
        <v>114</v>
      </c>
      <c r="C136" s="46">
        <f>+C67+C75+C84+C91+C99</f>
        <v>9973.68</v>
      </c>
      <c r="D136" s="46">
        <f t="shared" ref="D136:N136" si="57">+D67+D75+D84+D91+D99</f>
        <v>191161.34</v>
      </c>
      <c r="E136" s="46">
        <f t="shared" si="57"/>
        <v>350987.86999999994</v>
      </c>
      <c r="F136" s="46">
        <f t="shared" si="57"/>
        <v>3061889.08</v>
      </c>
      <c r="G136" s="46">
        <f t="shared" si="57"/>
        <v>3259428.1</v>
      </c>
      <c r="H136" s="46">
        <f t="shared" si="57"/>
        <v>3432766.5</v>
      </c>
      <c r="I136" s="46">
        <f t="shared" si="57"/>
        <v>4465352.0600000005</v>
      </c>
      <c r="J136" s="46">
        <f t="shared" si="57"/>
        <v>4301769.1499999994</v>
      </c>
      <c r="K136" s="46">
        <f t="shared" si="57"/>
        <v>8129623.5799999991</v>
      </c>
      <c r="L136" s="46">
        <f t="shared" si="57"/>
        <v>4079634.15</v>
      </c>
      <c r="M136" s="46">
        <f t="shared" si="57"/>
        <v>4201322.7699999996</v>
      </c>
      <c r="N136" s="46">
        <f t="shared" si="57"/>
        <v>4824535.7499999991</v>
      </c>
    </row>
    <row r="137" spans="2:17" x14ac:dyDescent="0.2">
      <c r="B137" s="81" t="s">
        <v>118</v>
      </c>
      <c r="C137" s="46">
        <v>250000</v>
      </c>
      <c r="D137" s="46">
        <v>250000</v>
      </c>
      <c r="E137" s="46">
        <v>250000</v>
      </c>
      <c r="F137" s="46">
        <v>250000</v>
      </c>
      <c r="G137" s="46">
        <v>250000</v>
      </c>
      <c r="H137" s="46">
        <v>250000</v>
      </c>
      <c r="I137" s="46">
        <v>250000</v>
      </c>
      <c r="J137" s="46">
        <v>250000</v>
      </c>
      <c r="K137" s="46">
        <v>250000</v>
      </c>
      <c r="L137" s="46">
        <v>250000</v>
      </c>
      <c r="M137" s="46">
        <v>250000</v>
      </c>
      <c r="N137" s="46">
        <v>250000</v>
      </c>
    </row>
    <row r="138" spans="2:17" x14ac:dyDescent="0.2">
      <c r="B138" s="81" t="s">
        <v>119</v>
      </c>
      <c r="C138" s="116">
        <v>0</v>
      </c>
      <c r="D138" s="116">
        <v>0</v>
      </c>
      <c r="E138" s="116">
        <v>6000000</v>
      </c>
      <c r="F138" s="116">
        <v>6000000</v>
      </c>
      <c r="G138" s="116">
        <v>6000000</v>
      </c>
      <c r="H138" s="116">
        <v>6000000</v>
      </c>
      <c r="I138" s="116">
        <v>6000000</v>
      </c>
      <c r="J138" s="116">
        <v>6000000</v>
      </c>
      <c r="K138" s="116">
        <v>6000000</v>
      </c>
      <c r="L138" s="116">
        <v>6000000</v>
      </c>
      <c r="M138" s="116">
        <v>6000000</v>
      </c>
      <c r="N138" s="116">
        <v>6000000</v>
      </c>
    </row>
    <row r="139" spans="2:17" x14ac:dyDescent="0.2">
      <c r="B139" s="115" t="s">
        <v>112</v>
      </c>
      <c r="C139" s="49">
        <f t="shared" ref="C139" si="58">C137+C138-C136</f>
        <v>240026.32</v>
      </c>
      <c r="D139" s="49">
        <f t="shared" ref="D139:N139" si="59">D137+D138-D136</f>
        <v>58838.66</v>
      </c>
      <c r="E139" s="49">
        <f t="shared" si="59"/>
        <v>5899012.1299999999</v>
      </c>
      <c r="F139" s="49">
        <f t="shared" si="59"/>
        <v>3188110.92</v>
      </c>
      <c r="G139" s="49">
        <f t="shared" si="59"/>
        <v>2990571.9</v>
      </c>
      <c r="H139" s="49">
        <f t="shared" si="59"/>
        <v>2817233.5</v>
      </c>
      <c r="I139" s="49">
        <f t="shared" si="59"/>
        <v>1784647.9399999995</v>
      </c>
      <c r="J139" s="49">
        <f t="shared" si="59"/>
        <v>1948230.8500000006</v>
      </c>
      <c r="K139" s="49">
        <f t="shared" si="59"/>
        <v>-1879623.5799999991</v>
      </c>
      <c r="L139" s="49">
        <f t="shared" si="59"/>
        <v>2170365.85</v>
      </c>
      <c r="M139" s="49">
        <f t="shared" si="59"/>
        <v>2048677.2300000004</v>
      </c>
      <c r="N139" s="49">
        <f t="shared" si="59"/>
        <v>1425464.2500000009</v>
      </c>
    </row>
    <row r="140" spans="2:17" x14ac:dyDescent="0.2">
      <c r="B140" s="118"/>
      <c r="C140" s="59"/>
      <c r="D140" s="59"/>
      <c r="E140" s="59"/>
      <c r="F140" s="59"/>
      <c r="G140" s="59"/>
      <c r="H140" s="59"/>
      <c r="I140" s="59"/>
      <c r="J140" s="59"/>
      <c r="K140" s="59"/>
      <c r="L140" s="59"/>
      <c r="M140" s="59"/>
      <c r="N140" s="59"/>
    </row>
    <row r="141" spans="2:17" x14ac:dyDescent="0.2">
      <c r="B141" s="45" t="s">
        <v>116</v>
      </c>
    </row>
    <row r="142" spans="2:17" x14ac:dyDescent="0.2">
      <c r="B142" s="81" t="s">
        <v>114</v>
      </c>
      <c r="C142" s="46">
        <f t="shared" ref="C142:F142" si="60">C115</f>
        <v>3400.27</v>
      </c>
      <c r="D142" s="46">
        <f t="shared" si="60"/>
        <v>3400.27</v>
      </c>
      <c r="E142" s="46">
        <f t="shared" si="60"/>
        <v>3400.27</v>
      </c>
      <c r="F142" s="46">
        <f t="shared" si="60"/>
        <v>3400.27</v>
      </c>
      <c r="G142" s="46">
        <f t="shared" ref="G142:H142" si="61">G115</f>
        <v>3400.27</v>
      </c>
      <c r="H142" s="46">
        <f t="shared" si="61"/>
        <v>3400.27</v>
      </c>
      <c r="I142" s="46">
        <f t="shared" ref="I142:J142" si="62">I115</f>
        <v>349233.10000000003</v>
      </c>
      <c r="J142" s="46">
        <f t="shared" si="62"/>
        <v>3385.3200000000188</v>
      </c>
      <c r="K142" s="46">
        <f t="shared" ref="K142:L142" si="63">K115</f>
        <v>3385.4000000000187</v>
      </c>
      <c r="L142" s="46">
        <f t="shared" si="63"/>
        <v>3386.3000000000188</v>
      </c>
      <c r="M142" s="46">
        <f t="shared" ref="M142:N142" si="64">M115</f>
        <v>3386.3000000000188</v>
      </c>
      <c r="N142" s="46">
        <f t="shared" si="64"/>
        <v>3385.5700000000188</v>
      </c>
    </row>
    <row r="143" spans="2:17" x14ac:dyDescent="0.2">
      <c r="B143" s="81" t="s">
        <v>118</v>
      </c>
      <c r="C143" s="116">
        <v>250000</v>
      </c>
      <c r="D143" s="116">
        <v>250000</v>
      </c>
      <c r="E143" s="116">
        <v>250000</v>
      </c>
      <c r="F143" s="116">
        <v>250000</v>
      </c>
      <c r="G143" s="116">
        <v>250000</v>
      </c>
      <c r="H143" s="116">
        <v>250000</v>
      </c>
      <c r="I143" s="116">
        <v>250000</v>
      </c>
      <c r="J143" s="116">
        <v>250000</v>
      </c>
      <c r="K143" s="116">
        <v>250000</v>
      </c>
      <c r="L143" s="116">
        <v>250000</v>
      </c>
      <c r="M143" s="116">
        <v>250000</v>
      </c>
      <c r="N143" s="116">
        <v>250000</v>
      </c>
    </row>
    <row r="144" spans="2:17" x14ac:dyDescent="0.2">
      <c r="B144" s="115" t="s">
        <v>112</v>
      </c>
      <c r="C144" s="117">
        <f t="shared" ref="C144:F144" si="65">C143-C142</f>
        <v>246599.73</v>
      </c>
      <c r="D144" s="117">
        <f t="shared" si="65"/>
        <v>246599.73</v>
      </c>
      <c r="E144" s="117">
        <f t="shared" si="65"/>
        <v>246599.73</v>
      </c>
      <c r="F144" s="117">
        <f t="shared" si="65"/>
        <v>246599.73</v>
      </c>
      <c r="G144" s="117">
        <f t="shared" ref="G144:H144" si="66">G143-G142</f>
        <v>246599.73</v>
      </c>
      <c r="H144" s="117">
        <f t="shared" si="66"/>
        <v>246599.73</v>
      </c>
      <c r="I144" s="117">
        <f t="shared" ref="I144:J144" si="67">I143-I142</f>
        <v>-99233.100000000035</v>
      </c>
      <c r="J144" s="117">
        <f t="shared" si="67"/>
        <v>246614.68</v>
      </c>
      <c r="K144" s="117">
        <f t="shared" ref="K144:L144" si="68">K143-K142</f>
        <v>246614.59999999998</v>
      </c>
      <c r="L144" s="117">
        <f t="shared" si="68"/>
        <v>246613.69999999998</v>
      </c>
      <c r="M144" s="117">
        <f t="shared" ref="M144:N144" si="69">M143-M142</f>
        <v>246613.69999999998</v>
      </c>
      <c r="N144" s="117">
        <f t="shared" si="69"/>
        <v>246614.43</v>
      </c>
    </row>
    <row r="145" spans="1:42" x14ac:dyDescent="0.2">
      <c r="B145" s="118"/>
      <c r="C145" s="119"/>
      <c r="D145" s="52"/>
      <c r="E145" s="52"/>
      <c r="F145" s="52"/>
      <c r="G145" s="52"/>
      <c r="H145" s="52"/>
      <c r="I145" s="52"/>
      <c r="J145" s="52"/>
      <c r="K145" s="52"/>
      <c r="L145" s="52"/>
      <c r="M145" s="52"/>
      <c r="N145" s="52"/>
    </row>
    <row r="146" spans="1:42" x14ac:dyDescent="0.2">
      <c r="B146" s="45" t="s">
        <v>117</v>
      </c>
    </row>
    <row r="147" spans="1:42" x14ac:dyDescent="0.2">
      <c r="B147" s="81" t="s">
        <v>114</v>
      </c>
      <c r="C147" s="46">
        <f t="shared" ref="C147:F147" si="70">C121</f>
        <v>123174.1</v>
      </c>
      <c r="D147" s="46">
        <f t="shared" si="70"/>
        <v>123295.70000000001</v>
      </c>
      <c r="E147" s="46">
        <f t="shared" si="70"/>
        <v>123409.14000000001</v>
      </c>
      <c r="F147" s="46">
        <f t="shared" si="70"/>
        <v>123535.12000000001</v>
      </c>
      <c r="G147" s="46">
        <f t="shared" ref="G147:H147" si="71">G121</f>
        <v>123678.07</v>
      </c>
      <c r="H147" s="46">
        <f t="shared" si="71"/>
        <v>123879.34000000001</v>
      </c>
      <c r="I147" s="46">
        <f t="shared" ref="I147:J147" si="72">I121</f>
        <v>124087.66000000002</v>
      </c>
      <c r="J147" s="46">
        <f t="shared" si="72"/>
        <v>124296.33000000002</v>
      </c>
      <c r="K147" s="46">
        <f t="shared" ref="K147:L147" si="73">K121</f>
        <v>124498.61000000002</v>
      </c>
      <c r="L147" s="46">
        <f t="shared" si="73"/>
        <v>124707.97000000002</v>
      </c>
      <c r="M147" s="46">
        <f t="shared" ref="M147:N147" si="74">M121</f>
        <v>124910.92000000001</v>
      </c>
      <c r="N147" s="46">
        <f t="shared" si="74"/>
        <v>125120.98000000001</v>
      </c>
    </row>
    <row r="148" spans="1:42" x14ac:dyDescent="0.2">
      <c r="B148" s="81" t="s">
        <v>115</v>
      </c>
      <c r="C148" s="116">
        <v>250000</v>
      </c>
      <c r="D148" s="116">
        <v>250000</v>
      </c>
      <c r="E148" s="116">
        <v>250000</v>
      </c>
      <c r="F148" s="116">
        <v>250000</v>
      </c>
      <c r="G148" s="116">
        <v>250000</v>
      </c>
      <c r="H148" s="116">
        <v>250000</v>
      </c>
      <c r="I148" s="116">
        <v>250000</v>
      </c>
      <c r="J148" s="116">
        <v>250000</v>
      </c>
      <c r="K148" s="116">
        <v>250000</v>
      </c>
      <c r="L148" s="116">
        <v>250000</v>
      </c>
      <c r="M148" s="116">
        <v>250000</v>
      </c>
      <c r="N148" s="116">
        <v>250000</v>
      </c>
    </row>
    <row r="149" spans="1:42" x14ac:dyDescent="0.2">
      <c r="B149" s="115" t="s">
        <v>112</v>
      </c>
      <c r="C149" s="117">
        <f t="shared" ref="C149:F149" si="75">C148-C147</f>
        <v>126825.9</v>
      </c>
      <c r="D149" s="117">
        <f t="shared" si="75"/>
        <v>126704.29999999999</v>
      </c>
      <c r="E149" s="117">
        <f t="shared" si="75"/>
        <v>126590.85999999999</v>
      </c>
      <c r="F149" s="117">
        <f t="shared" si="75"/>
        <v>126464.87999999999</v>
      </c>
      <c r="G149" s="117">
        <f t="shared" ref="G149:H149" si="76">G148-G147</f>
        <v>126321.93</v>
      </c>
      <c r="H149" s="117">
        <f t="shared" si="76"/>
        <v>126120.65999999999</v>
      </c>
      <c r="I149" s="117">
        <f t="shared" ref="I149:J149" si="77">I148-I147</f>
        <v>125912.33999999998</v>
      </c>
      <c r="J149" s="117">
        <f t="shared" si="77"/>
        <v>125703.66999999998</v>
      </c>
      <c r="K149" s="117">
        <f t="shared" ref="K149:L149" si="78">K148-K147</f>
        <v>125501.38999999998</v>
      </c>
      <c r="L149" s="117">
        <f t="shared" si="78"/>
        <v>125292.02999999998</v>
      </c>
      <c r="M149" s="117">
        <f t="shared" ref="M149:N149" si="79">M148-M147</f>
        <v>125089.07999999999</v>
      </c>
      <c r="N149" s="117">
        <f t="shared" si="79"/>
        <v>124879.01999999999</v>
      </c>
    </row>
    <row r="150" spans="1:42" x14ac:dyDescent="0.2">
      <c r="B150" s="118"/>
      <c r="C150" s="119"/>
      <c r="D150" s="52"/>
      <c r="E150" s="52"/>
      <c r="F150" s="52"/>
      <c r="G150" s="52"/>
      <c r="H150" s="52"/>
      <c r="I150" s="52"/>
      <c r="J150" s="52"/>
      <c r="K150" s="52"/>
      <c r="L150" s="52"/>
      <c r="M150" s="52"/>
      <c r="N150" s="52"/>
    </row>
    <row r="151" spans="1:42" ht="18" x14ac:dyDescent="0.25">
      <c r="B151" s="188" t="s">
        <v>160</v>
      </c>
      <c r="C151" s="188"/>
      <c r="D151" s="188"/>
      <c r="E151" s="188"/>
      <c r="F151" s="188"/>
      <c r="G151" s="188"/>
      <c r="H151" s="188"/>
      <c r="I151" s="188"/>
      <c r="J151" s="188"/>
      <c r="K151" s="188"/>
      <c r="L151" s="188"/>
      <c r="M151" s="188"/>
      <c r="N151" s="188"/>
    </row>
    <row r="152" spans="1:42" ht="13.5" thickBot="1" x14ac:dyDescent="0.25">
      <c r="B152"/>
    </row>
    <row r="153" spans="1:42" ht="13.5" thickBot="1" x14ac:dyDescent="0.25">
      <c r="B153" s="69" t="s">
        <v>36</v>
      </c>
      <c r="C153" s="70" t="s">
        <v>16</v>
      </c>
      <c r="D153" s="70" t="s">
        <v>17</v>
      </c>
      <c r="E153" s="70" t="s">
        <v>18</v>
      </c>
      <c r="F153" s="70" t="s">
        <v>19</v>
      </c>
      <c r="G153" s="70" t="s">
        <v>20</v>
      </c>
      <c r="H153" s="70" t="s">
        <v>21</v>
      </c>
      <c r="I153" s="70" t="s">
        <v>22</v>
      </c>
      <c r="J153" s="70" t="s">
        <v>23</v>
      </c>
      <c r="K153" s="70" t="s">
        <v>24</v>
      </c>
      <c r="L153" s="70" t="s">
        <v>25</v>
      </c>
      <c r="M153" s="70" t="s">
        <v>26</v>
      </c>
      <c r="N153" s="70" t="s">
        <v>27</v>
      </c>
    </row>
    <row r="154" spans="1:42" x14ac:dyDescent="0.2">
      <c r="B154" s="9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</row>
    <row r="155" spans="1:42" x14ac:dyDescent="0.2">
      <c r="B155" s="71">
        <v>2003</v>
      </c>
      <c r="C155" s="72">
        <v>696336.94</v>
      </c>
      <c r="D155" s="72">
        <v>870487.72</v>
      </c>
      <c r="E155" s="72">
        <v>849735.46</v>
      </c>
      <c r="F155" s="72">
        <v>822859.39</v>
      </c>
      <c r="G155" s="72">
        <v>778509.05</v>
      </c>
      <c r="H155" s="72">
        <v>728284.78</v>
      </c>
      <c r="I155" s="72">
        <v>650784.14</v>
      </c>
      <c r="J155" s="72">
        <v>609454.48</v>
      </c>
      <c r="K155" s="72">
        <v>534324.65</v>
      </c>
      <c r="L155" s="72">
        <v>457489.13</v>
      </c>
      <c r="M155" s="72">
        <v>437431</v>
      </c>
      <c r="N155" s="72">
        <v>517072.99</v>
      </c>
    </row>
    <row r="156" spans="1:42" s="45" customFormat="1" x14ac:dyDescent="0.2">
      <c r="A156" s="132"/>
      <c r="B156" s="71" t="s">
        <v>28</v>
      </c>
      <c r="C156" s="72">
        <v>853751.26</v>
      </c>
      <c r="D156" s="72">
        <v>1064598.6100000001</v>
      </c>
      <c r="E156" s="72">
        <v>973151.64</v>
      </c>
      <c r="F156" s="72">
        <v>898541.01</v>
      </c>
      <c r="G156" s="72">
        <v>861392.09</v>
      </c>
      <c r="H156" s="72">
        <v>823317.92</v>
      </c>
      <c r="I156" s="72">
        <v>772521.07</v>
      </c>
      <c r="J156" s="72">
        <v>741798.25</v>
      </c>
      <c r="K156" s="72">
        <v>686949.39</v>
      </c>
      <c r="L156" s="72">
        <v>614536.43999999994</v>
      </c>
      <c r="M156" s="72">
        <v>615473.77</v>
      </c>
      <c r="N156" s="72">
        <v>827598.69</v>
      </c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</row>
    <row r="157" spans="1:42" x14ac:dyDescent="0.2">
      <c r="B157" s="71" t="s">
        <v>29</v>
      </c>
      <c r="C157" s="72">
        <v>1092342.77</v>
      </c>
      <c r="D157" s="72">
        <v>1309894.1499999999</v>
      </c>
      <c r="E157" s="72">
        <v>1285824.67</v>
      </c>
      <c r="F157" s="72">
        <v>1230164.45</v>
      </c>
      <c r="G157" s="72">
        <v>1196782.8500000001</v>
      </c>
      <c r="H157" s="72">
        <v>1172538.3600000001</v>
      </c>
      <c r="I157" s="72">
        <v>1129069.76</v>
      </c>
      <c r="J157" s="72">
        <v>1094718.3400000001</v>
      </c>
      <c r="K157" s="72">
        <v>1063040.76</v>
      </c>
      <c r="L157" s="72">
        <v>980066.52</v>
      </c>
      <c r="M157" s="72">
        <v>938862.85</v>
      </c>
      <c r="N157" s="72">
        <v>966579.11</v>
      </c>
    </row>
    <row r="158" spans="1:42" x14ac:dyDescent="0.2">
      <c r="B158" s="73" t="s">
        <v>30</v>
      </c>
      <c r="C158" s="72">
        <v>1449758.57</v>
      </c>
      <c r="D158" s="72">
        <v>1639708.11</v>
      </c>
      <c r="E158" s="72">
        <v>1626495.07</v>
      </c>
      <c r="F158" s="72">
        <v>1598404.89</v>
      </c>
      <c r="G158" s="72">
        <v>1581600.76</v>
      </c>
      <c r="H158" s="72">
        <v>1537226.82</v>
      </c>
      <c r="I158" s="72">
        <v>1491826.06</v>
      </c>
      <c r="J158" s="72">
        <v>1465928.04</v>
      </c>
      <c r="K158" s="72">
        <v>1437482.16</v>
      </c>
      <c r="L158" s="72">
        <v>1353526.48</v>
      </c>
      <c r="M158" s="72">
        <v>1299013.32</v>
      </c>
      <c r="N158" s="72">
        <v>1405615.31</v>
      </c>
      <c r="O158" s="51"/>
    </row>
    <row r="159" spans="1:42" x14ac:dyDescent="0.2">
      <c r="B159" s="71" t="s">
        <v>33</v>
      </c>
      <c r="C159" s="72">
        <v>1781151.28</v>
      </c>
      <c r="D159" s="72">
        <v>1849926.88</v>
      </c>
      <c r="E159" s="72">
        <v>1804064.55</v>
      </c>
      <c r="F159" s="72">
        <v>1762645.17</v>
      </c>
      <c r="G159" s="72">
        <v>1751416.3</v>
      </c>
      <c r="H159" s="72">
        <v>1712796.5</v>
      </c>
      <c r="I159" s="72">
        <v>1589166.69</v>
      </c>
      <c r="J159" s="72">
        <v>1521484.82</v>
      </c>
      <c r="K159" s="72">
        <v>1441548.69</v>
      </c>
      <c r="L159" s="72">
        <v>1368322.57</v>
      </c>
      <c r="M159" s="72">
        <v>1267350.01</v>
      </c>
      <c r="N159" s="72">
        <v>1354330.15</v>
      </c>
      <c r="O159" s="52"/>
    </row>
    <row r="160" spans="1:42" x14ac:dyDescent="0.2">
      <c r="B160" s="71" t="s">
        <v>40</v>
      </c>
      <c r="C160" s="72">
        <v>1776004.19</v>
      </c>
      <c r="D160" s="72">
        <v>1955150.4</v>
      </c>
      <c r="E160" s="72">
        <v>1899862.63</v>
      </c>
      <c r="F160" s="72">
        <v>1859905.56</v>
      </c>
      <c r="G160" s="72">
        <v>1791882.29</v>
      </c>
      <c r="H160" s="72">
        <v>1748976.13</v>
      </c>
      <c r="I160" s="72">
        <v>1612811.49</v>
      </c>
      <c r="J160" s="72">
        <v>1560382.79</v>
      </c>
      <c r="K160" s="72">
        <v>1588944.79</v>
      </c>
      <c r="L160" s="72">
        <v>1389338.76</v>
      </c>
      <c r="M160" s="72">
        <v>1296282.05</v>
      </c>
      <c r="N160" s="72">
        <v>1309130.18</v>
      </c>
      <c r="O160" s="52"/>
    </row>
    <row r="161" spans="2:14" x14ac:dyDescent="0.2">
      <c r="B161" s="71" t="s">
        <v>44</v>
      </c>
      <c r="C161" s="72">
        <v>1742289.53</v>
      </c>
      <c r="D161" s="72">
        <v>2038970.66</v>
      </c>
      <c r="E161" s="72">
        <v>2029979.3</v>
      </c>
      <c r="F161" s="72">
        <v>1966999.27</v>
      </c>
      <c r="G161" s="72">
        <v>1897091.66</v>
      </c>
      <c r="H161" s="72">
        <v>1860031.09</v>
      </c>
      <c r="I161" s="72">
        <v>1211972.6000000001</v>
      </c>
      <c r="J161" s="72">
        <v>1124268.47</v>
      </c>
      <c r="K161" s="72">
        <v>1052577.2</v>
      </c>
      <c r="L161" s="72">
        <v>1110529.6499999999</v>
      </c>
      <c r="M161" s="72">
        <v>1057543.83</v>
      </c>
      <c r="N161" s="72">
        <v>1237575.6100000001</v>
      </c>
    </row>
    <row r="162" spans="2:14" x14ac:dyDescent="0.2">
      <c r="B162" s="71" t="s">
        <v>57</v>
      </c>
      <c r="C162" s="72">
        <v>1670880.75</v>
      </c>
      <c r="D162" s="72">
        <v>2009963.98</v>
      </c>
      <c r="E162" s="72">
        <v>2035770.87</v>
      </c>
      <c r="F162" s="72">
        <v>2016304.84</v>
      </c>
      <c r="G162" s="72">
        <v>1964316.97</v>
      </c>
      <c r="H162" s="72">
        <v>1865461.64</v>
      </c>
      <c r="I162" s="72">
        <v>1343767.41</v>
      </c>
      <c r="J162" s="72">
        <v>1184678.1399999999</v>
      </c>
      <c r="K162" s="72">
        <v>1064857.75</v>
      </c>
      <c r="L162" s="72">
        <v>941603.95</v>
      </c>
      <c r="M162" s="72">
        <v>1151630.1100000001</v>
      </c>
      <c r="N162" s="72">
        <v>1337292.8999999999</v>
      </c>
    </row>
    <row r="163" spans="2:14" x14ac:dyDescent="0.2">
      <c r="B163" s="71" t="s">
        <v>89</v>
      </c>
      <c r="C163" s="72">
        <v>1776477.32</v>
      </c>
      <c r="D163" s="72">
        <v>2027326.7</v>
      </c>
      <c r="E163" s="72">
        <v>1932600.13</v>
      </c>
      <c r="F163" s="72">
        <v>1834293.21</v>
      </c>
      <c r="G163" s="72">
        <v>1706567.67</v>
      </c>
      <c r="H163" s="72">
        <v>1178372.52</v>
      </c>
      <c r="I163" s="72">
        <v>1072100.8999999999</v>
      </c>
      <c r="J163" s="72">
        <v>1006906.06</v>
      </c>
      <c r="K163" s="72">
        <v>902521.17</v>
      </c>
      <c r="L163" s="72">
        <v>771581.55</v>
      </c>
      <c r="M163" s="72">
        <v>753053.88</v>
      </c>
      <c r="N163" s="72">
        <v>1037408.94</v>
      </c>
    </row>
    <row r="164" spans="2:14" x14ac:dyDescent="0.2">
      <c r="B164" s="71" t="s">
        <v>94</v>
      </c>
      <c r="C164" s="72">
        <v>1808196.25</v>
      </c>
      <c r="D164" s="72">
        <v>2112929.39</v>
      </c>
      <c r="E164" s="72">
        <v>2069173.95</v>
      </c>
      <c r="F164" s="72">
        <v>1971591.55</v>
      </c>
      <c r="G164" s="72">
        <v>1847450.82</v>
      </c>
      <c r="H164" s="72">
        <v>1731625.53</v>
      </c>
      <c r="I164" s="72">
        <v>1238913.77</v>
      </c>
      <c r="J164" s="72">
        <v>1122060.6299999999</v>
      </c>
      <c r="K164" s="72">
        <v>1061349.29</v>
      </c>
      <c r="L164" s="72">
        <v>954424.56</v>
      </c>
      <c r="M164" s="72">
        <v>870713.09</v>
      </c>
      <c r="N164" s="72">
        <v>1191818.6599999999</v>
      </c>
    </row>
    <row r="165" spans="2:14" x14ac:dyDescent="0.2">
      <c r="B165" s="71" t="s">
        <v>97</v>
      </c>
      <c r="C165" s="72">
        <v>1928564.07</v>
      </c>
      <c r="D165" s="72">
        <v>2326438.94</v>
      </c>
      <c r="E165" s="72">
        <v>2207219.15</v>
      </c>
      <c r="F165" s="72">
        <v>2096942.67</v>
      </c>
      <c r="G165" s="72">
        <v>1949136.32</v>
      </c>
      <c r="H165" s="72">
        <v>1847424.36</v>
      </c>
      <c r="I165" s="72">
        <v>1285314.45</v>
      </c>
      <c r="J165" s="72">
        <v>1205988.95</v>
      </c>
      <c r="K165" s="72">
        <v>1088140.71</v>
      </c>
      <c r="L165" s="72">
        <v>942806.82</v>
      </c>
      <c r="M165" s="72">
        <v>921240.55</v>
      </c>
      <c r="N165" s="72">
        <v>1233401.8799999999</v>
      </c>
    </row>
    <row r="166" spans="2:14" x14ac:dyDescent="0.2">
      <c r="B166" s="71" t="s">
        <v>110</v>
      </c>
      <c r="C166" s="72">
        <v>1971094.38</v>
      </c>
      <c r="D166" s="72">
        <v>2638458.2000000002</v>
      </c>
      <c r="E166" s="72">
        <v>2593266.2799999998</v>
      </c>
      <c r="F166" s="72">
        <v>2524029.86</v>
      </c>
      <c r="G166" s="72">
        <v>2429491.83</v>
      </c>
      <c r="H166" s="72">
        <v>2374197.39</v>
      </c>
      <c r="I166" s="72">
        <v>1968976.27</v>
      </c>
      <c r="J166" s="72">
        <v>1904657.43</v>
      </c>
      <c r="K166" s="72">
        <v>1720656.11</v>
      </c>
      <c r="L166" s="72">
        <v>1599841.23</v>
      </c>
      <c r="M166" s="72">
        <v>1626290.19</v>
      </c>
      <c r="N166" s="72">
        <v>2170026.1</v>
      </c>
    </row>
    <row r="167" spans="2:14" x14ac:dyDescent="0.2">
      <c r="B167" s="71" t="s">
        <v>120</v>
      </c>
      <c r="C167" s="72">
        <v>2645434.9500000002</v>
      </c>
      <c r="D167" s="72">
        <v>3377080.75</v>
      </c>
      <c r="E167" s="72">
        <v>3343428.18</v>
      </c>
      <c r="F167" s="72">
        <v>3241640.83</v>
      </c>
      <c r="G167" s="72">
        <v>3190840.55</v>
      </c>
      <c r="H167" s="72">
        <v>3226311.02</v>
      </c>
      <c r="I167" s="72">
        <v>3145966.52</v>
      </c>
      <c r="J167" s="72">
        <v>2828137.44</v>
      </c>
      <c r="K167" s="72">
        <v>2758003.96</v>
      </c>
      <c r="L167" s="72">
        <v>2663266.48</v>
      </c>
      <c r="M167" s="72">
        <v>2679132.2599999998</v>
      </c>
      <c r="N167" s="72">
        <v>2927138.26</v>
      </c>
    </row>
    <row r="168" spans="2:14" x14ac:dyDescent="0.2">
      <c r="B168" s="71" t="s">
        <v>124</v>
      </c>
      <c r="C168" s="72">
        <v>3794748.34</v>
      </c>
      <c r="D168" s="72">
        <v>4528706.87</v>
      </c>
      <c r="E168" s="72">
        <v>3283965.8</v>
      </c>
      <c r="F168" s="72">
        <v>3232710.04</v>
      </c>
      <c r="G168" s="72">
        <v>3182370.3</v>
      </c>
      <c r="H168" s="72">
        <v>3154808.23</v>
      </c>
      <c r="I168" s="72">
        <v>2683930.1800000002</v>
      </c>
      <c r="J168" s="72">
        <v>2689008.68</v>
      </c>
      <c r="K168" s="72">
        <v>2574196.1</v>
      </c>
      <c r="L168" s="72">
        <v>2523304.62</v>
      </c>
      <c r="M168" s="72">
        <v>2488519.8199999998</v>
      </c>
      <c r="N168" s="72">
        <v>2805915.99</v>
      </c>
    </row>
    <row r="169" spans="2:14" x14ac:dyDescent="0.2">
      <c r="B169" s="71" t="s">
        <v>134</v>
      </c>
      <c r="C169" s="72">
        <v>3842583.68</v>
      </c>
      <c r="D169" s="72">
        <v>4303863.6100000003</v>
      </c>
      <c r="E169" s="72">
        <v>3767231.7</v>
      </c>
      <c r="F169" s="72">
        <v>3730690.77</v>
      </c>
      <c r="G169" s="72">
        <v>3694576.11</v>
      </c>
      <c r="H169" s="72">
        <v>3680994.04</v>
      </c>
      <c r="I169" s="72">
        <v>3256150.5999999996</v>
      </c>
      <c r="J169" s="72">
        <v>3173539.83</v>
      </c>
      <c r="K169" s="72">
        <v>3060295.83</v>
      </c>
      <c r="L169" s="72">
        <v>3089233.36</v>
      </c>
      <c r="M169" s="72">
        <v>3083951.78</v>
      </c>
      <c r="N169" s="72">
        <v>3842583.68</v>
      </c>
    </row>
    <row r="170" spans="2:14" x14ac:dyDescent="0.2">
      <c r="B170" s="71" t="s">
        <v>149</v>
      </c>
      <c r="C170" s="72">
        <f t="shared" ref="C170:I170" si="80">+C123</f>
        <v>4728932.8299999991</v>
      </c>
      <c r="D170" s="72">
        <f t="shared" si="80"/>
        <v>5465845.3499999987</v>
      </c>
      <c r="E170" s="72">
        <f t="shared" si="80"/>
        <v>5293711.0299999984</v>
      </c>
      <c r="F170" s="72">
        <f t="shared" si="80"/>
        <v>5251185.42</v>
      </c>
      <c r="G170" s="72">
        <f t="shared" si="80"/>
        <v>5241860.6500000004</v>
      </c>
      <c r="H170" s="72">
        <f t="shared" si="80"/>
        <v>5156957.0500000007</v>
      </c>
      <c r="I170" s="72">
        <f t="shared" si="80"/>
        <v>5104935.8000000007</v>
      </c>
      <c r="J170" s="72">
        <f>J123</f>
        <v>4531228.97</v>
      </c>
      <c r="K170" s="72">
        <f>K123</f>
        <v>8276581.9999999991</v>
      </c>
      <c r="L170" s="72">
        <f>L123</f>
        <v>8231594.7499999991</v>
      </c>
      <c r="M170" s="72">
        <f>M123</f>
        <v>8353246.3199999994</v>
      </c>
      <c r="N170" s="72">
        <f>N123</f>
        <v>8989298.3399999999</v>
      </c>
    </row>
    <row r="171" spans="2:14" x14ac:dyDescent="0.2">
      <c r="B171" s="176"/>
      <c r="C171" s="177"/>
      <c r="D171" s="177"/>
      <c r="E171" s="177"/>
      <c r="F171" s="177"/>
      <c r="G171" s="177"/>
      <c r="H171" s="177"/>
      <c r="I171" s="177"/>
      <c r="J171" s="177"/>
      <c r="K171" s="177"/>
      <c r="L171" s="177"/>
      <c r="M171" s="177"/>
      <c r="N171" s="177"/>
    </row>
    <row r="172" spans="2:14" ht="13.5" thickBot="1" x14ac:dyDescent="0.25">
      <c r="B172" s="19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</row>
    <row r="173" spans="2:14" ht="13.5" thickBot="1" x14ac:dyDescent="0.25">
      <c r="B173" s="74" t="s">
        <v>158</v>
      </c>
      <c r="C173" s="75">
        <f t="shared" ref="C173:N173" si="81">C170-C169</f>
        <v>886349.14999999898</v>
      </c>
      <c r="D173" s="75">
        <f t="shared" si="81"/>
        <v>1161981.7399999984</v>
      </c>
      <c r="E173" s="75">
        <f t="shared" si="81"/>
        <v>1526479.3299999982</v>
      </c>
      <c r="F173" s="75">
        <f t="shared" si="81"/>
        <v>1520494.65</v>
      </c>
      <c r="G173" s="75">
        <f t="shared" si="81"/>
        <v>1547284.5400000005</v>
      </c>
      <c r="H173" s="75">
        <f t="shared" si="81"/>
        <v>1475963.0100000007</v>
      </c>
      <c r="I173" s="75">
        <f t="shared" si="81"/>
        <v>1848785.2000000011</v>
      </c>
      <c r="J173" s="75">
        <f t="shared" si="81"/>
        <v>1357689.1399999997</v>
      </c>
      <c r="K173" s="75">
        <f t="shared" si="81"/>
        <v>5216286.169999999</v>
      </c>
      <c r="L173" s="75">
        <f t="shared" si="81"/>
        <v>5142361.3899999987</v>
      </c>
      <c r="M173" s="75">
        <f t="shared" si="81"/>
        <v>5269294.5399999991</v>
      </c>
      <c r="N173" s="75">
        <f t="shared" si="81"/>
        <v>5146714.66</v>
      </c>
    </row>
  </sheetData>
  <mergeCells count="2">
    <mergeCell ref="B151:N151"/>
    <mergeCell ref="B125:N125"/>
  </mergeCells>
  <phoneticPr fontId="0" type="noConversion"/>
  <printOptions horizontalCentered="1"/>
  <pageMargins left="0.5" right="0.5" top="0.91" bottom="0.7" header="0.41" footer="0.31"/>
  <pageSetup scale="55" fitToHeight="0" orientation="landscape" r:id="rId1"/>
  <headerFooter alignWithMargins="0">
    <oddHeader>&amp;C&amp;"Arial,Bold"&amp;18HCESD #29
2018 Bank Account Summary</oddHeader>
    <oddFooter>&amp;L&amp;8&amp;F
&amp;A&amp;C&amp;9&amp;P of &amp;N</oddFooter>
  </headerFooter>
  <rowBreaks count="2" manualBreakCount="2">
    <brk id="67" max="14" man="1"/>
    <brk id="1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2018 YTD Cash Summary</vt:lpstr>
      <vt:lpstr>2018 Budget Year Report</vt:lpstr>
      <vt:lpstr>2018 Fire Operations Report</vt:lpstr>
      <vt:lpstr>Bank Acct Summary</vt:lpstr>
      <vt:lpstr>Cash Asset Summary Chart</vt:lpstr>
      <vt:lpstr>'2018 Budget Year Report'!Print_Area</vt:lpstr>
      <vt:lpstr>'2018 Fire Operations Report'!Print_Area</vt:lpstr>
      <vt:lpstr>'2018 YTD Cash Summary'!Print_Area</vt:lpstr>
      <vt:lpstr>'Bank Acct Summary'!Print_Area</vt:lpstr>
      <vt:lpstr>'2018 Budget Year Report'!Print_Titles</vt:lpstr>
      <vt:lpstr>'2018 YTD Cash Summary'!Print_Titles</vt:lpstr>
      <vt:lpstr>'Bank Acct Summary'!Print_Titles</vt:lpstr>
    </vt:vector>
  </TitlesOfParts>
  <Company>Independence Blue Cross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Russell Coenen</dc:creator>
  <cp:lastModifiedBy>Dan Shelor</cp:lastModifiedBy>
  <cp:lastPrinted>2019-02-04T19:52:26Z</cp:lastPrinted>
  <dcterms:created xsi:type="dcterms:W3CDTF">2001-04-17T22:22:46Z</dcterms:created>
  <dcterms:modified xsi:type="dcterms:W3CDTF">2019-02-04T21:48:58Z</dcterms:modified>
</cp:coreProperties>
</file>