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fdb645f7ef677a6/Onedrive al 28-02-2025/PM ^0 ASOCIADOS/Web Patty/GoDaddy (pattymoreno info)/Archivos para descargas/Modelos Liquidacion de  Sueldo/"/>
    </mc:Choice>
  </mc:AlternateContent>
  <xr:revisionPtr revIDLastSave="181" documentId="8_{647D323C-ED04-4AD7-9C88-103E5F8C57E4}" xr6:coauthVersionLast="47" xr6:coauthVersionMax="47" xr10:uidLastSave="{2C1B508F-5D45-4670-98E0-A8AE64DA7805}"/>
  <bookViews>
    <workbookView xWindow="30015" yWindow="1890" windowWidth="21600" windowHeight="11295" xr2:uid="{DBE064C8-F6D4-4F64-AF4A-70EE19060D64}"/>
  </bookViews>
  <sheets>
    <sheet name="Casa Particular" sheetId="1" r:id="rId1"/>
    <sheet name="1%" sheetId="2" r:id="rId2"/>
  </sheets>
  <definedNames>
    <definedName name="Afc_emp">'Casa Particular'!$AA$26</definedName>
    <definedName name="Aporte_afp">'Casa Particular'!$AA$23</definedName>
    <definedName name="_xlnm.Print_Area" localSheetId="0">'Casa Particular'!$B$2:$N$45</definedName>
    <definedName name="Dias_lic">'Casa Particular'!$U$31</definedName>
    <definedName name="Dias_trab">'Casa Particular'!$L$8</definedName>
    <definedName name="Expec_vida">'Casa Particular'!$AA$24</definedName>
    <definedName name="Familiar_1">'Casa Particular'!$AD$24</definedName>
    <definedName name="Familiar_2">'Casa Particular'!$AD$25</definedName>
    <definedName name="Familiar_3">'Casa Particular'!$AD$26</definedName>
    <definedName name="Familiar_4">'Casa Particular'!$AD$27</definedName>
    <definedName name="Horas">'Casa Particular'!$L$10</definedName>
    <definedName name="Liquido">'Casa Particular'!$M$32</definedName>
    <definedName name="Rut">'Casa Particular'!$C$9</definedName>
    <definedName name="SIS">'Casa Particular'!$AA$25</definedName>
    <definedName name="Sueldo">'Casa Particular'!$L$9</definedName>
    <definedName name="Tipo">'Casa Particular'!$L$11</definedName>
    <definedName name="Tope_afc">'Casa Particular'!$AB$7</definedName>
    <definedName name="Tope_afp">'Casa Particular'!$AB$6</definedName>
    <definedName name="UF">'Casa Particular'!$AA$4</definedName>
    <definedName name="UTM">'Casa Particular'!$AC$4</definedName>
    <definedName name="Valor_HE">'Casa Particular'!$A$15</definedName>
    <definedName name="Valor_hora">'Casa Particular'!$A$19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1" l="1"/>
  <c r="Q21" i="1"/>
  <c r="R19" i="1"/>
  <c r="H29" i="1" l="1"/>
  <c r="H28" i="1"/>
  <c r="H26" i="1"/>
  <c r="T5" i="1" l="1"/>
  <c r="H14" i="1"/>
  <c r="A19" i="1"/>
  <c r="H19" i="1" s="1"/>
  <c r="T36" i="2" l="1"/>
  <c r="T30" i="2"/>
  <c r="S30" i="2"/>
  <c r="Q30" i="2"/>
  <c r="P36" i="2"/>
  <c r="P30" i="2"/>
  <c r="O30" i="2"/>
  <c r="N36" i="2"/>
  <c r="N30" i="2"/>
  <c r="L36" i="2"/>
  <c r="U36" i="2" s="1"/>
  <c r="L30" i="2"/>
  <c r="K30" i="2"/>
  <c r="J30" i="2"/>
  <c r="U30" i="2" s="1"/>
  <c r="U38" i="2" s="1"/>
  <c r="I36" i="2"/>
  <c r="T22" i="2"/>
  <c r="P22" i="2"/>
  <c r="N22" i="2"/>
  <c r="L22" i="2"/>
  <c r="U22" i="2" s="1"/>
  <c r="M23" i="1"/>
  <c r="AE27" i="1" l="1"/>
  <c r="AE26" i="1"/>
  <c r="AE25" i="1"/>
  <c r="AF40" i="1"/>
  <c r="AF39" i="1"/>
  <c r="AD39" i="1"/>
  <c r="AC40" i="1" s="1"/>
  <c r="AF38" i="1"/>
  <c r="AF37" i="1"/>
  <c r="AF36" i="1"/>
  <c r="AF35" i="1"/>
  <c r="AF34" i="1"/>
  <c r="AD38" i="1"/>
  <c r="AC39" i="1" s="1"/>
  <c r="AD37" i="1"/>
  <c r="AC38" i="1" s="1"/>
  <c r="AD36" i="1"/>
  <c r="AC37" i="1" s="1"/>
  <c r="AD35" i="1"/>
  <c r="AC36" i="1" s="1"/>
  <c r="AD34" i="1"/>
  <c r="AC35" i="1" s="1"/>
  <c r="AD33" i="1"/>
  <c r="AC34" i="1" s="1"/>
  <c r="R4" i="1"/>
  <c r="L15" i="1"/>
  <c r="AB7" i="1"/>
  <c r="AB6" i="1"/>
  <c r="H15" i="1" l="1"/>
  <c r="H24" i="1" l="1"/>
  <c r="P14" i="1" s="1"/>
  <c r="T14" i="1" s="1"/>
  <c r="H32" i="1" l="1"/>
  <c r="P13" i="1"/>
  <c r="P10" i="1"/>
  <c r="P11" i="1"/>
  <c r="P12" i="1"/>
  <c r="T12" i="1" s="1"/>
  <c r="U12" i="1" s="1"/>
  <c r="P9" i="1"/>
  <c r="T10" i="1"/>
  <c r="U10" i="1" s="1"/>
  <c r="T18" i="1" s="1"/>
  <c r="T11" i="1"/>
  <c r="U11" i="1" s="1"/>
  <c r="M17" i="1"/>
  <c r="M14" i="1"/>
  <c r="T9" i="1" l="1"/>
  <c r="T15" i="1" s="1"/>
  <c r="M18" i="1"/>
  <c r="S13" i="1" s="1"/>
  <c r="S9" i="1"/>
  <c r="U9" i="1" l="1"/>
  <c r="T19" i="1" s="1"/>
  <c r="S15" i="1"/>
  <c r="L22" i="1"/>
  <c r="M22" i="1" s="1"/>
  <c r="M28" i="1" s="1"/>
  <c r="M32" i="1" s="1"/>
  <c r="U13" i="1"/>
  <c r="T21" i="1" s="1"/>
  <c r="U14" i="1" l="1"/>
  <c r="T20" i="1" s="1"/>
  <c r="T22" i="1" s="1"/>
  <c r="U15" i="1" l="1"/>
  <c r="U22" i="1" s="1"/>
</calcChain>
</file>

<file path=xl/sharedStrings.xml><?xml version="1.0" encoding="utf-8"?>
<sst xmlns="http://schemas.openxmlformats.org/spreadsheetml/2006/main" count="317" uniqueCount="185">
  <si>
    <t>Trabajador:</t>
  </si>
  <si>
    <t>Rut:</t>
  </si>
  <si>
    <t>$</t>
  </si>
  <si>
    <t>DESCUENTOS</t>
  </si>
  <si>
    <t>Sueldo Base</t>
  </si>
  <si>
    <t>Horas extras</t>
  </si>
  <si>
    <t>Cotizacion adicional</t>
  </si>
  <si>
    <t>Impuesto único</t>
  </si>
  <si>
    <t>Préstamo 3%</t>
  </si>
  <si>
    <t>TOTAL IMPONIBLE</t>
  </si>
  <si>
    <t>TOTAL DESCUENTOS</t>
  </si>
  <si>
    <t>Colación</t>
  </si>
  <si>
    <t>Movilización</t>
  </si>
  <si>
    <t>Anticipos de sueldo</t>
  </si>
  <si>
    <t>TOTAL HABERES</t>
  </si>
  <si>
    <t>LIQUIDO A PAGAR</t>
  </si>
  <si>
    <t>11.888.555-4</t>
  </si>
  <si>
    <t>Modelo</t>
  </si>
  <si>
    <t>Cruz Blanca</t>
  </si>
  <si>
    <t>LIQUIDACION DE SUELDO</t>
  </si>
  <si>
    <t>Días Trabajados:</t>
  </si>
  <si>
    <t>Sueldo Base pactado:</t>
  </si>
  <si>
    <t>PERIODO: AGOSTO 2025</t>
  </si>
  <si>
    <t>HABERES</t>
  </si>
  <si>
    <t>Fecha contrato:</t>
  </si>
  <si>
    <t>Jornada laboral:</t>
  </si>
  <si>
    <t>horas</t>
  </si>
  <si>
    <t>U.F. último día del mes</t>
  </si>
  <si>
    <t>U.T.M.</t>
  </si>
  <si>
    <t>INDICADORES PREVISIONALES</t>
  </si>
  <si>
    <t>RENTAS TOPES</t>
  </si>
  <si>
    <t>Para afiliados a una AFP (87,8 UF):</t>
  </si>
  <si>
    <t>Para Seguro de Cesantía (131,9 UF):</t>
  </si>
  <si>
    <t>TASA COTIZACION AFP</t>
  </si>
  <si>
    <t>Capital</t>
  </si>
  <si>
    <t>Cuprum</t>
  </si>
  <si>
    <t>Habitat</t>
  </si>
  <si>
    <t>PlanVital</t>
  </si>
  <si>
    <t>ProVida</t>
  </si>
  <si>
    <t>Uno</t>
  </si>
  <si>
    <t>Cotización Previsional</t>
  </si>
  <si>
    <t>Cotización Salud</t>
  </si>
  <si>
    <t>INSTITUCION SALUD</t>
  </si>
  <si>
    <t>Fonasa</t>
  </si>
  <si>
    <t>Tipo de contrato:</t>
  </si>
  <si>
    <t>Indefinido</t>
  </si>
  <si>
    <t>Banmedica</t>
  </si>
  <si>
    <t>Colmena</t>
  </si>
  <si>
    <t>Consalud</t>
  </si>
  <si>
    <t>Mas Vida</t>
  </si>
  <si>
    <t>Vida Tres</t>
  </si>
  <si>
    <t>SUELDO MINIMO</t>
  </si>
  <si>
    <t>Retroactivo Asig Familiar</t>
  </si>
  <si>
    <t>Asignación Familiar</t>
  </si>
  <si>
    <t>cargas</t>
  </si>
  <si>
    <t>CCAF</t>
  </si>
  <si>
    <t>Trabajador</t>
  </si>
  <si>
    <t>Empleador</t>
  </si>
  <si>
    <t>APORTES EMPLEADOR</t>
  </si>
  <si>
    <t>Cotización AFP</t>
  </si>
  <si>
    <t>SIS</t>
  </si>
  <si>
    <t>Expectativa de Vida</t>
  </si>
  <si>
    <t>Seguro Cesantia</t>
  </si>
  <si>
    <t>TABLA IMPUESTO UNICO</t>
  </si>
  <si>
    <t>Desde</t>
  </si>
  <si>
    <t>Hasta</t>
  </si>
  <si>
    <t>Factor</t>
  </si>
  <si>
    <t>Rebaja</t>
  </si>
  <si>
    <t>Renta Afecta</t>
  </si>
  <si>
    <t>ASIGNACION FAMILIAR</t>
  </si>
  <si>
    <t>Tramo</t>
  </si>
  <si>
    <t>Monto</t>
  </si>
  <si>
    <t>PREVIRED</t>
  </si>
  <si>
    <t>Total</t>
  </si>
  <si>
    <t>Cotizacion AFP</t>
  </si>
  <si>
    <t>Imponible</t>
  </si>
  <si>
    <t>Cotización AFC</t>
  </si>
  <si>
    <t>Expectativa de vida</t>
  </si>
  <si>
    <t>TOTALES</t>
  </si>
  <si>
    <t>Contrato</t>
  </si>
  <si>
    <t>Valor Hora</t>
  </si>
  <si>
    <t>Valor HE</t>
  </si>
  <si>
    <t>Hr</t>
  </si>
  <si>
    <t>Min</t>
  </si>
  <si>
    <t>No</t>
  </si>
  <si>
    <t>Accidente del trabajo</t>
  </si>
  <si>
    <t>Ley Sanna</t>
  </si>
  <si>
    <t>Tipo trabajador:</t>
  </si>
  <si>
    <t>Recibí conforme el alcance liquido de la presente liquidación, la cual representa fielmente lo pactado con mi empleador, no teniendo cargo o cobro alguno que hacer por ningún concepto.</t>
  </si>
  <si>
    <t>FIRMA DEL TRABAJADOR</t>
  </si>
  <si>
    <t>Más material gratuito en:</t>
  </si>
  <si>
    <t>https://www.previred.com/reforma-de-pensiones-2025/</t>
  </si>
  <si>
    <t>Gradualidad de la cotización del 8,5% (2025–2033)</t>
  </si>
  <si>
    <t>Año</t>
  </si>
  <si>
    <t>AFP/Cap. Individual</t>
  </si>
  <si>
    <t>Seguro Social/Expectativa de Vida</t>
  </si>
  <si>
    <t>Seguro Social/Rentabilidad Protegida</t>
  </si>
  <si>
    <t>Seguro Social/Seguro de Invalidez y Sobrevivencia (SIS)</t>
  </si>
  <si>
    <t>2025 (agosto)</t>
  </si>
  <si>
    <t>–</t>
  </si>
  <si>
    <t>2026 (agosto)</t>
  </si>
  <si>
    <t>2027 (agosto)</t>
  </si>
  <si>
    <t>2028 (agosto)</t>
  </si>
  <si>
    <t>2029 (agosto)</t>
  </si>
  <si>
    <t>2030 (agosto)</t>
  </si>
  <si>
    <t>2031 (agosto)</t>
  </si>
  <si>
    <t>2032 (agosto)</t>
  </si>
  <si>
    <t>2033 (agosto)</t>
  </si>
  <si>
    <t>Tipo de Trabajador</t>
  </si>
  <si>
    <t>Activo e Invalidez Parcial</t>
  </si>
  <si>
    <t>Pensionado y Cotiza</t>
  </si>
  <si>
    <t>Activo mayor de 65 años o Pensionado por Invalidez Total</t>
  </si>
  <si>
    <t>Exento de cotizar ( Mujer mayor de 60 años, hombre mayor de 65 años o extranjero)</t>
  </si>
  <si>
    <t>AFP</t>
  </si>
  <si>
    <t>Descto trabajador</t>
  </si>
  <si>
    <t>Si</t>
  </si>
  <si>
    <t>Pensionado y NO Cotiza</t>
  </si>
  <si>
    <t>Aporte 0,1% empleador</t>
  </si>
  <si>
    <t>SEGURO SOCIAL</t>
  </si>
  <si>
    <t>Expectativa de vida 0,9%</t>
  </si>
  <si>
    <t>Rentabilidad protegida</t>
  </si>
  <si>
    <t>AFC</t>
  </si>
  <si>
    <t>Licencia Médica completa</t>
  </si>
  <si>
    <t>Licencia Médica parcial</t>
  </si>
  <si>
    <t>Si, subsidio</t>
  </si>
  <si>
    <t>Si, sueldo y subsidio</t>
  </si>
  <si>
    <t>Pagadora subsidio</t>
  </si>
  <si>
    <t>Fonasa o Isapre</t>
  </si>
  <si>
    <t>MUTUAL / ISL</t>
  </si>
  <si>
    <t>Acc trabajo</t>
  </si>
  <si>
    <t>Por días trabajados</t>
  </si>
  <si>
    <t>Por dias trabajados + proporcional dias con licencia</t>
  </si>
  <si>
    <t>NOTA: ESQUEMA DE COTIZACION OBLIGATORIA PARA TRABAJADORES DEPENDIENTES Y CASA PARTICULAR</t>
  </si>
  <si>
    <t>Si, sueldo</t>
  </si>
  <si>
    <t>Mutual o ISL</t>
  </si>
  <si>
    <t>Opcional</t>
  </si>
  <si>
    <t>Si/No</t>
  </si>
  <si>
    <t>Sueldo mes anterior</t>
  </si>
  <si>
    <t>No hay dias trabajados, la liquidacion va en cero, Sueldo del mes anterior (ultimo sueldo de un mes completo) - Trabajador activo contrato indefinido</t>
  </si>
  <si>
    <t>Sueldo del mes 20 dias</t>
  </si>
  <si>
    <t>Sueldo proporcional a dias de licencia</t>
  </si>
  <si>
    <t>aquí va</t>
  </si>
  <si>
    <t>desde</t>
  </si>
  <si>
    <t>TOTAL PREVIRED</t>
  </si>
  <si>
    <t>Atrasos / 
Horas ausentes</t>
  </si>
  <si>
    <t>Activo</t>
  </si>
  <si>
    <t>No cotiza</t>
  </si>
  <si>
    <t>MOVIMIENTOS DE PERSONAL</t>
  </si>
  <si>
    <t>Causa</t>
  </si>
  <si>
    <t>Días</t>
  </si>
  <si>
    <t>Contratación a plazo indefinido</t>
  </si>
  <si>
    <t>Retiro</t>
  </si>
  <si>
    <t>Subsidios</t>
  </si>
  <si>
    <t>Permiso Sin Goce de Sueldos</t>
  </si>
  <si>
    <t>Incorporación en el Lugar de Trabajo</t>
  </si>
  <si>
    <t>Accidentes del Trabajo</t>
  </si>
  <si>
    <t>Contratación a plazo fijo</t>
  </si>
  <si>
    <t>Cambio Contrato plazo fijo a plazo indefinido</t>
  </si>
  <si>
    <t>Otros Movimientos (Ausentismos)</t>
  </si>
  <si>
    <t>Reliquidación, premio o bono posterior al finiquito</t>
  </si>
  <si>
    <t>Jornada:</t>
  </si>
  <si>
    <t>Plan Isapre:</t>
  </si>
  <si>
    <t>u.f.</t>
  </si>
  <si>
    <t>Instagram pattymorenom_</t>
  </si>
  <si>
    <t xml:space="preserve"> =CONCAT("Son ";NumLetras(Liquido);"pesos.-")</t>
  </si>
  <si>
    <t>Son:</t>
  </si>
  <si>
    <t>OPCIONES DE INGRESO:</t>
  </si>
  <si>
    <t>1.- Escritura manual de monto líquido en palabras</t>
  </si>
  <si>
    <t>2.- Instalar y utilizar función para escibrir líquido en palabras automáticamente</t>
  </si>
  <si>
    <t>PASO 1: Descargar e instalar función según video</t>
  </si>
  <si>
    <t>https://youtu.be/2DvA9-3T5-U</t>
  </si>
  <si>
    <t>Video:</t>
  </si>
  <si>
    <t>DESCARGA COMPLEMENTO AQUI</t>
  </si>
  <si>
    <t>PASO 2: Ingresa la fórmula para aplicar la función</t>
  </si>
  <si>
    <t>(antes del signo = eliminar espacio para activar la fórmula)</t>
  </si>
  <si>
    <t>ALAN BRITO DELGADO</t>
  </si>
  <si>
    <t>10.222.333-4</t>
  </si>
  <si>
    <t>Los Alamos # 2030 Casa E</t>
  </si>
  <si>
    <t>Buin</t>
  </si>
  <si>
    <t>Rosa Flores del Campo</t>
  </si>
  <si>
    <t>INFORMACION ADICIONAL</t>
  </si>
  <si>
    <t>Cálculo por Instituciones:</t>
  </si>
  <si>
    <t>Instituto de seguridad laboral (ISL)</t>
  </si>
  <si>
    <t>Aporte Indemnización</t>
  </si>
  <si>
    <t>Seguro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</si>
</sst>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$&quot;* #,##0_ ;_ &quot;$&quot;* \-#,##0_ ;_ &quot;$&quot;* &quot;-&quot;_ ;_ @_ "/>
    <numFmt numFmtId="164" formatCode="_ &quot;$&quot;* #,##0.00_ ;_ &quot;$&quot;* \-#,##0.00_ ;_ &quot;$&quot;* &quot;-&quot;_ ;_ @_ "/>
    <numFmt numFmtId="165" formatCode="_ &quot;$&quot;* #,##0_ ;_ &quot;$&quot;* \-#,##0_ ;_ &quot;$&quot;* &quot;-&quot;??_ ;_ @_ "/>
    <numFmt numFmtId="166" formatCode="0.0%"/>
  </numFmts>
  <fonts count="4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sz val="9"/>
      <color theme="2" tint="-0.499984740745262"/>
      <name val="Arial"/>
      <family val="2"/>
    </font>
    <font>
      <b/>
      <u/>
      <sz val="11"/>
      <color theme="1"/>
      <name val="Arial"/>
      <family val="2"/>
    </font>
    <font>
      <sz val="11"/>
      <color rgb="FFC00000"/>
      <name val="Arial"/>
      <family val="2"/>
    </font>
    <font>
      <sz val="10"/>
      <color theme="2" tint="-0.499984740745262"/>
      <name val="Arial"/>
      <family val="2"/>
    </font>
    <font>
      <sz val="11"/>
      <color theme="2" tint="-0.499984740745262"/>
      <name val="Arial"/>
      <family val="2"/>
    </font>
    <font>
      <sz val="11"/>
      <color theme="0"/>
      <name val="Arial"/>
      <family val="2"/>
    </font>
    <font>
      <b/>
      <sz val="12"/>
      <color theme="0"/>
      <name val="Arial"/>
      <family val="2"/>
    </font>
    <font>
      <u/>
      <sz val="11"/>
      <color theme="2" tint="-0.499984740745262"/>
      <name val="Arial"/>
      <family val="2"/>
    </font>
    <font>
      <u/>
      <sz val="10"/>
      <color theme="2" tint="-0.499984740745262"/>
      <name val="Arial"/>
      <family val="2"/>
    </font>
    <font>
      <b/>
      <sz val="16"/>
      <color theme="0"/>
      <name val="Arial"/>
      <family val="2"/>
    </font>
    <font>
      <b/>
      <sz val="14"/>
      <color theme="0"/>
      <name val="Arial"/>
      <family val="2"/>
    </font>
    <font>
      <sz val="13.5"/>
      <color rgb="FF521C78"/>
      <name val="Arial"/>
      <family val="2"/>
    </font>
    <font>
      <b/>
      <sz val="11"/>
      <color rgb="FF521C78"/>
      <name val="Arial"/>
      <family val="2"/>
    </font>
    <font>
      <u/>
      <sz val="11"/>
      <color theme="10"/>
      <name val="Aptos Narrow"/>
      <family val="2"/>
      <scheme val="minor"/>
    </font>
    <font>
      <u/>
      <sz val="16"/>
      <color theme="2"/>
      <name val="Aptos Narrow"/>
      <family val="2"/>
      <scheme val="minor"/>
    </font>
    <font>
      <sz val="11"/>
      <color theme="2"/>
      <name val="Aptos Narrow"/>
      <family val="2"/>
      <scheme val="minor"/>
    </font>
    <font>
      <sz val="14"/>
      <color theme="2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i/>
      <sz val="16"/>
      <color theme="3" tint="9.9978637043366805E-2"/>
      <name val="Arial"/>
      <family val="2"/>
    </font>
    <font>
      <b/>
      <u/>
      <sz val="16"/>
      <color theme="3" tint="9.9978637043366805E-2"/>
      <name val="Aptos Narrow"/>
      <family val="2"/>
      <scheme val="minor"/>
    </font>
    <font>
      <b/>
      <sz val="11"/>
      <color theme="4"/>
      <name val="Arial"/>
      <family val="2"/>
    </font>
    <font>
      <b/>
      <u/>
      <sz val="12"/>
      <color theme="10"/>
      <name val="Aptos Narrow"/>
      <family val="2"/>
      <scheme val="minor"/>
    </font>
    <font>
      <sz val="11"/>
      <color rgb="FF0D0D0D"/>
      <name val="Arial"/>
      <family val="2"/>
    </font>
    <font>
      <b/>
      <sz val="12"/>
      <color theme="1"/>
      <name val="Arial"/>
      <family val="2"/>
    </font>
    <font>
      <sz val="11"/>
      <color theme="2" tint="-0.249977111117893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medium">
        <color rgb="FF521C78"/>
      </left>
      <right style="medium">
        <color rgb="FF521C78"/>
      </right>
      <top style="medium">
        <color rgb="FF521C78"/>
      </top>
      <bottom style="medium">
        <color rgb="FF521C78"/>
      </bottom>
      <diagonal/>
    </border>
    <border>
      <left/>
      <right/>
      <top/>
      <bottom style="medium">
        <color rgb="FF521C78"/>
      </bottom>
      <diagonal/>
    </border>
    <border>
      <left style="thin">
        <color rgb="FF521C78"/>
      </left>
      <right style="thin">
        <color rgb="FF521C78"/>
      </right>
      <top style="medium">
        <color rgb="FF521C78"/>
      </top>
      <bottom style="thin">
        <color rgb="FF521C78"/>
      </bottom>
      <diagonal/>
    </border>
    <border>
      <left style="thin">
        <color rgb="FF521C78"/>
      </left>
      <right style="thin">
        <color rgb="FF521C78"/>
      </right>
      <top style="thin">
        <color rgb="FF521C78"/>
      </top>
      <bottom style="thin">
        <color rgb="FF521C78"/>
      </bottom>
      <diagonal/>
    </border>
    <border>
      <left style="medium">
        <color theme="0"/>
      </left>
      <right/>
      <top/>
      <bottom style="medium">
        <color rgb="FF521C78"/>
      </bottom>
      <diagonal/>
    </border>
    <border>
      <left style="thin">
        <color rgb="FF521C78"/>
      </left>
      <right/>
      <top style="thin">
        <color rgb="FF521C78"/>
      </top>
      <bottom style="thin">
        <color rgb="FF521C78"/>
      </bottom>
      <diagonal/>
    </border>
    <border>
      <left/>
      <right style="thin">
        <color rgb="FF521C78"/>
      </right>
      <top style="thin">
        <color rgb="FF521C78"/>
      </top>
      <bottom style="thin">
        <color rgb="FF521C78"/>
      </bottom>
      <diagonal/>
    </border>
    <border>
      <left style="thin">
        <color rgb="FF521C78"/>
      </left>
      <right style="thin">
        <color rgb="FF521C78"/>
      </right>
      <top style="thin">
        <color rgb="FF521C78"/>
      </top>
      <bottom/>
      <diagonal/>
    </border>
    <border>
      <left style="thin">
        <color rgb="FF521C78"/>
      </left>
      <right style="thin">
        <color rgb="FF521C78"/>
      </right>
      <top/>
      <bottom style="thin">
        <color rgb="FF521C78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4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176">
    <xf numFmtId="0" fontId="0" fillId="0" borderId="0" xfId="0"/>
    <xf numFmtId="0" fontId="2" fillId="0" borderId="0" xfId="0" applyFont="1"/>
    <xf numFmtId="0" fontId="2" fillId="2" borderId="0" xfId="0" applyFont="1" applyFill="1"/>
    <xf numFmtId="10" fontId="2" fillId="2" borderId="0" xfId="2" applyNumberFormat="1" applyFont="1" applyFill="1"/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0" fontId="2" fillId="3" borderId="0" xfId="0" applyFont="1" applyFill="1"/>
    <xf numFmtId="0" fontId="10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2" fillId="2" borderId="0" xfId="0" applyFont="1" applyFill="1" applyAlignment="1">
      <alignment vertical="center"/>
    </xf>
    <xf numFmtId="3" fontId="2" fillId="2" borderId="0" xfId="0" applyNumberFormat="1" applyFont="1" applyFill="1"/>
    <xf numFmtId="0" fontId="2" fillId="2" borderId="6" xfId="0" applyFont="1" applyFill="1" applyBorder="1" applyAlignment="1">
      <alignment horizontal="left" indent="1"/>
    </xf>
    <xf numFmtId="0" fontId="6" fillId="2" borderId="7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 indent="1"/>
    </xf>
    <xf numFmtId="0" fontId="6" fillId="2" borderId="6" xfId="0" applyFont="1" applyFill="1" applyBorder="1" applyAlignment="1">
      <alignment horizontal="left" indent="1"/>
    </xf>
    <xf numFmtId="0" fontId="6" fillId="2" borderId="7" xfId="0" applyFont="1" applyFill="1" applyBorder="1" applyAlignment="1">
      <alignment horizontal="left"/>
    </xf>
    <xf numFmtId="0" fontId="2" fillId="2" borderId="7" xfId="0" applyFont="1" applyFill="1" applyBorder="1"/>
    <xf numFmtId="0" fontId="2" fillId="2" borderId="8" xfId="0" applyFont="1" applyFill="1" applyBorder="1" applyAlignment="1">
      <alignment horizontal="left" indent="1"/>
    </xf>
    <xf numFmtId="0" fontId="2" fillId="2" borderId="9" xfId="0" applyFont="1" applyFill="1" applyBorder="1"/>
    <xf numFmtId="0" fontId="2" fillId="2" borderId="10" xfId="0" applyFont="1" applyFill="1" applyBorder="1"/>
    <xf numFmtId="3" fontId="2" fillId="2" borderId="11" xfId="0" applyNumberFormat="1" applyFont="1" applyFill="1" applyBorder="1"/>
    <xf numFmtId="0" fontId="2" fillId="2" borderId="11" xfId="0" applyFont="1" applyFill="1" applyBorder="1"/>
    <xf numFmtId="0" fontId="2" fillId="2" borderId="12" xfId="0" applyFont="1" applyFill="1" applyBorder="1"/>
    <xf numFmtId="0" fontId="5" fillId="2" borderId="5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left" vertical="center" indent="1"/>
    </xf>
    <xf numFmtId="0" fontId="7" fillId="2" borderId="14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left" vertical="center"/>
    </xf>
    <xf numFmtId="3" fontId="5" fillId="2" borderId="5" xfId="0" applyNumberFormat="1" applyFont="1" applyFill="1" applyBorder="1"/>
    <xf numFmtId="3" fontId="5" fillId="2" borderId="15" xfId="0" applyNumberFormat="1" applyFont="1" applyFill="1" applyBorder="1" applyAlignment="1">
      <alignment vertical="center"/>
    </xf>
    <xf numFmtId="10" fontId="2" fillId="2" borderId="7" xfId="2" applyNumberFormat="1" applyFont="1" applyFill="1" applyBorder="1" applyAlignment="1"/>
    <xf numFmtId="3" fontId="2" fillId="2" borderId="6" xfId="0" applyNumberFormat="1" applyFont="1" applyFill="1" applyBorder="1" applyAlignment="1">
      <alignment horizontal="left" indent="1"/>
    </xf>
    <xf numFmtId="9" fontId="2" fillId="2" borderId="7" xfId="0" applyNumberFormat="1" applyFont="1" applyFill="1" applyBorder="1"/>
    <xf numFmtId="0" fontId="2" fillId="0" borderId="11" xfId="0" applyFont="1" applyBorder="1"/>
    <xf numFmtId="0" fontId="5" fillId="2" borderId="13" xfId="0" applyFont="1" applyFill="1" applyBorder="1" applyAlignment="1">
      <alignment horizontal="left" vertical="center" indent="1"/>
    </xf>
    <xf numFmtId="0" fontId="5" fillId="2" borderId="14" xfId="0" applyFont="1" applyFill="1" applyBorder="1" applyAlignment="1">
      <alignment vertical="center"/>
    </xf>
    <xf numFmtId="0" fontId="5" fillId="2" borderId="13" xfId="0" applyFont="1" applyFill="1" applyBorder="1" applyAlignment="1">
      <alignment horizontal="left" indent="1"/>
    </xf>
    <xf numFmtId="0" fontId="5" fillId="2" borderId="14" xfId="0" applyFont="1" applyFill="1" applyBorder="1"/>
    <xf numFmtId="0" fontId="5" fillId="2" borderId="15" xfId="0" applyFont="1" applyFill="1" applyBorder="1"/>
    <xf numFmtId="0" fontId="2" fillId="2" borderId="0" xfId="0" applyFont="1" applyFill="1" applyAlignment="1">
      <alignment horizontal="left" indent="1"/>
    </xf>
    <xf numFmtId="0" fontId="6" fillId="2" borderId="0" xfId="0" applyFont="1" applyFill="1" applyAlignment="1">
      <alignment horizontal="left" vertical="center" indent="1"/>
    </xf>
    <xf numFmtId="0" fontId="6" fillId="2" borderId="0" xfId="0" applyFont="1" applyFill="1" applyAlignment="1">
      <alignment horizontal="left" indent="1"/>
    </xf>
    <xf numFmtId="0" fontId="7" fillId="2" borderId="14" xfId="0" applyFont="1" applyFill="1" applyBorder="1" applyAlignment="1">
      <alignment horizontal="left" vertical="center" indent="1"/>
    </xf>
    <xf numFmtId="0" fontId="12" fillId="2" borderId="0" xfId="0" applyFont="1" applyFill="1" applyAlignment="1">
      <alignment horizontal="right" vertical="center"/>
    </xf>
    <xf numFmtId="0" fontId="12" fillId="2" borderId="0" xfId="0" applyFont="1" applyFill="1" applyAlignment="1">
      <alignment horizontal="left" vertical="center"/>
    </xf>
    <xf numFmtId="0" fontId="12" fillId="2" borderId="7" xfId="0" applyFont="1" applyFill="1" applyBorder="1" applyAlignment="1">
      <alignment horizontal="left" vertical="center"/>
    </xf>
    <xf numFmtId="3" fontId="10" fillId="2" borderId="0" xfId="0" applyNumberFormat="1" applyFont="1" applyFill="1" applyAlignment="1">
      <alignment horizontal="right"/>
    </xf>
    <xf numFmtId="0" fontId="2" fillId="3" borderId="0" xfId="0" applyFont="1" applyFill="1" applyAlignment="1">
      <alignment horizontal="right"/>
    </xf>
    <xf numFmtId="0" fontId="5" fillId="3" borderId="0" xfId="0" applyFont="1" applyFill="1"/>
    <xf numFmtId="42" fontId="2" fillId="2" borderId="0" xfId="1" applyFont="1" applyFill="1"/>
    <xf numFmtId="164" fontId="2" fillId="2" borderId="0" xfId="1" applyNumberFormat="1" applyFont="1" applyFill="1"/>
    <xf numFmtId="17" fontId="2" fillId="3" borderId="0" xfId="0" applyNumberFormat="1" applyFont="1" applyFill="1"/>
    <xf numFmtId="0" fontId="13" fillId="3" borderId="0" xfId="0" applyFont="1" applyFill="1"/>
    <xf numFmtId="165" fontId="2" fillId="3" borderId="0" xfId="0" applyNumberFormat="1" applyFont="1" applyFill="1"/>
    <xf numFmtId="0" fontId="2" fillId="3" borderId="4" xfId="0" applyFont="1" applyFill="1" applyBorder="1"/>
    <xf numFmtId="10" fontId="2" fillId="2" borderId="4" xfId="0" applyNumberFormat="1" applyFont="1" applyFill="1" applyBorder="1"/>
    <xf numFmtId="0" fontId="2" fillId="3" borderId="2" xfId="0" applyFont="1" applyFill="1" applyBorder="1"/>
    <xf numFmtId="10" fontId="2" fillId="2" borderId="2" xfId="0" applyNumberFormat="1" applyFont="1" applyFill="1" applyBorder="1"/>
    <xf numFmtId="9" fontId="2" fillId="3" borderId="0" xfId="0" applyNumberFormat="1" applyFont="1" applyFill="1"/>
    <xf numFmtId="3" fontId="14" fillId="2" borderId="11" xfId="0" applyNumberFormat="1" applyFont="1" applyFill="1" applyBorder="1"/>
    <xf numFmtId="42" fontId="2" fillId="3" borderId="0" xfId="0" applyNumberFormat="1" applyFont="1" applyFill="1"/>
    <xf numFmtId="166" fontId="2" fillId="2" borderId="7" xfId="2" applyNumberFormat="1" applyFont="1" applyFill="1" applyBorder="1" applyAlignment="1"/>
    <xf numFmtId="3" fontId="2" fillId="3" borderId="0" xfId="0" applyNumberFormat="1" applyFont="1" applyFill="1"/>
    <xf numFmtId="0" fontId="2" fillId="3" borderId="0" xfId="0" applyFont="1" applyFill="1" applyAlignment="1">
      <alignment horizontal="center"/>
    </xf>
    <xf numFmtId="10" fontId="2" fillId="2" borderId="0" xfId="0" applyNumberFormat="1" applyFont="1" applyFill="1"/>
    <xf numFmtId="166" fontId="2" fillId="2" borderId="0" xfId="0" applyNumberFormat="1" applyFont="1" applyFill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4" fontId="2" fillId="3" borderId="0" xfId="0" applyNumberFormat="1" applyFont="1" applyFill="1"/>
    <xf numFmtId="0" fontId="12" fillId="2" borderId="6" xfId="0" applyFont="1" applyFill="1" applyBorder="1" applyAlignment="1">
      <alignment horizontal="left" indent="3"/>
    </xf>
    <xf numFmtId="0" fontId="12" fillId="2" borderId="0" xfId="0" applyFont="1" applyFill="1"/>
    <xf numFmtId="42" fontId="12" fillId="2" borderId="7" xfId="1" applyFont="1" applyFill="1" applyBorder="1" applyAlignment="1"/>
    <xf numFmtId="166" fontId="2" fillId="3" borderId="0" xfId="2" applyNumberFormat="1" applyFont="1" applyFill="1" applyAlignment="1">
      <alignment horizontal="center"/>
    </xf>
    <xf numFmtId="42" fontId="2" fillId="3" borderId="0" xfId="1" applyFont="1" applyFill="1"/>
    <xf numFmtId="3" fontId="15" fillId="3" borderId="0" xfId="0" applyNumberFormat="1" applyFont="1" applyFill="1" applyAlignment="1">
      <alignment horizontal="center"/>
    </xf>
    <xf numFmtId="0" fontId="2" fillId="4" borderId="0" xfId="0" applyFont="1" applyFill="1"/>
    <xf numFmtId="3" fontId="17" fillId="4" borderId="0" xfId="0" applyNumberFormat="1" applyFont="1" applyFill="1"/>
    <xf numFmtId="3" fontId="18" fillId="4" borderId="0" xfId="0" applyNumberFormat="1" applyFont="1" applyFill="1"/>
    <xf numFmtId="0" fontId="4" fillId="4" borderId="0" xfId="0" applyFont="1" applyFill="1"/>
    <xf numFmtId="0" fontId="16" fillId="3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19" fillId="3" borderId="0" xfId="0" applyFont="1" applyFill="1" applyAlignment="1">
      <alignment horizontal="center"/>
    </xf>
    <xf numFmtId="0" fontId="20" fillId="3" borderId="0" xfId="0" applyFont="1" applyFill="1" applyAlignment="1">
      <alignment horizontal="center"/>
    </xf>
    <xf numFmtId="0" fontId="2" fillId="5" borderId="0" xfId="0" applyFont="1" applyFill="1"/>
    <xf numFmtId="0" fontId="3" fillId="3" borderId="0" xfId="0" applyFont="1" applyFill="1"/>
    <xf numFmtId="42" fontId="16" fillId="3" borderId="0" xfId="1" applyFont="1" applyFill="1" applyAlignment="1">
      <alignment horizontal="center"/>
    </xf>
    <xf numFmtId="0" fontId="2" fillId="2" borderId="3" xfId="0" applyFont="1" applyFill="1" applyBorder="1"/>
    <xf numFmtId="10" fontId="2" fillId="2" borderId="7" xfId="0" applyNumberFormat="1" applyFont="1" applyFill="1" applyBorder="1"/>
    <xf numFmtId="0" fontId="2" fillId="2" borderId="4" xfId="0" applyFont="1" applyFill="1" applyBorder="1"/>
    <xf numFmtId="0" fontId="5" fillId="2" borderId="0" xfId="0" applyFont="1" applyFill="1" applyAlignment="1">
      <alignment horizontal="center"/>
    </xf>
    <xf numFmtId="0" fontId="24" fillId="0" borderId="19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10" fontId="8" fillId="0" borderId="21" xfId="0" applyNumberFormat="1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5" fillId="7" borderId="22" xfId="0" applyFont="1" applyFill="1" applyBorder="1" applyAlignment="1">
      <alignment horizontal="center" vertical="center" wrapText="1"/>
    </xf>
    <xf numFmtId="10" fontId="8" fillId="7" borderId="22" xfId="0" applyNumberFormat="1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10" fontId="8" fillId="0" borderId="22" xfId="0" applyNumberFormat="1" applyFont="1" applyBorder="1" applyAlignment="1">
      <alignment horizontal="center" vertical="center" wrapText="1"/>
    </xf>
    <xf numFmtId="10" fontId="8" fillId="0" borderId="22" xfId="0" applyNumberFormat="1" applyFont="1" applyBorder="1" applyAlignment="1">
      <alignment horizontal="left" vertical="center" wrapText="1"/>
    </xf>
    <xf numFmtId="10" fontId="8" fillId="7" borderId="22" xfId="0" applyNumberFormat="1" applyFont="1" applyFill="1" applyBorder="1" applyAlignment="1">
      <alignment horizontal="left" vertical="center" wrapText="1"/>
    </xf>
    <xf numFmtId="10" fontId="8" fillId="0" borderId="24" xfId="0" applyNumberFormat="1" applyFont="1" applyBorder="1" applyAlignment="1">
      <alignment horizontal="center" vertical="center" wrapText="1"/>
    </xf>
    <xf numFmtId="10" fontId="8" fillId="0" borderId="25" xfId="0" applyNumberFormat="1" applyFont="1" applyBorder="1" applyAlignment="1">
      <alignment horizontal="center" vertical="center" wrapText="1"/>
    </xf>
    <xf numFmtId="0" fontId="29" fillId="0" borderId="0" xfId="0" applyFont="1"/>
    <xf numFmtId="42" fontId="30" fillId="0" borderId="0" xfId="1" applyFont="1"/>
    <xf numFmtId="42" fontId="31" fillId="0" borderId="0" xfId="1" applyFont="1" applyAlignment="1"/>
    <xf numFmtId="0" fontId="31" fillId="0" borderId="0" xfId="0" applyFont="1"/>
    <xf numFmtId="42" fontId="31" fillId="0" borderId="0" xfId="0" applyNumberFormat="1" applyFont="1"/>
    <xf numFmtId="42" fontId="31" fillId="9" borderId="0" xfId="1" applyFont="1" applyFill="1" applyAlignment="1"/>
    <xf numFmtId="42" fontId="31" fillId="9" borderId="0" xfId="1" applyFont="1" applyFill="1" applyAlignment="1">
      <alignment horizontal="center"/>
    </xf>
    <xf numFmtId="0" fontId="0" fillId="9" borderId="0" xfId="0" applyFill="1" applyAlignment="1">
      <alignment horizontal="center"/>
    </xf>
    <xf numFmtId="17" fontId="0" fillId="9" borderId="0" xfId="0" applyNumberFormat="1" applyFill="1" applyAlignment="1">
      <alignment horizontal="center"/>
    </xf>
    <xf numFmtId="42" fontId="32" fillId="0" borderId="0" xfId="1" applyFont="1"/>
    <xf numFmtId="0" fontId="29" fillId="0" borderId="0" xfId="0" applyFont="1" applyAlignment="1">
      <alignment horizontal="right"/>
    </xf>
    <xf numFmtId="0" fontId="6" fillId="2" borderId="28" xfId="0" applyFont="1" applyFill="1" applyBorder="1" applyAlignment="1">
      <alignment horizontal="center"/>
    </xf>
    <xf numFmtId="14" fontId="6" fillId="2" borderId="28" xfId="0" applyNumberFormat="1" applyFont="1" applyFill="1" applyBorder="1" applyAlignment="1">
      <alignment horizontal="center"/>
    </xf>
    <xf numFmtId="2" fontId="2" fillId="2" borderId="0" xfId="0" applyNumberFormat="1" applyFont="1" applyFill="1"/>
    <xf numFmtId="3" fontId="16" fillId="2" borderId="28" xfId="0" applyNumberFormat="1" applyFont="1" applyFill="1" applyBorder="1" applyAlignment="1">
      <alignment horizontal="center"/>
    </xf>
    <xf numFmtId="0" fontId="16" fillId="2" borderId="28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35" fillId="3" borderId="0" xfId="0" applyFont="1" applyFill="1" applyAlignment="1">
      <alignment horizontal="left"/>
    </xf>
    <xf numFmtId="0" fontId="2" fillId="3" borderId="0" xfId="0" applyFont="1" applyFill="1" applyAlignment="1">
      <alignment horizontal="left" indent="1"/>
    </xf>
    <xf numFmtId="0" fontId="36" fillId="3" borderId="0" xfId="3" applyFont="1" applyFill="1"/>
    <xf numFmtId="0" fontId="37" fillId="3" borderId="0" xfId="0" applyFont="1" applyFill="1"/>
    <xf numFmtId="0" fontId="25" fillId="3" borderId="0" xfId="3" applyFill="1" applyAlignment="1">
      <alignment horizontal="left"/>
    </xf>
    <xf numFmtId="0" fontId="3" fillId="2" borderId="0" xfId="0" applyFont="1" applyFill="1"/>
    <xf numFmtId="0" fontId="38" fillId="2" borderId="0" xfId="0" applyFont="1" applyFill="1"/>
    <xf numFmtId="3" fontId="39" fillId="3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22" fillId="4" borderId="0" xfId="0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11" fillId="2" borderId="13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17" fontId="9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2" fillId="2" borderId="16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indent="3"/>
    </xf>
    <xf numFmtId="0" fontId="2" fillId="2" borderId="0" xfId="0" applyFont="1" applyFill="1" applyAlignment="1">
      <alignment horizontal="left" indent="3"/>
    </xf>
    <xf numFmtId="0" fontId="2" fillId="2" borderId="7" xfId="0" applyFont="1" applyFill="1" applyBorder="1" applyAlignment="1">
      <alignment horizontal="left" indent="3"/>
    </xf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33" fillId="10" borderId="0" xfId="0" applyFont="1" applyFill="1" applyAlignment="1">
      <alignment horizontal="left"/>
    </xf>
    <xf numFmtId="0" fontId="34" fillId="10" borderId="0" xfId="3" applyFont="1" applyFill="1" applyAlignment="1">
      <alignment horizontal="center"/>
    </xf>
    <xf numFmtId="0" fontId="14" fillId="2" borderId="6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 vertical="center"/>
    </xf>
    <xf numFmtId="0" fontId="10" fillId="2" borderId="9" xfId="0" applyFont="1" applyFill="1" applyBorder="1" applyAlignment="1">
      <alignment horizontal="left" vertical="center"/>
    </xf>
    <xf numFmtId="0" fontId="17" fillId="4" borderId="0" xfId="0" applyFont="1" applyFill="1" applyAlignment="1">
      <alignment horizontal="center"/>
    </xf>
    <xf numFmtId="0" fontId="6" fillId="2" borderId="28" xfId="0" applyFont="1" applyFill="1" applyBorder="1" applyAlignment="1">
      <alignment horizontal="left"/>
    </xf>
    <xf numFmtId="0" fontId="2" fillId="2" borderId="0" xfId="0" applyFont="1" applyFill="1" applyAlignment="1">
      <alignment horizontal="left" wrapText="1"/>
    </xf>
    <xf numFmtId="0" fontId="5" fillId="3" borderId="0" xfId="0" applyFont="1" applyFill="1" applyAlignment="1">
      <alignment horizontal="center"/>
    </xf>
    <xf numFmtId="0" fontId="21" fillId="5" borderId="0" xfId="0" applyFont="1" applyFill="1" applyAlignment="1">
      <alignment horizontal="center" vertical="center" textRotation="90"/>
    </xf>
    <xf numFmtId="0" fontId="22" fillId="6" borderId="0" xfId="0" applyFont="1" applyFill="1" applyAlignment="1">
      <alignment horizontal="center" vertical="center"/>
    </xf>
    <xf numFmtId="3" fontId="2" fillId="2" borderId="6" xfId="0" applyNumberFormat="1" applyFont="1" applyFill="1" applyBorder="1" applyAlignment="1">
      <alignment horizontal="left" indent="3"/>
    </xf>
    <xf numFmtId="3" fontId="2" fillId="2" borderId="0" xfId="0" applyNumberFormat="1" applyFont="1" applyFill="1" applyAlignment="1">
      <alignment horizontal="left" indent="3"/>
    </xf>
    <xf numFmtId="0" fontId="26" fillId="8" borderId="0" xfId="3" applyFont="1" applyFill="1" applyAlignment="1">
      <alignment horizontal="center"/>
    </xf>
    <xf numFmtId="0" fontId="28" fillId="8" borderId="0" xfId="0" applyFont="1" applyFill="1" applyAlignment="1">
      <alignment horizontal="center" vertical="center"/>
    </xf>
    <xf numFmtId="0" fontId="27" fillId="8" borderId="23" xfId="0" applyFont="1" applyFill="1" applyBorder="1" applyAlignment="1">
      <alignment horizontal="center" vertical="center"/>
    </xf>
    <xf numFmtId="0" fontId="27" fillId="8" borderId="20" xfId="0" applyFont="1" applyFill="1" applyBorder="1" applyAlignment="1">
      <alignment horizontal="center" vertical="center"/>
    </xf>
    <xf numFmtId="0" fontId="23" fillId="0" borderId="20" xfId="0" applyFont="1" applyBorder="1" applyAlignment="1">
      <alignment horizontal="center" vertical="center" wrapText="1"/>
    </xf>
    <xf numFmtId="10" fontId="8" fillId="0" borderId="26" xfId="0" applyNumberFormat="1" applyFont="1" applyBorder="1" applyAlignment="1">
      <alignment horizontal="center" vertical="center" wrapText="1"/>
    </xf>
    <xf numFmtId="10" fontId="8" fillId="0" borderId="27" xfId="0" applyNumberFormat="1" applyFont="1" applyBorder="1" applyAlignment="1">
      <alignment horizontal="center" vertical="center" wrapText="1"/>
    </xf>
  </cellXfs>
  <cellStyles count="4">
    <cellStyle name="Hipervínculo" xfId="3" builtinId="8"/>
    <cellStyle name="Moneda [0]" xfId="1" builtinId="7"/>
    <cellStyle name="Normal" xfId="0" builtinId="0"/>
    <cellStyle name="Porcentaje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10585</xdr:colOff>
      <xdr:row>29</xdr:row>
      <xdr:rowOff>158749</xdr:rowOff>
    </xdr:from>
    <xdr:to>
      <xdr:col>15</xdr:col>
      <xdr:colOff>560920</xdr:colOff>
      <xdr:row>34</xdr:row>
      <xdr:rowOff>95250</xdr:rowOff>
    </xdr:to>
    <xdr:cxnSp macro="">
      <xdr:nvCxnSpPr>
        <xdr:cNvPr id="11" name="Conector: angular 10">
          <a:extLst>
            <a:ext uri="{FF2B5EF4-FFF2-40B4-BE49-F238E27FC236}">
              <a16:creationId xmlns:a16="http://schemas.microsoft.com/office/drawing/2014/main" id="{C42C4B8F-C719-4C9C-F23B-4CCF8B792844}"/>
            </a:ext>
          </a:extLst>
        </xdr:cNvPr>
        <xdr:cNvCxnSpPr/>
      </xdr:nvCxnSpPr>
      <xdr:spPr>
        <a:xfrm rot="10800000" flipV="1">
          <a:off x="7344835" y="5831416"/>
          <a:ext cx="836085" cy="836084"/>
        </a:xfrm>
        <a:prstGeom prst="bentConnector3">
          <a:avLst>
            <a:gd name="adj1" fmla="val 70253"/>
          </a:avLst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drive/u/1/folders/1ICmiUyg6h4yGuilE-_1Bz0C0a-_w_nPU" TargetMode="External"/><Relationship Id="rId2" Type="http://schemas.openxmlformats.org/officeDocument/2006/relationships/hyperlink" Target="https://youtu.be/2DvA9-3T5-U" TargetMode="External"/><Relationship Id="rId1" Type="http://schemas.openxmlformats.org/officeDocument/2006/relationships/hyperlink" Target="https://www.instagram.com/pattymorenom_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revired.com/reforma-de-pensiones-2025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F1711-40BC-4BC6-84CB-16CBC26723A6}">
  <dimension ref="A1:AJ53"/>
  <sheetViews>
    <sheetView showGridLines="0" tabSelected="1" zoomScale="90" zoomScaleNormal="90" workbookViewId="0">
      <selection activeCell="C5" sqref="C5:M5"/>
    </sheetView>
  </sheetViews>
  <sheetFormatPr baseColWidth="10" defaultRowHeight="14.25" x14ac:dyDescent="0.2"/>
  <cols>
    <col min="1" max="1" width="10.5703125" style="82" customWidth="1"/>
    <col min="2" max="2" width="2.140625" style="1" customWidth="1"/>
    <col min="3" max="3" width="20.5703125" style="1" customWidth="1"/>
    <col min="4" max="4" width="2.7109375" style="1" customWidth="1"/>
    <col min="5" max="6" width="3.140625" style="1" customWidth="1"/>
    <col min="7" max="7" width="6.5703125" style="1" customWidth="1"/>
    <col min="8" max="8" width="12.140625" style="1" customWidth="1"/>
    <col min="9" max="9" width="2.85546875" style="1" customWidth="1"/>
    <col min="10" max="10" width="8.5703125" style="1" customWidth="1"/>
    <col min="11" max="11" width="11.140625" style="1" customWidth="1"/>
    <col min="12" max="12" width="11.5703125" style="1" customWidth="1"/>
    <col min="13" max="13" width="12.140625" style="1" customWidth="1"/>
    <col min="14" max="14" width="2.42578125" style="1" customWidth="1"/>
    <col min="15" max="15" width="4.28515625" style="1" customWidth="1"/>
    <col min="16" max="22" width="11.42578125" style="1"/>
    <col min="23" max="23" width="6" style="1" customWidth="1"/>
    <col min="24" max="24" width="7.140625" style="1" customWidth="1"/>
    <col min="25" max="26" width="14.42578125" style="1" customWidth="1"/>
    <col min="27" max="27" width="12.42578125" style="1" bestFit="1" customWidth="1"/>
    <col min="28" max="28" width="15.28515625" style="1" bestFit="1" customWidth="1"/>
    <col min="29" max="30" width="14.5703125" style="1" customWidth="1"/>
    <col min="31" max="31" width="11.42578125" style="1"/>
    <col min="32" max="32" width="13.5703125" style="1" customWidth="1"/>
    <col min="33" max="16384" width="11.42578125" style="1"/>
  </cols>
  <sheetData>
    <row r="1" spans="1:36" x14ac:dyDescent="0.2">
      <c r="A1" s="81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165" t="s">
        <v>29</v>
      </c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</row>
    <row r="2" spans="1:36" ht="23.25" customHeight="1" x14ac:dyDescent="0.25">
      <c r="A2" s="81"/>
      <c r="B2" s="2"/>
      <c r="C2" s="127" t="s">
        <v>175</v>
      </c>
      <c r="D2" s="126"/>
      <c r="E2" s="126"/>
      <c r="F2" s="126"/>
      <c r="G2" s="126"/>
      <c r="H2" s="126"/>
      <c r="I2" s="126"/>
      <c r="J2" s="126"/>
      <c r="K2" s="8" t="s">
        <v>177</v>
      </c>
      <c r="L2" s="126"/>
      <c r="M2" s="126"/>
      <c r="N2" s="2"/>
      <c r="O2" s="6"/>
      <c r="P2" s="6"/>
      <c r="Q2" s="166" t="s">
        <v>180</v>
      </c>
      <c r="R2" s="166"/>
      <c r="S2" s="166"/>
      <c r="T2" s="166"/>
      <c r="U2" s="166"/>
      <c r="V2" s="6"/>
      <c r="W2" s="165"/>
      <c r="X2" s="6"/>
      <c r="Y2" s="86" t="s">
        <v>29</v>
      </c>
      <c r="Z2" s="6"/>
      <c r="AA2" s="6"/>
      <c r="AB2" s="52"/>
      <c r="AC2" s="6"/>
      <c r="AD2" s="6"/>
      <c r="AE2" s="6"/>
      <c r="AF2" s="6"/>
      <c r="AG2" s="6"/>
      <c r="AH2" s="6"/>
      <c r="AI2" s="6"/>
      <c r="AJ2" s="6"/>
    </row>
    <row r="3" spans="1:36" ht="15" x14ac:dyDescent="0.2">
      <c r="A3" s="81"/>
      <c r="B3" s="2"/>
      <c r="C3" s="8" t="s">
        <v>176</v>
      </c>
      <c r="D3" s="8"/>
      <c r="E3" s="8"/>
      <c r="F3" s="8"/>
      <c r="G3" s="8"/>
      <c r="H3" s="8"/>
      <c r="I3" s="8"/>
      <c r="J3" s="8"/>
      <c r="K3" s="8" t="s">
        <v>178</v>
      </c>
      <c r="L3" s="8"/>
      <c r="M3" s="8"/>
      <c r="N3" s="2"/>
      <c r="O3" s="6"/>
      <c r="P3" s="6"/>
      <c r="Q3" s="6"/>
      <c r="R3" s="6"/>
      <c r="S3" s="6"/>
      <c r="T3" s="6"/>
      <c r="U3" s="6"/>
      <c r="V3" s="6"/>
      <c r="W3" s="165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ht="15" x14ac:dyDescent="0.25">
      <c r="A4" s="81"/>
      <c r="B4" s="2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2"/>
      <c r="O4" s="6"/>
      <c r="P4" s="6"/>
      <c r="Q4" s="6" t="s">
        <v>160</v>
      </c>
      <c r="R4" s="6" t="str">
        <f>IF(L10&gt;30,"Completa","Parcial")</f>
        <v>Completa</v>
      </c>
      <c r="S4" s="6" t="s">
        <v>161</v>
      </c>
      <c r="T4" s="117">
        <v>0</v>
      </c>
      <c r="U4" s="6" t="s">
        <v>162</v>
      </c>
      <c r="V4" s="6"/>
      <c r="W4" s="165"/>
      <c r="X4" s="6"/>
      <c r="Y4" s="6" t="s">
        <v>27</v>
      </c>
      <c r="Z4" s="6"/>
      <c r="AA4" s="51">
        <v>39383.07</v>
      </c>
      <c r="AB4" s="48" t="s">
        <v>28</v>
      </c>
      <c r="AC4" s="50">
        <v>68647</v>
      </c>
      <c r="AD4" s="6"/>
      <c r="AE4" s="53" t="s">
        <v>147</v>
      </c>
      <c r="AF4" s="6"/>
      <c r="AG4" s="6"/>
      <c r="AH4" s="6"/>
      <c r="AI4" s="6"/>
      <c r="AJ4" s="6"/>
    </row>
    <row r="5" spans="1:36" ht="23.25" x14ac:dyDescent="0.35">
      <c r="A5" s="81"/>
      <c r="B5" s="2"/>
      <c r="C5" s="134" t="s">
        <v>19</v>
      </c>
      <c r="D5" s="135"/>
      <c r="E5" s="135"/>
      <c r="F5" s="135"/>
      <c r="G5" s="135"/>
      <c r="H5" s="135"/>
      <c r="I5" s="135"/>
      <c r="J5" s="135"/>
      <c r="K5" s="135"/>
      <c r="L5" s="135"/>
      <c r="M5" s="136"/>
      <c r="N5" s="2"/>
      <c r="O5" s="6"/>
      <c r="P5" s="6"/>
      <c r="Q5" s="6"/>
      <c r="R5" s="6"/>
      <c r="S5" s="6"/>
      <c r="T5" s="75">
        <f>(T4*UF)/30*(30-Dias_lic)</f>
        <v>0</v>
      </c>
      <c r="U5" s="6"/>
      <c r="V5" s="6"/>
      <c r="W5" s="165"/>
      <c r="X5" s="6"/>
      <c r="Y5" s="53" t="s">
        <v>30</v>
      </c>
      <c r="Z5" s="6"/>
      <c r="AA5" s="6"/>
      <c r="AB5" s="6"/>
      <c r="AC5" s="6"/>
      <c r="AD5" s="6"/>
      <c r="AE5" s="6" t="s">
        <v>150</v>
      </c>
      <c r="AF5" s="6"/>
      <c r="AG5" s="6"/>
      <c r="AH5" s="6"/>
      <c r="AI5" s="6"/>
      <c r="AJ5" s="6"/>
    </row>
    <row r="6" spans="1:36" ht="18" x14ac:dyDescent="0.25">
      <c r="A6" s="81"/>
      <c r="B6" s="2"/>
      <c r="C6" s="137" t="s">
        <v>22</v>
      </c>
      <c r="D6" s="137"/>
      <c r="E6" s="137"/>
      <c r="F6" s="138"/>
      <c r="G6" s="138"/>
      <c r="H6" s="138"/>
      <c r="I6" s="138"/>
      <c r="J6" s="138"/>
      <c r="K6" s="138"/>
      <c r="L6" s="138"/>
      <c r="M6" s="138"/>
      <c r="N6" s="2"/>
      <c r="O6" s="6"/>
      <c r="P6" s="6"/>
      <c r="Q6" s="130" t="s">
        <v>72</v>
      </c>
      <c r="R6" s="130"/>
      <c r="S6" s="130"/>
      <c r="T6" s="130"/>
      <c r="U6" s="130"/>
      <c r="V6" s="6"/>
      <c r="W6" s="165"/>
      <c r="X6" s="6"/>
      <c r="Y6" s="6" t="s">
        <v>31</v>
      </c>
      <c r="Z6" s="6"/>
      <c r="AA6" s="6"/>
      <c r="AB6" s="54">
        <f>AA4*87.8</f>
        <v>3457834</v>
      </c>
      <c r="AC6" s="6"/>
      <c r="AD6" s="6"/>
      <c r="AE6" s="6" t="s">
        <v>151</v>
      </c>
      <c r="AF6" s="6"/>
      <c r="AG6" s="6"/>
      <c r="AH6" s="6"/>
      <c r="AI6" s="6"/>
      <c r="AJ6" s="6"/>
    </row>
    <row r="7" spans="1:36" x14ac:dyDescent="0.2">
      <c r="A7" s="81"/>
      <c r="B7" s="2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2"/>
      <c r="O7" s="6"/>
      <c r="P7" s="6"/>
      <c r="Q7" s="130"/>
      <c r="R7" s="130"/>
      <c r="S7" s="130"/>
      <c r="T7" s="130"/>
      <c r="U7" s="130"/>
      <c r="V7" s="6"/>
      <c r="W7" s="165"/>
      <c r="X7" s="6"/>
      <c r="Y7" s="6" t="s">
        <v>32</v>
      </c>
      <c r="Z7" s="6"/>
      <c r="AA7" s="6"/>
      <c r="AB7" s="54">
        <f>AA4*131.9</f>
        <v>5194627</v>
      </c>
      <c r="AC7" s="6"/>
      <c r="AD7" s="6"/>
      <c r="AE7" s="6" t="s">
        <v>152</v>
      </c>
      <c r="AF7" s="6"/>
      <c r="AG7" s="6"/>
      <c r="AH7" s="6"/>
      <c r="AI7" s="6"/>
      <c r="AJ7" s="6"/>
    </row>
    <row r="8" spans="1:36" ht="15.75" customHeight="1" x14ac:dyDescent="0.2">
      <c r="A8" s="81"/>
      <c r="B8" s="2"/>
      <c r="C8" s="8" t="s">
        <v>0</v>
      </c>
      <c r="D8" s="2"/>
      <c r="E8" s="133" t="s">
        <v>179</v>
      </c>
      <c r="F8" s="133"/>
      <c r="G8" s="133"/>
      <c r="H8" s="133"/>
      <c r="I8" s="2"/>
      <c r="J8" s="7" t="s">
        <v>20</v>
      </c>
      <c r="K8" s="2"/>
      <c r="L8" s="2">
        <v>30</v>
      </c>
      <c r="M8" s="2"/>
      <c r="N8" s="2"/>
      <c r="O8" s="6"/>
      <c r="P8" s="64" t="s">
        <v>75</v>
      </c>
      <c r="Q8" s="6"/>
      <c r="R8" s="6"/>
      <c r="S8" s="64" t="s">
        <v>56</v>
      </c>
      <c r="T8" s="64" t="s">
        <v>57</v>
      </c>
      <c r="U8" s="64" t="s">
        <v>73</v>
      </c>
      <c r="V8" s="6"/>
      <c r="W8" s="165"/>
      <c r="X8" s="6"/>
      <c r="Y8" s="6"/>
      <c r="Z8" s="6"/>
      <c r="AA8" s="6"/>
      <c r="AB8" s="6"/>
      <c r="AC8" s="6"/>
      <c r="AD8" s="6"/>
      <c r="AE8" s="6" t="s">
        <v>153</v>
      </c>
      <c r="AF8" s="6"/>
      <c r="AG8" s="6"/>
      <c r="AH8" s="6"/>
      <c r="AI8" s="6"/>
      <c r="AJ8" s="6"/>
    </row>
    <row r="9" spans="1:36" ht="15" x14ac:dyDescent="0.25">
      <c r="A9" s="81"/>
      <c r="B9" s="2"/>
      <c r="C9" s="2" t="s">
        <v>1</v>
      </c>
      <c r="D9" s="2"/>
      <c r="E9" s="132" t="s">
        <v>16</v>
      </c>
      <c r="F9" s="132"/>
      <c r="G9" s="132"/>
      <c r="H9" s="132"/>
      <c r="I9" s="2"/>
      <c r="J9" s="7" t="s">
        <v>21</v>
      </c>
      <c r="K9" s="5"/>
      <c r="L9" s="47">
        <v>529000</v>
      </c>
      <c r="M9" s="5"/>
      <c r="N9" s="2"/>
      <c r="O9" s="6"/>
      <c r="P9" s="76">
        <f>IF(H24&lt;Tope_afp,H24,Tope_afp)</f>
        <v>529000</v>
      </c>
      <c r="Q9" s="6" t="s">
        <v>74</v>
      </c>
      <c r="R9" s="6"/>
      <c r="S9" s="63">
        <f>M14</f>
        <v>60518</v>
      </c>
      <c r="T9" s="63">
        <f>IF(Tipo="Activo",P9*Aporte_afp,IF(Tipo="Invalidez Parcial",P9*Aporte_afp,0))+P9*AA29</f>
        <v>6401</v>
      </c>
      <c r="U9" s="63">
        <f t="shared" ref="U9:U13" si="0">S9+T9</f>
        <v>66919</v>
      </c>
      <c r="V9" s="6"/>
      <c r="W9" s="165"/>
      <c r="X9" s="6"/>
      <c r="Y9" s="53" t="s">
        <v>33</v>
      </c>
      <c r="Z9" s="6"/>
      <c r="AA9" s="6"/>
      <c r="AB9" s="53" t="s">
        <v>42</v>
      </c>
      <c r="AC9" s="6"/>
      <c r="AD9" s="6"/>
      <c r="AE9" s="6" t="s">
        <v>154</v>
      </c>
      <c r="AF9" s="6"/>
      <c r="AG9" s="6"/>
      <c r="AH9" s="6"/>
      <c r="AI9" s="6"/>
      <c r="AJ9" s="6"/>
    </row>
    <row r="10" spans="1:36" ht="15" x14ac:dyDescent="0.2">
      <c r="A10" s="81"/>
      <c r="B10" s="2"/>
      <c r="C10" s="2" t="s">
        <v>24</v>
      </c>
      <c r="D10" s="4"/>
      <c r="E10" s="131">
        <v>45672</v>
      </c>
      <c r="F10" s="132"/>
      <c r="G10" s="132"/>
      <c r="H10" s="4"/>
      <c r="I10" s="2"/>
      <c r="J10" s="7" t="s">
        <v>25</v>
      </c>
      <c r="K10" s="5"/>
      <c r="L10" s="2">
        <v>44</v>
      </c>
      <c r="M10" s="2" t="s">
        <v>26</v>
      </c>
      <c r="N10" s="2"/>
      <c r="O10" s="6"/>
      <c r="P10" s="76">
        <f>IF(H24&lt;Tope_afp,H24,Tope_afp)</f>
        <v>529000</v>
      </c>
      <c r="Q10" s="6" t="s">
        <v>77</v>
      </c>
      <c r="R10" s="6"/>
      <c r="S10" s="63"/>
      <c r="T10" s="63">
        <f>IF(Tipo="Activo",P10*Expec_vida,IF(Tipo="Invalidez Parcial",P10*Expec_vida,0))</f>
        <v>4761</v>
      </c>
      <c r="U10" s="63">
        <f t="shared" si="0"/>
        <v>4761</v>
      </c>
      <c r="V10" s="6"/>
      <c r="W10" s="165"/>
      <c r="X10" s="6"/>
      <c r="Y10" s="55" t="s">
        <v>34</v>
      </c>
      <c r="Z10" s="56">
        <v>0.1144</v>
      </c>
      <c r="AA10" s="6"/>
      <c r="AB10" s="6" t="s">
        <v>43</v>
      </c>
      <c r="AC10" s="6"/>
      <c r="AD10" s="6"/>
      <c r="AE10" s="6" t="s">
        <v>155</v>
      </c>
      <c r="AF10" s="6"/>
      <c r="AG10" s="6"/>
      <c r="AH10" s="6"/>
      <c r="AI10" s="6"/>
      <c r="AJ10" s="6"/>
    </row>
    <row r="11" spans="1:36" ht="15" customHeight="1" x14ac:dyDescent="0.2">
      <c r="A11" s="81"/>
      <c r="B11" s="2"/>
      <c r="C11" s="2" t="s">
        <v>44</v>
      </c>
      <c r="D11" s="4"/>
      <c r="E11" s="131" t="s">
        <v>45</v>
      </c>
      <c r="F11" s="131"/>
      <c r="G11" s="131"/>
      <c r="H11" s="4"/>
      <c r="I11" s="2"/>
      <c r="J11" s="159" t="s">
        <v>87</v>
      </c>
      <c r="K11" s="159"/>
      <c r="L11" s="157" t="s">
        <v>145</v>
      </c>
      <c r="M11" s="157"/>
      <c r="N11" s="2"/>
      <c r="O11" s="6"/>
      <c r="P11" s="76">
        <f>IF(H24&lt;Tope_afp,H24,Tope_afp)</f>
        <v>529000</v>
      </c>
      <c r="Q11" s="6" t="s">
        <v>60</v>
      </c>
      <c r="R11" s="6"/>
      <c r="S11" s="63"/>
      <c r="T11" s="63">
        <f>IF(Tipo="Activo",P11*SIS,IF(Tipo="Invalidez Parcial",P11*SIS,0))</f>
        <v>9945</v>
      </c>
      <c r="U11" s="63">
        <f t="shared" si="0"/>
        <v>9945</v>
      </c>
      <c r="V11" s="6"/>
      <c r="W11" s="165"/>
      <c r="X11" s="6"/>
      <c r="Y11" s="57" t="s">
        <v>35</v>
      </c>
      <c r="Z11" s="58">
        <v>0.1144</v>
      </c>
      <c r="AA11" s="6"/>
      <c r="AB11" s="6" t="s">
        <v>46</v>
      </c>
      <c r="AC11" s="6"/>
      <c r="AD11" s="6"/>
      <c r="AE11" s="6" t="s">
        <v>156</v>
      </c>
      <c r="AF11" s="6"/>
      <c r="AG11" s="6"/>
      <c r="AH11" s="6"/>
      <c r="AI11" s="6"/>
      <c r="AJ11" s="6"/>
    </row>
    <row r="12" spans="1:36" ht="15" customHeight="1" x14ac:dyDescent="0.2">
      <c r="A12" s="81"/>
      <c r="B12" s="2"/>
      <c r="C12" s="2"/>
      <c r="D12" s="2"/>
      <c r="E12" s="2"/>
      <c r="F12" s="2"/>
      <c r="G12" s="2"/>
      <c r="H12" s="2"/>
      <c r="I12" s="2"/>
      <c r="J12" s="160"/>
      <c r="K12" s="160"/>
      <c r="L12" s="158"/>
      <c r="M12" s="158"/>
      <c r="N12" s="2"/>
      <c r="O12" s="6"/>
      <c r="P12" s="76">
        <f>IF(H24&lt;Tope_afc,H24,Tope_afc)</f>
        <v>529000</v>
      </c>
      <c r="Q12" s="6" t="s">
        <v>76</v>
      </c>
      <c r="R12" s="6"/>
      <c r="S12" s="63"/>
      <c r="T12" s="63">
        <f>P12*Afc_emp</f>
        <v>15870</v>
      </c>
      <c r="U12" s="63">
        <f t="shared" si="0"/>
        <v>15870</v>
      </c>
      <c r="V12" s="6"/>
      <c r="W12" s="165"/>
      <c r="X12" s="6"/>
      <c r="Y12" s="57" t="s">
        <v>36</v>
      </c>
      <c r="Z12" s="58">
        <v>0.11269999999999999</v>
      </c>
      <c r="AA12" s="6"/>
      <c r="AB12" s="6" t="s">
        <v>47</v>
      </c>
      <c r="AC12" s="6"/>
      <c r="AD12" s="6"/>
      <c r="AE12" s="6" t="s">
        <v>157</v>
      </c>
      <c r="AF12" s="6"/>
      <c r="AG12" s="6"/>
      <c r="AH12" s="6"/>
      <c r="AI12" s="6"/>
      <c r="AJ12" s="6"/>
    </row>
    <row r="13" spans="1:36" ht="15" x14ac:dyDescent="0.25">
      <c r="A13" s="81"/>
      <c r="B13" s="2"/>
      <c r="C13" s="151" t="s">
        <v>23</v>
      </c>
      <c r="D13" s="152"/>
      <c r="E13" s="152"/>
      <c r="F13" s="152"/>
      <c r="G13" s="153"/>
      <c r="H13" s="25" t="s">
        <v>2</v>
      </c>
      <c r="I13" s="2"/>
      <c r="J13" s="151" t="s">
        <v>3</v>
      </c>
      <c r="K13" s="152"/>
      <c r="L13" s="153"/>
      <c r="M13" s="25" t="s">
        <v>2</v>
      </c>
      <c r="N13" s="2"/>
      <c r="O13" s="6"/>
      <c r="P13" s="76">
        <f>IF(H24&lt;Tope_afp,H24,Tope_afp)</f>
        <v>529000</v>
      </c>
      <c r="Q13" s="6" t="s">
        <v>41</v>
      </c>
      <c r="R13" s="6"/>
      <c r="S13" s="63">
        <f>M17+M18</f>
        <v>37030</v>
      </c>
      <c r="T13" s="6"/>
      <c r="U13" s="63">
        <f t="shared" si="0"/>
        <v>37030</v>
      </c>
      <c r="V13" s="6"/>
      <c r="W13" s="165"/>
      <c r="X13" s="6"/>
      <c r="Y13" s="57" t="s">
        <v>37</v>
      </c>
      <c r="Z13" s="58">
        <v>0.1116</v>
      </c>
      <c r="AA13" s="6"/>
      <c r="AB13" s="6" t="s">
        <v>48</v>
      </c>
      <c r="AC13" s="6"/>
      <c r="AD13" s="6"/>
      <c r="AE13" s="6" t="s">
        <v>158</v>
      </c>
      <c r="AF13" s="6"/>
      <c r="AG13" s="6"/>
      <c r="AH13" s="6"/>
      <c r="AI13" s="6"/>
      <c r="AJ13" s="6"/>
    </row>
    <row r="14" spans="1:36" x14ac:dyDescent="0.2">
      <c r="A14" s="84" t="s">
        <v>81</v>
      </c>
      <c r="B14" s="2"/>
      <c r="C14" s="13" t="s">
        <v>4</v>
      </c>
      <c r="D14" s="40"/>
      <c r="E14" s="40"/>
      <c r="F14" s="9"/>
      <c r="G14" s="14"/>
      <c r="H14" s="22">
        <f>Sueldo/30*Dias_trab</f>
        <v>529000</v>
      </c>
      <c r="I14" s="2"/>
      <c r="J14" s="13" t="s">
        <v>40</v>
      </c>
      <c r="K14" s="12"/>
      <c r="L14" s="31"/>
      <c r="M14" s="22">
        <f>P9*L15</f>
        <v>60518</v>
      </c>
      <c r="N14" s="2"/>
      <c r="O14" s="6"/>
      <c r="P14" s="76">
        <f>IF(H24&lt;Tope_afp,H24,Tope_afp)</f>
        <v>529000</v>
      </c>
      <c r="Q14" s="6" t="s">
        <v>134</v>
      </c>
      <c r="R14" s="6"/>
      <c r="S14" s="6"/>
      <c r="T14" s="63">
        <f>P14*(AA27+AA28)</f>
        <v>4920</v>
      </c>
      <c r="U14" s="63">
        <f>S14+T14</f>
        <v>4920</v>
      </c>
      <c r="V14" s="6"/>
      <c r="W14" s="165"/>
      <c r="X14" s="6"/>
      <c r="Y14" s="57" t="s">
        <v>38</v>
      </c>
      <c r="Z14" s="58">
        <v>0.1145</v>
      </c>
      <c r="AA14" s="6"/>
      <c r="AB14" s="6" t="s">
        <v>18</v>
      </c>
      <c r="AC14" s="6"/>
      <c r="AD14" s="6"/>
      <c r="AE14" s="6" t="s">
        <v>159</v>
      </c>
      <c r="AF14" s="6"/>
      <c r="AG14" s="6"/>
      <c r="AH14" s="6"/>
      <c r="AI14" s="6"/>
      <c r="AJ14" s="6"/>
    </row>
    <row r="15" spans="1:36" ht="15.75" x14ac:dyDescent="0.25">
      <c r="A15" s="87">
        <f>Valor_hora*1.5</f>
        <v>4208</v>
      </c>
      <c r="B15" s="2"/>
      <c r="C15" s="15" t="s">
        <v>5</v>
      </c>
      <c r="D15" s="44">
        <v>0</v>
      </c>
      <c r="E15" s="45" t="s">
        <v>82</v>
      </c>
      <c r="F15" s="44">
        <v>0</v>
      </c>
      <c r="G15" s="46" t="s">
        <v>83</v>
      </c>
      <c r="H15" s="22">
        <f>Valor_HE*D15+(Valor_HE/60*F15)</f>
        <v>0</v>
      </c>
      <c r="I15" s="2"/>
      <c r="J15" s="167" t="s">
        <v>34</v>
      </c>
      <c r="K15" s="168"/>
      <c r="L15" s="3">
        <f>VLOOKUP(J15,Y10:Z17,2,FALSE)</f>
        <v>0.1144</v>
      </c>
      <c r="M15" s="22"/>
      <c r="N15" s="2"/>
      <c r="O15" s="6"/>
      <c r="P15" s="6"/>
      <c r="Q15" s="80" t="s">
        <v>78</v>
      </c>
      <c r="R15" s="77"/>
      <c r="S15" s="78">
        <f>SUM(S9:S14)</f>
        <v>97548</v>
      </c>
      <c r="T15" s="78">
        <f>SUM(T9:T14)</f>
        <v>41897</v>
      </c>
      <c r="U15" s="79">
        <f>SUM(U9:U14)</f>
        <v>139445</v>
      </c>
      <c r="V15" s="6"/>
      <c r="W15" s="165"/>
      <c r="X15" s="6"/>
      <c r="Y15" s="57" t="s">
        <v>17</v>
      </c>
      <c r="Z15" s="58">
        <v>0.10580000000000001</v>
      </c>
      <c r="AA15" s="6"/>
      <c r="AB15" s="6" t="s">
        <v>49</v>
      </c>
      <c r="AC15" s="6"/>
      <c r="AD15" s="6"/>
      <c r="AE15" s="6"/>
      <c r="AF15" s="6"/>
      <c r="AG15" s="6"/>
      <c r="AH15" s="6"/>
      <c r="AI15" s="6"/>
      <c r="AJ15" s="6"/>
    </row>
    <row r="16" spans="1:36" x14ac:dyDescent="0.2">
      <c r="A16" s="81"/>
      <c r="B16" s="2"/>
      <c r="C16" s="15"/>
      <c r="D16" s="44"/>
      <c r="E16" s="45"/>
      <c r="F16" s="44"/>
      <c r="G16" s="46"/>
      <c r="H16" s="22"/>
      <c r="I16" s="2"/>
      <c r="J16" s="32" t="s">
        <v>41</v>
      </c>
      <c r="K16" s="12"/>
      <c r="L16" s="33"/>
      <c r="M16" s="22"/>
      <c r="N16" s="2"/>
      <c r="O16" s="6"/>
      <c r="P16" s="6"/>
      <c r="Q16" s="6"/>
      <c r="R16" s="6"/>
      <c r="S16" s="6"/>
      <c r="T16" s="6"/>
      <c r="U16" s="6"/>
      <c r="V16" s="6"/>
      <c r="W16" s="165"/>
      <c r="X16" s="6"/>
      <c r="Y16" s="57" t="s">
        <v>39</v>
      </c>
      <c r="Z16" s="58">
        <v>0.10489999999999999</v>
      </c>
      <c r="AA16" s="6"/>
      <c r="AB16" s="6" t="s">
        <v>50</v>
      </c>
      <c r="AC16" s="6"/>
      <c r="AD16" s="6"/>
      <c r="AE16" s="6"/>
      <c r="AF16" s="6"/>
      <c r="AG16" s="6"/>
      <c r="AH16" s="6"/>
      <c r="AI16" s="6"/>
      <c r="AJ16" s="6"/>
    </row>
    <row r="17" spans="1:36" ht="15" customHeight="1" x14ac:dyDescent="0.25">
      <c r="A17" s="81"/>
      <c r="B17" s="2"/>
      <c r="C17" s="15"/>
      <c r="D17" s="41"/>
      <c r="E17" s="41"/>
      <c r="F17" s="44"/>
      <c r="G17" s="46"/>
      <c r="H17" s="22"/>
      <c r="I17" s="2"/>
      <c r="J17" s="167" t="s">
        <v>43</v>
      </c>
      <c r="K17" s="168"/>
      <c r="L17" s="89">
        <v>7.0000000000000007E-2</v>
      </c>
      <c r="M17" s="22">
        <f>P9*L17</f>
        <v>37030</v>
      </c>
      <c r="N17" s="2"/>
      <c r="O17" s="6"/>
      <c r="P17" s="6"/>
      <c r="Q17" s="86" t="s">
        <v>181</v>
      </c>
      <c r="R17" s="6"/>
      <c r="S17" s="6"/>
      <c r="T17" s="6"/>
      <c r="U17" s="6"/>
      <c r="V17" s="6"/>
      <c r="W17" s="165"/>
      <c r="X17" s="6"/>
      <c r="Y17" s="6" t="s">
        <v>146</v>
      </c>
      <c r="Z17" s="59">
        <v>0</v>
      </c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x14ac:dyDescent="0.2">
      <c r="A18" s="84" t="s">
        <v>80</v>
      </c>
      <c r="B18" s="2"/>
      <c r="C18" s="15"/>
      <c r="D18" s="41"/>
      <c r="E18" s="41"/>
      <c r="F18" s="9"/>
      <c r="G18" s="14"/>
      <c r="H18" s="22"/>
      <c r="I18" s="2"/>
      <c r="J18" s="148" t="s">
        <v>6</v>
      </c>
      <c r="K18" s="149"/>
      <c r="L18" s="150"/>
      <c r="M18" s="22">
        <f>IF(M17&lt;T5,T5-M17,0)</f>
        <v>0</v>
      </c>
      <c r="N18" s="2"/>
      <c r="O18" s="6"/>
      <c r="P18" s="6"/>
      <c r="Q18" s="6" t="s">
        <v>184</v>
      </c>
      <c r="R18" s="6"/>
      <c r="S18" s="6"/>
      <c r="T18" s="63">
        <f>U10</f>
        <v>4761</v>
      </c>
      <c r="U18" s="6"/>
      <c r="V18" s="6"/>
      <c r="W18" s="165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x14ac:dyDescent="0.2">
      <c r="A19" s="87">
        <f>((Sueldo/30)*28)/(Horas*4)</f>
        <v>2805</v>
      </c>
      <c r="B19" s="2"/>
      <c r="C19" s="156" t="s">
        <v>144</v>
      </c>
      <c r="D19" s="44">
        <v>0</v>
      </c>
      <c r="E19" s="45" t="s">
        <v>82</v>
      </c>
      <c r="F19" s="44">
        <v>0</v>
      </c>
      <c r="G19" s="46" t="s">
        <v>83</v>
      </c>
      <c r="H19" s="60">
        <f>-(Valor_hora*D19+(Valor_hora/60*F19))</f>
        <v>0</v>
      </c>
      <c r="I19" s="2"/>
      <c r="J19" s="13"/>
      <c r="K19" s="2"/>
      <c r="L19" s="62"/>
      <c r="M19" s="22"/>
      <c r="N19" s="2"/>
      <c r="O19" s="6"/>
      <c r="P19" s="6"/>
      <c r="Q19" s="6" t="s">
        <v>113</v>
      </c>
      <c r="R19" s="63" t="str">
        <f>J15</f>
        <v>Capital</v>
      </c>
      <c r="S19" s="6"/>
      <c r="T19" s="63">
        <f>U9+U12+U11</f>
        <v>92734</v>
      </c>
      <c r="U19" s="6"/>
      <c r="V19" s="6"/>
      <c r="W19" s="165"/>
      <c r="X19" s="6"/>
      <c r="Y19" s="6" t="s">
        <v>51</v>
      </c>
      <c r="Z19" s="6"/>
      <c r="AA19" s="50">
        <v>529000</v>
      </c>
      <c r="AB19" s="6"/>
      <c r="AC19" s="6"/>
      <c r="AD19" s="6"/>
      <c r="AE19" s="6"/>
      <c r="AF19" s="6"/>
      <c r="AG19" s="6"/>
      <c r="AH19" s="6"/>
      <c r="AI19" s="6"/>
      <c r="AJ19" s="6"/>
    </row>
    <row r="20" spans="1:36" x14ac:dyDescent="0.2">
      <c r="A20" s="81"/>
      <c r="B20" s="2"/>
      <c r="C20" s="156"/>
      <c r="D20" s="41"/>
      <c r="E20" s="41"/>
      <c r="F20" s="44"/>
      <c r="G20" s="46"/>
      <c r="H20" s="60"/>
      <c r="I20" s="2"/>
      <c r="J20" s="13"/>
      <c r="K20" s="2"/>
      <c r="L20" s="18"/>
      <c r="M20" s="22"/>
      <c r="N20" s="2"/>
      <c r="O20" s="6"/>
      <c r="P20" s="6"/>
      <c r="Q20" s="6" t="s">
        <v>182</v>
      </c>
      <c r="R20" s="6"/>
      <c r="S20" s="6"/>
      <c r="T20" s="63">
        <f>U14</f>
        <v>4920</v>
      </c>
      <c r="U20" s="6"/>
      <c r="V20" s="6"/>
      <c r="W20" s="165"/>
      <c r="X20" s="6"/>
      <c r="Y20" s="6"/>
      <c r="Z20" s="6"/>
      <c r="AA20" s="61"/>
      <c r="AB20" s="6"/>
      <c r="AC20" s="6"/>
      <c r="AD20" s="6"/>
      <c r="AE20" s="6"/>
      <c r="AF20" s="6"/>
      <c r="AG20" s="6"/>
      <c r="AH20" s="6"/>
      <c r="AI20" s="6"/>
      <c r="AJ20" s="6"/>
    </row>
    <row r="21" spans="1:36" x14ac:dyDescent="0.2">
      <c r="A21" s="83"/>
      <c r="B21" s="2"/>
      <c r="C21" s="15"/>
      <c r="D21" s="41"/>
      <c r="E21" s="41"/>
      <c r="F21" s="9"/>
      <c r="G21" s="14"/>
      <c r="H21" s="22"/>
      <c r="I21" s="2"/>
      <c r="J21" s="13" t="s">
        <v>7</v>
      </c>
      <c r="K21" s="2"/>
      <c r="L21" s="18"/>
      <c r="M21" s="22"/>
      <c r="N21" s="2"/>
      <c r="O21" s="6"/>
      <c r="P21" s="6"/>
      <c r="Q21" s="63" t="str">
        <f>J17</f>
        <v>Fonasa</v>
      </c>
      <c r="R21" s="6"/>
      <c r="S21" s="6"/>
      <c r="T21" s="63">
        <f>U13</f>
        <v>37030</v>
      </c>
      <c r="U21" s="6"/>
      <c r="V21" s="6"/>
      <c r="W21" s="165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ht="15.75" x14ac:dyDescent="0.25">
      <c r="A22" s="76"/>
      <c r="B22" s="2"/>
      <c r="C22" s="15"/>
      <c r="D22" s="41"/>
      <c r="E22" s="41"/>
      <c r="F22" s="9"/>
      <c r="G22" s="14"/>
      <c r="H22" s="22"/>
      <c r="I22" s="2"/>
      <c r="J22" s="71" t="s">
        <v>68</v>
      </c>
      <c r="K22" s="72"/>
      <c r="L22" s="73">
        <f>H24-SUM(M14:M20)</f>
        <v>431452</v>
      </c>
      <c r="M22" s="22">
        <f>L22*VLOOKUP(L22,AC33:AF40,3,TRUE)-VLOOKUP(L22,AC33:AF40,4,TRUE)</f>
        <v>0</v>
      </c>
      <c r="N22" s="2"/>
      <c r="O22" s="6"/>
      <c r="P22" s="6"/>
      <c r="Q22" s="6"/>
      <c r="R22" s="6"/>
      <c r="S22" s="6"/>
      <c r="T22" s="79">
        <f>SUM(T18:T21)</f>
        <v>139445</v>
      </c>
      <c r="U22" s="128" t="str">
        <f>IF(U15=T22,"ok","error")</f>
        <v>ok</v>
      </c>
      <c r="V22" s="6"/>
      <c r="W22" s="165"/>
      <c r="X22" s="6"/>
      <c r="Y22" s="53" t="s">
        <v>58</v>
      </c>
      <c r="Z22" s="6"/>
      <c r="AA22" s="6"/>
      <c r="AB22" s="6"/>
      <c r="AC22" s="164" t="s">
        <v>69</v>
      </c>
      <c r="AD22" s="164"/>
      <c r="AE22" s="164"/>
      <c r="AF22" s="164"/>
      <c r="AG22" s="6"/>
      <c r="AH22" s="6"/>
      <c r="AI22" s="6"/>
      <c r="AJ22" s="6"/>
    </row>
    <row r="23" spans="1:36" x14ac:dyDescent="0.2">
      <c r="A23" s="81"/>
      <c r="B23" s="2"/>
      <c r="C23" s="16"/>
      <c r="D23" s="42"/>
      <c r="E23" s="42"/>
      <c r="F23" s="10"/>
      <c r="G23" s="17"/>
      <c r="H23" s="22"/>
      <c r="I23" s="2"/>
      <c r="J23" s="13" t="s">
        <v>8</v>
      </c>
      <c r="K23" s="2"/>
      <c r="L23" s="18"/>
      <c r="M23" s="22">
        <f>IF(O23="Si",L22*3%,0)</f>
        <v>0</v>
      </c>
      <c r="N23" s="2"/>
      <c r="O23" s="88" t="s">
        <v>84</v>
      </c>
      <c r="P23" s="6"/>
      <c r="Q23" s="6"/>
      <c r="R23" s="6"/>
      <c r="S23" s="6"/>
      <c r="T23" s="6"/>
      <c r="U23" s="6"/>
      <c r="V23" s="6"/>
      <c r="W23" s="165"/>
      <c r="X23" s="6"/>
      <c r="Y23" s="6" t="s">
        <v>59</v>
      </c>
      <c r="Z23" s="6"/>
      <c r="AA23" s="66">
        <v>1E-3</v>
      </c>
      <c r="AB23" s="6"/>
      <c r="AC23" s="67" t="s">
        <v>70</v>
      </c>
      <c r="AD23" s="68" t="s">
        <v>71</v>
      </c>
      <c r="AE23" s="68" t="s">
        <v>64</v>
      </c>
      <c r="AF23" s="69" t="s">
        <v>65</v>
      </c>
      <c r="AG23" s="6"/>
      <c r="AH23" s="6"/>
      <c r="AI23" s="6"/>
      <c r="AJ23" s="6"/>
    </row>
    <row r="24" spans="1:36" ht="15" x14ac:dyDescent="0.25">
      <c r="A24" s="81"/>
      <c r="B24" s="2"/>
      <c r="C24" s="26" t="s">
        <v>9</v>
      </c>
      <c r="D24" s="43"/>
      <c r="E24" s="43"/>
      <c r="F24" s="27"/>
      <c r="G24" s="28"/>
      <c r="H24" s="29">
        <f>SUM(H14:H23)</f>
        <v>529000</v>
      </c>
      <c r="I24" s="2"/>
      <c r="J24" s="13"/>
      <c r="K24" s="2"/>
      <c r="L24" s="18"/>
      <c r="M24" s="23"/>
      <c r="N24" s="2"/>
      <c r="O24" s="6"/>
      <c r="P24" s="6"/>
      <c r="Q24" s="161" t="s">
        <v>147</v>
      </c>
      <c r="R24" s="161"/>
      <c r="S24" s="161"/>
      <c r="T24" s="161"/>
      <c r="U24" s="161"/>
      <c r="V24" s="6"/>
      <c r="W24" s="165"/>
      <c r="X24" s="6"/>
      <c r="Y24" s="6" t="s">
        <v>61</v>
      </c>
      <c r="Z24" s="6"/>
      <c r="AA24" s="66">
        <v>8.9999999999999993E-3</v>
      </c>
      <c r="AB24" s="6"/>
      <c r="AC24" s="64">
        <v>1</v>
      </c>
      <c r="AD24" s="75">
        <v>22007</v>
      </c>
      <c r="AE24" s="63">
        <v>0</v>
      </c>
      <c r="AF24" s="63">
        <v>620251</v>
      </c>
      <c r="AG24" s="6"/>
      <c r="AH24" s="6"/>
      <c r="AI24" s="6"/>
      <c r="AJ24" s="6"/>
    </row>
    <row r="25" spans="1:36" x14ac:dyDescent="0.2">
      <c r="A25" s="83" t="s">
        <v>70</v>
      </c>
      <c r="B25" s="2"/>
      <c r="C25" s="13"/>
      <c r="D25" s="40"/>
      <c r="E25" s="40"/>
      <c r="F25" s="2"/>
      <c r="G25" s="18"/>
      <c r="H25" s="23"/>
      <c r="I25" s="2"/>
      <c r="J25" s="13"/>
      <c r="K25" s="2"/>
      <c r="L25" s="18"/>
      <c r="M25" s="23"/>
      <c r="N25" s="2"/>
      <c r="O25" s="6"/>
      <c r="P25" s="6"/>
      <c r="Q25" s="6" t="s">
        <v>148</v>
      </c>
      <c r="R25" s="6"/>
      <c r="S25" s="64" t="s">
        <v>149</v>
      </c>
      <c r="T25" s="64" t="s">
        <v>64</v>
      </c>
      <c r="U25" s="64" t="s">
        <v>65</v>
      </c>
      <c r="V25" s="6"/>
      <c r="W25" s="165"/>
      <c r="X25" s="6"/>
      <c r="Y25" s="6" t="s">
        <v>60</v>
      </c>
      <c r="Z25" s="6"/>
      <c r="AA25" s="65">
        <v>1.8800000000000001E-2</v>
      </c>
      <c r="AB25" s="6"/>
      <c r="AC25" s="64">
        <v>2</v>
      </c>
      <c r="AD25" s="75">
        <v>13505</v>
      </c>
      <c r="AE25" s="63">
        <f>AF24+1</f>
        <v>620252</v>
      </c>
      <c r="AF25" s="63">
        <v>905941</v>
      </c>
      <c r="AG25" s="6"/>
      <c r="AH25" s="6"/>
      <c r="AI25" s="6"/>
      <c r="AJ25" s="6"/>
    </row>
    <row r="26" spans="1:36" x14ac:dyDescent="0.2">
      <c r="A26" s="119">
        <v>1</v>
      </c>
      <c r="B26" s="2"/>
      <c r="C26" s="15" t="s">
        <v>53</v>
      </c>
      <c r="D26" s="41"/>
      <c r="E26" s="41"/>
      <c r="F26" s="44">
        <v>0</v>
      </c>
      <c r="G26" s="46" t="s">
        <v>54</v>
      </c>
      <c r="H26" s="22">
        <f>(VLOOKUP(A26,AC24:AF27,2,FALSE))*F26</f>
        <v>0</v>
      </c>
      <c r="I26" s="2"/>
      <c r="J26" s="13"/>
      <c r="K26" s="2"/>
      <c r="L26" s="18"/>
      <c r="M26" s="34"/>
      <c r="N26" s="2"/>
      <c r="O26" s="6"/>
      <c r="P26" s="6"/>
      <c r="Q26" s="162"/>
      <c r="R26" s="162"/>
      <c r="S26" s="115"/>
      <c r="T26" s="116"/>
      <c r="U26" s="116"/>
      <c r="V26" s="6"/>
      <c r="W26" s="165"/>
      <c r="X26" s="6"/>
      <c r="Y26" s="6" t="s">
        <v>62</v>
      </c>
      <c r="Z26" s="6"/>
      <c r="AA26" s="65">
        <v>0.03</v>
      </c>
      <c r="AB26" s="6"/>
      <c r="AC26" s="64">
        <v>3</v>
      </c>
      <c r="AD26" s="75">
        <v>4267</v>
      </c>
      <c r="AE26" s="63">
        <f t="shared" ref="AE26:AE27" si="1">AF25+1</f>
        <v>905942</v>
      </c>
      <c r="AF26" s="63">
        <v>1412957</v>
      </c>
      <c r="AG26" s="6"/>
      <c r="AH26" s="6"/>
      <c r="AI26" s="6"/>
      <c r="AJ26" s="6"/>
    </row>
    <row r="27" spans="1:36" x14ac:dyDescent="0.2">
      <c r="A27" s="83" t="s">
        <v>79</v>
      </c>
      <c r="B27" s="2"/>
      <c r="C27" s="15" t="s">
        <v>52</v>
      </c>
      <c r="D27" s="41"/>
      <c r="E27" s="41"/>
      <c r="F27" s="9"/>
      <c r="G27" s="14"/>
      <c r="H27" s="22">
        <v>0</v>
      </c>
      <c r="I27" s="2"/>
      <c r="J27" s="13"/>
      <c r="K27" s="2"/>
      <c r="L27" s="18"/>
      <c r="M27" s="22"/>
      <c r="N27" s="2"/>
      <c r="O27" s="6"/>
      <c r="P27" s="6"/>
      <c r="Q27" s="162"/>
      <c r="R27" s="162"/>
      <c r="S27" s="115"/>
      <c r="T27" s="116"/>
      <c r="U27" s="116"/>
      <c r="V27" s="6"/>
      <c r="W27" s="165"/>
      <c r="X27" s="6"/>
      <c r="Y27" s="6" t="s">
        <v>85</v>
      </c>
      <c r="Z27" s="6"/>
      <c r="AA27" s="65">
        <v>8.9999999999999993E-3</v>
      </c>
      <c r="AB27" s="6"/>
      <c r="AC27" s="64">
        <v>4</v>
      </c>
      <c r="AD27" s="75">
        <v>0</v>
      </c>
      <c r="AE27" s="63">
        <f t="shared" si="1"/>
        <v>1412958</v>
      </c>
      <c r="AF27" s="63"/>
      <c r="AG27" s="6"/>
      <c r="AH27" s="6"/>
      <c r="AI27" s="6"/>
      <c r="AJ27" s="6"/>
    </row>
    <row r="28" spans="1:36" ht="15" x14ac:dyDescent="0.25">
      <c r="A28" s="118">
        <v>30000</v>
      </c>
      <c r="B28" s="2"/>
      <c r="C28" s="15" t="s">
        <v>11</v>
      </c>
      <c r="D28" s="41"/>
      <c r="E28" s="41"/>
      <c r="F28" s="9"/>
      <c r="G28" s="14"/>
      <c r="H28" s="22">
        <f>A28/30*Dias_trab</f>
        <v>30000</v>
      </c>
      <c r="I28" s="2"/>
      <c r="J28" s="37" t="s">
        <v>10</v>
      </c>
      <c r="K28" s="38"/>
      <c r="L28" s="39"/>
      <c r="M28" s="29">
        <f>SUM(M14:M27)</f>
        <v>97548</v>
      </c>
      <c r="N28" s="2"/>
      <c r="O28" s="6"/>
      <c r="P28" s="6"/>
      <c r="Q28" s="162"/>
      <c r="R28" s="162"/>
      <c r="S28" s="115"/>
      <c r="T28" s="116"/>
      <c r="U28" s="116"/>
      <c r="V28" s="6"/>
      <c r="W28" s="165"/>
      <c r="X28" s="6"/>
      <c r="Y28" s="6" t="s">
        <v>86</v>
      </c>
      <c r="Z28" s="6"/>
      <c r="AA28" s="65">
        <v>2.9999999999999997E-4</v>
      </c>
      <c r="AB28" s="6"/>
      <c r="AC28" s="6"/>
      <c r="AD28" s="6"/>
      <c r="AE28" s="6"/>
      <c r="AF28" s="6"/>
      <c r="AG28" s="6"/>
      <c r="AH28" s="6"/>
      <c r="AI28" s="6"/>
      <c r="AJ28" s="6"/>
    </row>
    <row r="29" spans="1:36" x14ac:dyDescent="0.2">
      <c r="A29" s="118">
        <v>30000</v>
      </c>
      <c r="B29" s="2"/>
      <c r="C29" s="15" t="s">
        <v>12</v>
      </c>
      <c r="D29" s="41"/>
      <c r="E29" s="41"/>
      <c r="F29" s="9"/>
      <c r="G29" s="14"/>
      <c r="H29" s="22">
        <f>A29/30*Dias_trab</f>
        <v>30000</v>
      </c>
      <c r="I29" s="2"/>
      <c r="J29" s="13"/>
      <c r="K29" s="2"/>
      <c r="L29" s="18"/>
      <c r="M29" s="23"/>
      <c r="N29" s="2"/>
      <c r="O29" s="6"/>
      <c r="P29" s="6"/>
      <c r="Q29" s="6"/>
      <c r="R29" s="6"/>
      <c r="S29" s="6"/>
      <c r="T29" s="6"/>
      <c r="U29" s="6"/>
      <c r="V29" s="6"/>
      <c r="W29" s="165"/>
      <c r="X29" s="6"/>
      <c r="Y29" s="6" t="s">
        <v>183</v>
      </c>
      <c r="Z29" s="6"/>
      <c r="AA29" s="65">
        <v>1.11E-2</v>
      </c>
      <c r="AB29" s="6"/>
      <c r="AC29" s="6"/>
      <c r="AD29" s="6"/>
      <c r="AE29" s="6"/>
      <c r="AF29" s="6"/>
      <c r="AG29" s="6"/>
      <c r="AH29" s="6"/>
      <c r="AI29" s="6"/>
      <c r="AJ29" s="6"/>
    </row>
    <row r="30" spans="1:36" x14ac:dyDescent="0.2">
      <c r="A30" s="81"/>
      <c r="B30" s="2"/>
      <c r="C30" s="15"/>
      <c r="D30" s="41"/>
      <c r="E30" s="41"/>
      <c r="F30" s="9"/>
      <c r="G30" s="14"/>
      <c r="H30" s="22"/>
      <c r="I30" s="2"/>
      <c r="J30" s="13" t="s">
        <v>13</v>
      </c>
      <c r="K30" s="2"/>
      <c r="L30" s="18"/>
      <c r="M30" s="22">
        <v>0</v>
      </c>
      <c r="N30" s="2"/>
      <c r="O30" s="6"/>
      <c r="P30" s="6"/>
      <c r="Q30" s="6"/>
      <c r="R30" s="6"/>
      <c r="S30" s="6"/>
      <c r="T30" s="6"/>
      <c r="U30" s="6"/>
      <c r="V30" s="6"/>
      <c r="W30" s="165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</row>
    <row r="31" spans="1:36" ht="13.5" customHeight="1" x14ac:dyDescent="0.25">
      <c r="A31" s="81"/>
      <c r="B31" s="2"/>
      <c r="C31" s="13"/>
      <c r="D31" s="40"/>
      <c r="E31" s="40"/>
      <c r="F31" s="2"/>
      <c r="G31" s="18"/>
      <c r="H31" s="23"/>
      <c r="I31" s="2"/>
      <c r="J31" s="19"/>
      <c r="K31" s="20"/>
      <c r="L31" s="21"/>
      <c r="M31" s="24"/>
      <c r="N31" s="2"/>
      <c r="O31" s="6"/>
      <c r="P31" s="121" t="s">
        <v>166</v>
      </c>
      <c r="Q31" s="6"/>
      <c r="R31" s="120"/>
      <c r="S31" s="120"/>
      <c r="T31" s="120"/>
      <c r="U31" s="120"/>
      <c r="V31" s="6"/>
      <c r="W31" s="165"/>
      <c r="X31" s="6"/>
      <c r="Y31" s="49"/>
      <c r="Z31" s="6"/>
      <c r="AA31" s="6"/>
      <c r="AB31" s="6"/>
      <c r="AC31" s="164" t="s">
        <v>63</v>
      </c>
      <c r="AD31" s="164"/>
      <c r="AE31" s="164"/>
      <c r="AF31" s="164"/>
      <c r="AG31" s="6"/>
      <c r="AH31" s="6"/>
      <c r="AI31" s="6"/>
      <c r="AJ31" s="6"/>
    </row>
    <row r="32" spans="1:36" ht="15" x14ac:dyDescent="0.2">
      <c r="A32" s="81"/>
      <c r="B32" s="2"/>
      <c r="C32" s="26" t="s">
        <v>14</v>
      </c>
      <c r="D32" s="43"/>
      <c r="E32" s="43"/>
      <c r="F32" s="27"/>
      <c r="G32" s="27"/>
      <c r="H32" s="30">
        <f>SUM(H24:H31)</f>
        <v>589000</v>
      </c>
      <c r="I32" s="11"/>
      <c r="J32" s="35" t="s">
        <v>15</v>
      </c>
      <c r="K32" s="36"/>
      <c r="L32" s="36"/>
      <c r="M32" s="30">
        <f>H32-M28-M30</f>
        <v>491452</v>
      </c>
      <c r="N32" s="2"/>
      <c r="O32" s="6"/>
      <c r="P32" s="122" t="s">
        <v>167</v>
      </c>
      <c r="Q32" s="6"/>
      <c r="R32" s="120"/>
      <c r="S32" s="120"/>
      <c r="T32" s="120"/>
      <c r="U32" s="120"/>
      <c r="V32" s="6"/>
      <c r="W32" s="165"/>
      <c r="X32" s="6"/>
      <c r="Y32" s="6"/>
      <c r="Z32" s="6"/>
      <c r="AA32" s="6"/>
      <c r="AB32" s="6"/>
      <c r="AC32" s="67" t="s">
        <v>64</v>
      </c>
      <c r="AD32" s="68" t="s">
        <v>65</v>
      </c>
      <c r="AE32" s="68" t="s">
        <v>66</v>
      </c>
      <c r="AF32" s="69" t="s">
        <v>67</v>
      </c>
      <c r="AG32" s="6"/>
      <c r="AH32" s="6"/>
      <c r="AI32" s="6"/>
      <c r="AJ32" s="6"/>
    </row>
    <row r="33" spans="1:36" x14ac:dyDescent="0.2">
      <c r="A33" s="8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6"/>
      <c r="P33" s="122"/>
      <c r="Q33" s="120"/>
      <c r="R33" s="120"/>
      <c r="S33" s="120"/>
      <c r="T33" s="120"/>
      <c r="U33" s="120"/>
      <c r="V33" s="6"/>
      <c r="W33" s="165"/>
      <c r="X33" s="6"/>
      <c r="Y33" s="6"/>
      <c r="Z33" s="6"/>
      <c r="AA33" s="6"/>
      <c r="AB33" s="6"/>
      <c r="AC33" s="70">
        <v>0</v>
      </c>
      <c r="AD33" s="70">
        <f>UTM*13.5</f>
        <v>926734.5</v>
      </c>
      <c r="AE33" s="74">
        <v>0</v>
      </c>
      <c r="AF33" s="70">
        <v>0</v>
      </c>
      <c r="AG33" s="6"/>
      <c r="AH33" s="6"/>
      <c r="AI33" s="6"/>
      <c r="AJ33" s="6"/>
    </row>
    <row r="34" spans="1:36" x14ac:dyDescent="0.2">
      <c r="A34" s="81"/>
      <c r="B34" s="2"/>
      <c r="C34" s="139" t="s">
        <v>165</v>
      </c>
      <c r="D34" s="140"/>
      <c r="E34" s="140"/>
      <c r="F34" s="140"/>
      <c r="G34" s="140"/>
      <c r="H34" s="140"/>
      <c r="I34" s="140"/>
      <c r="J34" s="140"/>
      <c r="K34" s="140"/>
      <c r="L34" s="140"/>
      <c r="M34" s="141"/>
      <c r="N34" s="2"/>
      <c r="O34" s="6"/>
      <c r="P34" s="122" t="s">
        <v>168</v>
      </c>
      <c r="Q34" s="6"/>
      <c r="R34" s="120"/>
      <c r="S34" s="120"/>
      <c r="T34" s="120"/>
      <c r="U34" s="120"/>
      <c r="V34" s="6"/>
      <c r="W34" s="165"/>
      <c r="X34" s="6"/>
      <c r="Y34" s="6"/>
      <c r="Z34" s="6"/>
      <c r="AA34" s="6"/>
      <c r="AB34" s="6"/>
      <c r="AC34" s="70">
        <f>AD33+0.01</f>
        <v>926734.51</v>
      </c>
      <c r="AD34" s="70">
        <f>UTM*30</f>
        <v>2059410</v>
      </c>
      <c r="AE34" s="74">
        <v>0.04</v>
      </c>
      <c r="AF34" s="70">
        <f>UTM*0.54</f>
        <v>37069.379999999997</v>
      </c>
      <c r="AG34" s="6"/>
      <c r="AH34" s="6"/>
      <c r="AI34" s="6"/>
      <c r="AJ34" s="6"/>
    </row>
    <row r="35" spans="1:36" x14ac:dyDescent="0.2">
      <c r="A35" s="81"/>
      <c r="B35" s="2"/>
      <c r="C35" s="142"/>
      <c r="D35" s="143"/>
      <c r="E35" s="143"/>
      <c r="F35" s="143"/>
      <c r="G35" s="143"/>
      <c r="H35" s="143"/>
      <c r="I35" s="143"/>
      <c r="J35" s="143"/>
      <c r="K35" s="143"/>
      <c r="L35" s="143"/>
      <c r="M35" s="144"/>
      <c r="N35" s="2"/>
      <c r="O35" s="6"/>
      <c r="P35" s="122" t="s">
        <v>169</v>
      </c>
      <c r="Q35" s="6"/>
      <c r="R35" s="120"/>
      <c r="S35" s="120"/>
      <c r="T35" s="120"/>
      <c r="U35" s="120"/>
      <c r="V35" s="6"/>
      <c r="W35" s="165"/>
      <c r="X35" s="6"/>
      <c r="Y35" s="6"/>
      <c r="Z35" s="6"/>
      <c r="AA35" s="6"/>
      <c r="AB35" s="6"/>
      <c r="AC35" s="70">
        <f t="shared" ref="AC35:AC40" si="2">AD34+0.01</f>
        <v>2059410.01</v>
      </c>
      <c r="AD35" s="70">
        <f>UTM*50</f>
        <v>3432350</v>
      </c>
      <c r="AE35" s="74">
        <v>0.08</v>
      </c>
      <c r="AF35" s="70">
        <f>UTM*1.74</f>
        <v>119445.78</v>
      </c>
      <c r="AG35" s="6"/>
      <c r="AH35" s="6"/>
      <c r="AI35" s="6"/>
      <c r="AJ35" s="6"/>
    </row>
    <row r="36" spans="1:36" ht="15.75" x14ac:dyDescent="0.25">
      <c r="A36" s="81"/>
      <c r="B36" s="2"/>
      <c r="C36" s="145"/>
      <c r="D36" s="146"/>
      <c r="E36" s="146"/>
      <c r="F36" s="146"/>
      <c r="G36" s="146"/>
      <c r="H36" s="146"/>
      <c r="I36" s="146"/>
      <c r="J36" s="146"/>
      <c r="K36" s="146"/>
      <c r="L36" s="146"/>
      <c r="M36" s="147"/>
      <c r="N36" s="2"/>
      <c r="O36" s="6"/>
      <c r="P36" s="48" t="s">
        <v>171</v>
      </c>
      <c r="Q36" s="123" t="s">
        <v>170</v>
      </c>
      <c r="R36" s="120"/>
      <c r="S36" s="120"/>
      <c r="T36" s="125" t="s">
        <v>172</v>
      </c>
      <c r="U36" s="6"/>
      <c r="V36" s="6"/>
      <c r="W36" s="165"/>
      <c r="X36" s="6"/>
      <c r="Y36" s="6"/>
      <c r="Z36" s="6"/>
      <c r="AA36" s="6"/>
      <c r="AB36" s="6"/>
      <c r="AC36" s="70">
        <f t="shared" si="2"/>
        <v>3432350.01</v>
      </c>
      <c r="AD36" s="70">
        <f>UTM*70</f>
        <v>4805290</v>
      </c>
      <c r="AE36" s="74">
        <v>0.13500000000000001</v>
      </c>
      <c r="AF36" s="70">
        <f>UTM*4.49</f>
        <v>308225.03000000003</v>
      </c>
      <c r="AG36" s="6"/>
      <c r="AH36" s="6"/>
      <c r="AI36" s="6"/>
      <c r="AJ36" s="6"/>
    </row>
    <row r="37" spans="1:36" x14ac:dyDescent="0.2">
      <c r="A37" s="81"/>
      <c r="B37" s="2"/>
      <c r="C37" s="2"/>
      <c r="D37" s="2"/>
      <c r="E37" s="2"/>
      <c r="F37" s="2"/>
      <c r="G37" s="2"/>
      <c r="H37" s="12"/>
      <c r="I37" s="2"/>
      <c r="J37" s="2"/>
      <c r="K37" s="2"/>
      <c r="L37" s="2"/>
      <c r="M37" s="2"/>
      <c r="N37" s="2"/>
      <c r="O37" s="6"/>
      <c r="P37" s="122"/>
      <c r="Q37" s="48"/>
      <c r="R37" s="124"/>
      <c r="S37" s="120"/>
      <c r="T37" s="120"/>
      <c r="U37" s="120"/>
      <c r="V37" s="6"/>
      <c r="W37" s="165"/>
      <c r="X37" s="6"/>
      <c r="Y37" s="6"/>
      <c r="Z37" s="6"/>
      <c r="AA37" s="6"/>
      <c r="AB37" s="6"/>
      <c r="AC37" s="70">
        <f t="shared" si="2"/>
        <v>4805290.01</v>
      </c>
      <c r="AD37" s="70">
        <f>UTM*90</f>
        <v>6178230</v>
      </c>
      <c r="AE37" s="74">
        <v>0.23</v>
      </c>
      <c r="AF37" s="70">
        <f>UTM*11.14</f>
        <v>764727.58</v>
      </c>
      <c r="AG37" s="6"/>
      <c r="AH37" s="6"/>
      <c r="AI37" s="6"/>
      <c r="AJ37" s="6"/>
    </row>
    <row r="38" spans="1:36" x14ac:dyDescent="0.2">
      <c r="A38" s="8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6"/>
      <c r="P38" s="122" t="s">
        <v>173</v>
      </c>
      <c r="Q38" s="120"/>
      <c r="R38" s="120"/>
      <c r="S38" s="120"/>
      <c r="T38" s="120"/>
      <c r="U38" s="120"/>
      <c r="V38" s="6"/>
      <c r="W38" s="6"/>
      <c r="X38" s="6"/>
      <c r="Y38" s="6"/>
      <c r="Z38" s="6"/>
      <c r="AA38" s="6"/>
      <c r="AB38" s="6"/>
      <c r="AC38" s="70">
        <f t="shared" si="2"/>
        <v>6178230.0099999998</v>
      </c>
      <c r="AD38" s="70">
        <f>UTM*120</f>
        <v>8237640</v>
      </c>
      <c r="AE38" s="74">
        <v>0.30399999999999999</v>
      </c>
      <c r="AF38" s="70">
        <f>UTM*17.8</f>
        <v>1221916.6000000001</v>
      </c>
      <c r="AG38" s="6"/>
      <c r="AH38" s="6"/>
      <c r="AI38" s="6"/>
      <c r="AJ38" s="6"/>
    </row>
    <row r="39" spans="1:36" x14ac:dyDescent="0.2">
      <c r="A39" s="81"/>
      <c r="B39" s="2"/>
      <c r="C39" s="163" t="s">
        <v>88</v>
      </c>
      <c r="D39" s="163"/>
      <c r="E39" s="163"/>
      <c r="F39" s="163"/>
      <c r="G39" s="163"/>
      <c r="H39" s="163"/>
      <c r="I39" s="163"/>
      <c r="J39" s="2"/>
      <c r="K39" s="2"/>
      <c r="L39" s="2"/>
      <c r="M39" s="2"/>
      <c r="N39" s="2"/>
      <c r="O39" s="6"/>
      <c r="P39" s="122"/>
      <c r="Q39" s="120" t="s">
        <v>164</v>
      </c>
      <c r="R39" s="120"/>
      <c r="S39" s="120"/>
      <c r="T39" s="120"/>
      <c r="U39" s="120"/>
      <c r="V39" s="6"/>
      <c r="W39" s="6"/>
      <c r="X39" s="6"/>
      <c r="Y39" s="6"/>
      <c r="Z39" s="6"/>
      <c r="AA39" s="6"/>
      <c r="AB39" s="6"/>
      <c r="AC39" s="70">
        <f t="shared" si="2"/>
        <v>8237640.0099999998</v>
      </c>
      <c r="AD39" s="70">
        <f>UTM*310</f>
        <v>21280570</v>
      </c>
      <c r="AE39" s="74">
        <v>0.35499999999999998</v>
      </c>
      <c r="AF39" s="70">
        <f>UTM*23.32</f>
        <v>1600848.04</v>
      </c>
      <c r="AG39" s="6"/>
      <c r="AH39" s="6"/>
      <c r="AI39" s="6"/>
      <c r="AJ39" s="6"/>
    </row>
    <row r="40" spans="1:36" ht="13.5" customHeight="1" x14ac:dyDescent="0.2">
      <c r="A40" s="81"/>
      <c r="B40" s="2"/>
      <c r="C40" s="163"/>
      <c r="D40" s="163"/>
      <c r="E40" s="163"/>
      <c r="F40" s="163"/>
      <c r="G40" s="163"/>
      <c r="H40" s="163"/>
      <c r="I40" s="163"/>
      <c r="J40" s="2"/>
      <c r="K40" s="2"/>
      <c r="L40" s="2"/>
      <c r="M40" s="2"/>
      <c r="N40" s="2"/>
      <c r="O40" s="6"/>
      <c r="P40" s="122"/>
      <c r="Q40" s="120" t="s">
        <v>174</v>
      </c>
      <c r="R40" s="120"/>
      <c r="S40" s="120"/>
      <c r="T40" s="120"/>
      <c r="U40" s="120"/>
      <c r="V40" s="6"/>
      <c r="W40" s="6"/>
      <c r="X40" s="6"/>
      <c r="Y40" s="6"/>
      <c r="Z40" s="6"/>
      <c r="AA40" s="6"/>
      <c r="AB40" s="6"/>
      <c r="AC40" s="70">
        <f t="shared" si="2"/>
        <v>21280570.010000002</v>
      </c>
      <c r="AD40" s="70"/>
      <c r="AE40" s="74">
        <v>0.4</v>
      </c>
      <c r="AF40" s="70">
        <f>UTM*38.82</f>
        <v>2664876.54</v>
      </c>
      <c r="AG40" s="6"/>
      <c r="AH40" s="6"/>
      <c r="AI40" s="6"/>
      <c r="AJ40" s="6"/>
    </row>
    <row r="41" spans="1:36" ht="15" customHeight="1" x14ac:dyDescent="0.2">
      <c r="A41" s="81"/>
      <c r="B41" s="2"/>
      <c r="C41" s="163"/>
      <c r="D41" s="163"/>
      <c r="E41" s="163"/>
      <c r="F41" s="163"/>
      <c r="G41" s="163"/>
      <c r="H41" s="163"/>
      <c r="I41" s="163"/>
      <c r="J41" s="2"/>
      <c r="K41" s="2"/>
      <c r="L41" s="2"/>
      <c r="M41" s="2"/>
      <c r="N41" s="2"/>
      <c r="O41" s="6"/>
      <c r="P41" s="122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</row>
    <row r="42" spans="1:36" x14ac:dyDescent="0.2">
      <c r="A42" s="81"/>
      <c r="B42" s="2"/>
      <c r="C42" s="163"/>
      <c r="D42" s="163"/>
      <c r="E42" s="163"/>
      <c r="F42" s="163"/>
      <c r="G42" s="163"/>
      <c r="H42" s="163"/>
      <c r="I42" s="163"/>
      <c r="J42" s="2"/>
      <c r="K42" s="90"/>
      <c r="L42" s="90"/>
      <c r="M42" s="90"/>
      <c r="N42" s="2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</row>
    <row r="43" spans="1:36" ht="15" x14ac:dyDescent="0.25">
      <c r="A43" s="81"/>
      <c r="B43" s="2"/>
      <c r="C43" s="2"/>
      <c r="D43" s="2"/>
      <c r="E43" s="2"/>
      <c r="F43" s="2"/>
      <c r="G43" s="2"/>
      <c r="H43" s="2"/>
      <c r="I43" s="2"/>
      <c r="J43" s="2"/>
      <c r="K43" s="2"/>
      <c r="L43" s="91" t="s">
        <v>89</v>
      </c>
      <c r="M43" s="2"/>
      <c r="N43" s="2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</row>
    <row r="44" spans="1:36" ht="14.25" customHeight="1" x14ac:dyDescent="0.2">
      <c r="A44" s="6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</row>
    <row r="45" spans="1:36" x14ac:dyDescent="0.2">
      <c r="A45" s="6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</row>
    <row r="46" spans="1:36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</row>
    <row r="47" spans="1:36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</row>
    <row r="48" spans="1:36" ht="19.5" customHeight="1" x14ac:dyDescent="0.3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154" t="s">
        <v>90</v>
      </c>
      <c r="AC48" s="154"/>
      <c r="AD48" s="154"/>
      <c r="AE48" s="154"/>
      <c r="AF48" s="154"/>
      <c r="AG48" s="6"/>
      <c r="AH48" s="6"/>
      <c r="AI48" s="6"/>
      <c r="AJ48" s="6"/>
    </row>
    <row r="49" spans="1:36" ht="20.25" customHeight="1" x14ac:dyDescent="0.3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155" t="s">
        <v>163</v>
      </c>
      <c r="AC49" s="155"/>
      <c r="AD49" s="155"/>
      <c r="AE49" s="155"/>
      <c r="AF49" s="155"/>
      <c r="AG49" s="6"/>
      <c r="AH49" s="6"/>
      <c r="AI49" s="6"/>
      <c r="AJ49" s="6"/>
    </row>
    <row r="50" spans="1:36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</row>
    <row r="51" spans="1:36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</row>
    <row r="52" spans="1:36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</row>
    <row r="53" spans="1:36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</row>
  </sheetData>
  <mergeCells count="29">
    <mergeCell ref="AB48:AF48"/>
    <mergeCell ref="AB49:AF49"/>
    <mergeCell ref="C19:C20"/>
    <mergeCell ref="L11:M12"/>
    <mergeCell ref="J11:K12"/>
    <mergeCell ref="Q24:U24"/>
    <mergeCell ref="Q26:R26"/>
    <mergeCell ref="Q27:R27"/>
    <mergeCell ref="Q28:R28"/>
    <mergeCell ref="C39:I42"/>
    <mergeCell ref="AC31:AF31"/>
    <mergeCell ref="AC22:AF22"/>
    <mergeCell ref="W1:W37"/>
    <mergeCell ref="Q2:U2"/>
    <mergeCell ref="J15:K15"/>
    <mergeCell ref="J17:K17"/>
    <mergeCell ref="C34:M36"/>
    <mergeCell ref="J18:L18"/>
    <mergeCell ref="E11:G11"/>
    <mergeCell ref="C13:G13"/>
    <mergeCell ref="J13:L13"/>
    <mergeCell ref="C4:M4"/>
    <mergeCell ref="C7:M7"/>
    <mergeCell ref="Q6:U7"/>
    <mergeCell ref="E10:G10"/>
    <mergeCell ref="E8:H8"/>
    <mergeCell ref="E9:H9"/>
    <mergeCell ref="C5:M5"/>
    <mergeCell ref="C6:M6"/>
  </mergeCells>
  <conditionalFormatting sqref="U22">
    <cfRule type="containsText" dxfId="0" priority="1" operator="containsText" text="error">
      <formula>NOT(ISERROR(SEARCH("error",U22)))</formula>
    </cfRule>
  </conditionalFormatting>
  <dataValidations disablePrompts="1" count="13">
    <dataValidation type="list" allowBlank="1" showInputMessage="1" showErrorMessage="1" sqref="J15:K15" xr:uid="{96839BC6-9578-4218-9BF4-88740CCAC285}">
      <formula1>$Y$10:$Y$17</formula1>
    </dataValidation>
    <dataValidation type="list" allowBlank="1" showInputMessage="1" showErrorMessage="1" sqref="E11:G11" xr:uid="{0C6DAA02-8A84-4149-8F29-AEC01123553D}">
      <formula1>"Indefinido, Plazo fijo, Por obra"</formula1>
    </dataValidation>
    <dataValidation type="date" operator="greaterThan" allowBlank="1" showInputMessage="1" showErrorMessage="1" sqref="E10:G10" xr:uid="{922AB29B-EDB5-461B-A7B3-FDEDFAE2301B}">
      <formula1>1</formula1>
    </dataValidation>
    <dataValidation type="whole" allowBlank="1" showInputMessage="1" showErrorMessage="1" sqref="L8" xr:uid="{ECB2652E-22FF-496A-A715-F16CBE90B128}">
      <formula1>0</formula1>
      <formula2>30</formula2>
    </dataValidation>
    <dataValidation type="whole" operator="greaterThan" allowBlank="1" showInputMessage="1" showErrorMessage="1" sqref="L9" xr:uid="{E688B2FA-0598-4020-9CE4-7AA34D65801D}">
      <formula1>0</formula1>
    </dataValidation>
    <dataValidation type="list" allowBlank="1" showInputMessage="1" showErrorMessage="1" sqref="J17:K17" xr:uid="{438E1657-F9D0-44CB-8C28-B65BE99443AC}">
      <formula1>$AB$10:$AB$17</formula1>
    </dataValidation>
    <dataValidation type="whole" allowBlank="1" showInputMessage="1" showErrorMessage="1" sqref="L10" xr:uid="{E7A3C622-75D6-4662-A691-EC1D225CD24A}">
      <formula1>0</formula1>
      <formula2>44</formula2>
    </dataValidation>
    <dataValidation type="list" allowBlank="1" showInputMessage="1" showErrorMessage="1" sqref="O23" xr:uid="{8D045D67-F099-4750-AEE1-716161F99FB1}">
      <formula1>"Si, No"</formula1>
    </dataValidation>
    <dataValidation type="list" allowBlank="1" showInputMessage="1" showErrorMessage="1" sqref="L11:M12" xr:uid="{2456E7ED-9910-4689-B767-66A111499DFA}">
      <formula1>"Activo, Invalidez Parcial, Pensionado y Cotiza, Pensiondo y NO Cotiza, Activo mayor de 65 años, Pensionado por Invalidez Total, Exento de cotizar (Mujer mayor de 60 años), Exento de cotizar (Hombre mayor de 65 años), Exento de cotizar (extranjero)"</formula1>
    </dataValidation>
    <dataValidation type="date" operator="greaterThan" allowBlank="1" showInputMessage="1" showErrorMessage="1" sqref="T26:U28" xr:uid="{64FB6877-9EA6-48A8-928A-18BB12AE1DD0}">
      <formula1>36526</formula1>
    </dataValidation>
    <dataValidation type="whole" allowBlank="1" showInputMessage="1" showErrorMessage="1" sqref="S26:S28" xr:uid="{89F1E809-683B-4158-A100-274621E7B54F}">
      <formula1>1</formula1>
      <formula2>31</formula2>
    </dataValidation>
    <dataValidation type="list" allowBlank="1" showInputMessage="1" showErrorMessage="1" sqref="Q26:R28" xr:uid="{F62072FB-25A4-47E0-8E26-210584F607F8}">
      <formula1>$AE$5:$AE$14</formula1>
    </dataValidation>
    <dataValidation type="custom" allowBlank="1" showInputMessage="1" showErrorMessage="1" sqref="AB48:AF49" xr:uid="{A76CA617-C8EF-4CA6-A8E3-4A450DC7A7EF}">
      <formula1>1+1</formula1>
    </dataValidation>
  </dataValidations>
  <hyperlinks>
    <hyperlink ref="AB49:AF49" r:id="rId1" display="Instagram pattymorenom_" xr:uid="{B8FC8552-71A8-45DC-8B9B-9B9523FBE3E2}"/>
    <hyperlink ref="Q36" r:id="rId2" xr:uid="{8BA668F4-97E0-412C-8F0E-091CC8C61F5A}"/>
    <hyperlink ref="T36" r:id="rId3" xr:uid="{27395728-6FC1-4B7F-A46F-F70D99AEC5AB}"/>
  </hyperlinks>
  <printOptions horizontalCentered="1"/>
  <pageMargins left="0.25" right="0.25" top="0.75" bottom="0.75" header="0.3" footer="0.3"/>
  <pageSetup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81740-7736-4DC7-B682-CD9B0E0AB5AF}">
  <dimension ref="B2:U38"/>
  <sheetViews>
    <sheetView topLeftCell="H1" workbookViewId="0">
      <selection activeCell="M36" sqref="M36"/>
    </sheetView>
  </sheetViews>
  <sheetFormatPr baseColWidth="10" defaultRowHeight="15" x14ac:dyDescent="0.25"/>
  <cols>
    <col min="2" max="2" width="16" customWidth="1"/>
    <col min="3" max="3" width="19.5703125" customWidth="1"/>
    <col min="4" max="4" width="20.42578125" customWidth="1"/>
    <col min="5" max="5" width="20.85546875" customWidth="1"/>
    <col min="6" max="7" width="19.5703125" customWidth="1"/>
    <col min="9" max="9" width="46.42578125" customWidth="1"/>
    <col min="10" max="10" width="14.28515625" customWidth="1"/>
    <col min="11" max="11" width="14" customWidth="1"/>
    <col min="12" max="12" width="19.7109375" customWidth="1"/>
    <col min="13" max="13" width="14" customWidth="1"/>
    <col min="14" max="14" width="19.28515625" customWidth="1"/>
    <col min="15" max="16" width="12.85546875" customWidth="1"/>
    <col min="17" max="17" width="15.7109375" customWidth="1"/>
    <col min="18" max="18" width="13.7109375" customWidth="1"/>
    <col min="20" max="20" width="19" customWidth="1"/>
    <col min="21" max="21" width="16.140625" customWidth="1"/>
  </cols>
  <sheetData>
    <row r="2" spans="2:20" ht="21" x14ac:dyDescent="0.35">
      <c r="B2" s="169" t="s">
        <v>91</v>
      </c>
      <c r="C2" s="169"/>
      <c r="D2" s="169"/>
      <c r="E2" s="169"/>
      <c r="I2" s="104" t="s">
        <v>132</v>
      </c>
    </row>
    <row r="4" spans="2:20" ht="33" customHeight="1" thickBot="1" x14ac:dyDescent="0.3">
      <c r="B4" s="173" t="s">
        <v>92</v>
      </c>
      <c r="C4" s="173"/>
      <c r="D4" s="173"/>
      <c r="E4" s="173"/>
      <c r="F4" s="173"/>
      <c r="G4" s="173"/>
      <c r="J4" s="170" t="s">
        <v>113</v>
      </c>
      <c r="K4" s="170"/>
      <c r="L4" s="171" t="s">
        <v>118</v>
      </c>
      <c r="M4" s="172"/>
      <c r="O4" s="171" t="s">
        <v>121</v>
      </c>
      <c r="P4" s="172"/>
      <c r="R4" t="s">
        <v>135</v>
      </c>
      <c r="S4" s="171" t="s">
        <v>128</v>
      </c>
      <c r="T4" s="172"/>
    </row>
    <row r="5" spans="2:20" ht="84" customHeight="1" thickBot="1" x14ac:dyDescent="0.3">
      <c r="B5" s="92" t="s">
        <v>93</v>
      </c>
      <c r="C5" s="92" t="s">
        <v>94</v>
      </c>
      <c r="D5" s="92" t="s">
        <v>95</v>
      </c>
      <c r="E5" s="92" t="s">
        <v>96</v>
      </c>
      <c r="F5" s="92" t="s">
        <v>97</v>
      </c>
      <c r="G5" s="92" t="s">
        <v>73</v>
      </c>
      <c r="I5" s="92" t="s">
        <v>108</v>
      </c>
      <c r="J5" s="92" t="s">
        <v>114</v>
      </c>
      <c r="K5" s="92" t="s">
        <v>117</v>
      </c>
      <c r="L5" s="92" t="s">
        <v>119</v>
      </c>
      <c r="M5" s="92" t="s">
        <v>120</v>
      </c>
      <c r="N5" s="92" t="s">
        <v>60</v>
      </c>
      <c r="O5" s="92" t="s">
        <v>56</v>
      </c>
      <c r="P5" s="92" t="s">
        <v>57</v>
      </c>
      <c r="Q5" s="92" t="s">
        <v>127</v>
      </c>
      <c r="R5" s="92" t="s">
        <v>55</v>
      </c>
      <c r="S5" s="92" t="s">
        <v>129</v>
      </c>
      <c r="T5" s="92" t="s">
        <v>86</v>
      </c>
    </row>
    <row r="6" spans="2:20" ht="30" customHeight="1" x14ac:dyDescent="0.25">
      <c r="B6" s="93" t="s">
        <v>98</v>
      </c>
      <c r="C6" s="94">
        <v>1E-3</v>
      </c>
      <c r="D6" s="94">
        <v>8.9999999999999993E-3</v>
      </c>
      <c r="E6" s="95" t="s">
        <v>99</v>
      </c>
      <c r="F6" s="95" t="s">
        <v>99</v>
      </c>
      <c r="G6" s="94">
        <v>0.01</v>
      </c>
      <c r="I6" s="100" t="s">
        <v>109</v>
      </c>
      <c r="J6" s="97" t="s">
        <v>115</v>
      </c>
      <c r="K6" s="97" t="s">
        <v>115</v>
      </c>
      <c r="L6" s="97" t="s">
        <v>115</v>
      </c>
      <c r="M6" s="97" t="s">
        <v>115</v>
      </c>
      <c r="N6" s="97" t="s">
        <v>115</v>
      </c>
      <c r="O6" s="97" t="s">
        <v>115</v>
      </c>
      <c r="P6" s="97" t="s">
        <v>115</v>
      </c>
      <c r="Q6" s="97" t="s">
        <v>115</v>
      </c>
      <c r="R6" s="97" t="s">
        <v>115</v>
      </c>
      <c r="S6" s="97" t="s">
        <v>115</v>
      </c>
      <c r="T6" s="97" t="s">
        <v>115</v>
      </c>
    </row>
    <row r="7" spans="2:20" ht="30" customHeight="1" x14ac:dyDescent="0.25">
      <c r="B7" s="96" t="s">
        <v>100</v>
      </c>
      <c r="C7" s="97">
        <v>1E-3</v>
      </c>
      <c r="D7" s="97">
        <v>0.01</v>
      </c>
      <c r="E7" s="97">
        <v>8.9999999999999993E-3</v>
      </c>
      <c r="F7" s="97">
        <v>1.4999999999999999E-2</v>
      </c>
      <c r="G7" s="97">
        <v>3.5000000000000003E-2</v>
      </c>
      <c r="I7" s="100" t="s">
        <v>110</v>
      </c>
      <c r="J7" s="99" t="s">
        <v>115</v>
      </c>
      <c r="K7" s="99" t="s">
        <v>84</v>
      </c>
      <c r="L7" s="99" t="s">
        <v>84</v>
      </c>
      <c r="M7" s="99" t="s">
        <v>84</v>
      </c>
      <c r="N7" s="99" t="s">
        <v>84</v>
      </c>
      <c r="O7" s="99" t="s">
        <v>84</v>
      </c>
      <c r="P7" s="99" t="s">
        <v>84</v>
      </c>
      <c r="Q7" s="97" t="s">
        <v>115</v>
      </c>
      <c r="R7" s="97" t="s">
        <v>115</v>
      </c>
      <c r="S7" s="97" t="s">
        <v>115</v>
      </c>
      <c r="T7" s="97" t="s">
        <v>115</v>
      </c>
    </row>
    <row r="8" spans="2:20" ht="30" customHeight="1" x14ac:dyDescent="0.25">
      <c r="B8" s="98" t="s">
        <v>101</v>
      </c>
      <c r="C8" s="99">
        <v>2.5000000000000001E-3</v>
      </c>
      <c r="D8" s="99">
        <v>0.01</v>
      </c>
      <c r="E8" s="99">
        <v>1.4999999999999999E-2</v>
      </c>
      <c r="F8" s="99">
        <v>1.4999999999999999E-2</v>
      </c>
      <c r="G8" s="99">
        <v>4.2500000000000003E-2</v>
      </c>
      <c r="I8" s="101" t="s">
        <v>116</v>
      </c>
      <c r="J8" s="97" t="s">
        <v>84</v>
      </c>
      <c r="K8" s="99" t="s">
        <v>84</v>
      </c>
      <c r="L8" s="99" t="s">
        <v>84</v>
      </c>
      <c r="M8" s="99" t="s">
        <v>84</v>
      </c>
      <c r="N8" s="99" t="s">
        <v>84</v>
      </c>
      <c r="O8" s="99" t="s">
        <v>84</v>
      </c>
      <c r="P8" s="99" t="s">
        <v>84</v>
      </c>
      <c r="Q8" s="97" t="s">
        <v>115</v>
      </c>
      <c r="R8" s="97" t="s">
        <v>115</v>
      </c>
      <c r="S8" s="97" t="s">
        <v>115</v>
      </c>
      <c r="T8" s="97" t="s">
        <v>115</v>
      </c>
    </row>
    <row r="9" spans="2:20" ht="30" customHeight="1" x14ac:dyDescent="0.25">
      <c r="B9" s="96" t="s">
        <v>102</v>
      </c>
      <c r="C9" s="97">
        <v>0.01</v>
      </c>
      <c r="D9" s="97">
        <v>0.01</v>
      </c>
      <c r="E9" s="97">
        <v>1.4999999999999999E-2</v>
      </c>
      <c r="F9" s="97">
        <v>1.4999999999999999E-2</v>
      </c>
      <c r="G9" s="97">
        <v>0.05</v>
      </c>
      <c r="I9" s="101" t="s">
        <v>111</v>
      </c>
      <c r="J9" s="97" t="s">
        <v>136</v>
      </c>
      <c r="K9" s="99" t="s">
        <v>84</v>
      </c>
      <c r="L9" s="99" t="s">
        <v>84</v>
      </c>
      <c r="M9" s="99" t="s">
        <v>84</v>
      </c>
      <c r="N9" s="99" t="s">
        <v>84</v>
      </c>
      <c r="O9" s="99" t="s">
        <v>84</v>
      </c>
      <c r="P9" s="99" t="s">
        <v>84</v>
      </c>
      <c r="Q9" s="97" t="s">
        <v>115</v>
      </c>
      <c r="R9" s="97" t="s">
        <v>115</v>
      </c>
      <c r="S9" s="97" t="s">
        <v>115</v>
      </c>
      <c r="T9" s="97" t="s">
        <v>115</v>
      </c>
    </row>
    <row r="10" spans="2:20" ht="30" customHeight="1" x14ac:dyDescent="0.25">
      <c r="B10" s="98" t="s">
        <v>103</v>
      </c>
      <c r="C10" s="99">
        <v>1.7000000000000001E-2</v>
      </c>
      <c r="D10" s="99">
        <v>0.01</v>
      </c>
      <c r="E10" s="99">
        <v>1.4999999999999999E-2</v>
      </c>
      <c r="F10" s="99">
        <v>1.4999999999999999E-2</v>
      </c>
      <c r="G10" s="99">
        <v>5.7000000000000002E-2</v>
      </c>
      <c r="I10" s="101" t="s">
        <v>112</v>
      </c>
      <c r="J10" s="97" t="s">
        <v>84</v>
      </c>
      <c r="K10" s="99" t="s">
        <v>84</v>
      </c>
      <c r="L10" s="99" t="s">
        <v>84</v>
      </c>
      <c r="M10" s="99" t="s">
        <v>84</v>
      </c>
      <c r="N10" s="99" t="s">
        <v>84</v>
      </c>
      <c r="O10" s="99" t="s">
        <v>84</v>
      </c>
      <c r="P10" s="99" t="s">
        <v>84</v>
      </c>
      <c r="Q10" s="97" t="s">
        <v>115</v>
      </c>
      <c r="R10" s="97" t="s">
        <v>115</v>
      </c>
      <c r="S10" s="97" t="s">
        <v>115</v>
      </c>
      <c r="T10" s="97" t="s">
        <v>115</v>
      </c>
    </row>
    <row r="11" spans="2:20" ht="30" customHeight="1" x14ac:dyDescent="0.25">
      <c r="B11" s="96" t="s">
        <v>104</v>
      </c>
      <c r="C11" s="97">
        <v>2.4E-2</v>
      </c>
      <c r="D11" s="97">
        <v>0.01</v>
      </c>
      <c r="E11" s="97">
        <v>1.4999999999999999E-2</v>
      </c>
      <c r="F11" s="97">
        <v>1.4999999999999999E-2</v>
      </c>
      <c r="G11" s="97">
        <v>6.4000000000000001E-2</v>
      </c>
    </row>
    <row r="12" spans="2:20" ht="30" customHeight="1" x14ac:dyDescent="0.25">
      <c r="B12" s="98" t="s">
        <v>105</v>
      </c>
      <c r="C12" s="99">
        <v>3.1E-2</v>
      </c>
      <c r="D12" s="99">
        <v>0.01</v>
      </c>
      <c r="E12" s="99">
        <v>1.4999999999999999E-2</v>
      </c>
      <c r="F12" s="99">
        <v>1.4999999999999999E-2</v>
      </c>
      <c r="G12" s="99">
        <v>7.0999999999999994E-2</v>
      </c>
      <c r="I12" s="101" t="s">
        <v>122</v>
      </c>
      <c r="J12" s="97" t="s">
        <v>124</v>
      </c>
      <c r="K12" s="99" t="s">
        <v>126</v>
      </c>
      <c r="L12" s="99" t="s">
        <v>57</v>
      </c>
      <c r="M12" s="99" t="s">
        <v>126</v>
      </c>
      <c r="N12" s="99" t="s">
        <v>57</v>
      </c>
      <c r="O12" s="97" t="s">
        <v>124</v>
      </c>
      <c r="P12" s="97" t="s">
        <v>57</v>
      </c>
      <c r="Q12" s="97" t="s">
        <v>124</v>
      </c>
      <c r="R12" s="97" t="s">
        <v>124</v>
      </c>
      <c r="S12" s="97" t="s">
        <v>84</v>
      </c>
      <c r="T12" s="97" t="s">
        <v>57</v>
      </c>
    </row>
    <row r="13" spans="2:20" ht="30" customHeight="1" x14ac:dyDescent="0.25">
      <c r="B13" s="96" t="s">
        <v>106</v>
      </c>
      <c r="C13" s="97">
        <v>3.7999999999999999E-2</v>
      </c>
      <c r="D13" s="97">
        <v>0.01</v>
      </c>
      <c r="E13" s="97">
        <v>1.4999999999999999E-2</v>
      </c>
      <c r="F13" s="97">
        <v>1.4999999999999999E-2</v>
      </c>
      <c r="G13" s="97">
        <v>7.8E-2</v>
      </c>
      <c r="I13" s="101" t="s">
        <v>123</v>
      </c>
      <c r="J13" s="97" t="s">
        <v>125</v>
      </c>
      <c r="K13" s="102" t="s">
        <v>130</v>
      </c>
      <c r="L13" s="174" t="s">
        <v>131</v>
      </c>
      <c r="M13" s="103" t="s">
        <v>130</v>
      </c>
      <c r="N13" s="174" t="s">
        <v>131</v>
      </c>
      <c r="O13" s="97" t="s">
        <v>125</v>
      </c>
      <c r="P13" s="97" t="s">
        <v>57</v>
      </c>
      <c r="Q13" s="97" t="s">
        <v>125</v>
      </c>
      <c r="R13" s="97" t="s">
        <v>125</v>
      </c>
      <c r="S13" s="97" t="s">
        <v>133</v>
      </c>
      <c r="T13" s="174" t="s">
        <v>131</v>
      </c>
    </row>
    <row r="14" spans="2:20" ht="30" customHeight="1" x14ac:dyDescent="0.25">
      <c r="B14" s="98" t="s">
        <v>107</v>
      </c>
      <c r="C14" s="99">
        <v>4.4999999999999998E-2</v>
      </c>
      <c r="D14" s="99">
        <v>0.01</v>
      </c>
      <c r="E14" s="99">
        <v>1.4999999999999999E-2</v>
      </c>
      <c r="F14" s="99">
        <v>1.4999999999999999E-2</v>
      </c>
      <c r="G14" s="99">
        <v>8.5000000000000006E-2</v>
      </c>
      <c r="L14" s="175"/>
      <c r="N14" s="175"/>
      <c r="T14" s="175"/>
    </row>
    <row r="17" spans="9:21" ht="19.5" thickBot="1" x14ac:dyDescent="0.3">
      <c r="J17" s="170" t="s">
        <v>113</v>
      </c>
      <c r="K17" s="170"/>
      <c r="L17" s="171" t="s">
        <v>118</v>
      </c>
      <c r="M17" s="172"/>
      <c r="O17" s="171" t="s">
        <v>121</v>
      </c>
      <c r="P17" s="172"/>
      <c r="R17" t="s">
        <v>135</v>
      </c>
      <c r="S17" s="171" t="s">
        <v>128</v>
      </c>
      <c r="T17" s="172"/>
    </row>
    <row r="18" spans="9:21" ht="30.75" thickBot="1" x14ac:dyDescent="0.3">
      <c r="J18" s="92" t="s">
        <v>114</v>
      </c>
      <c r="K18" s="92" t="s">
        <v>117</v>
      </c>
      <c r="L18" s="92" t="s">
        <v>119</v>
      </c>
      <c r="M18" s="92" t="s">
        <v>120</v>
      </c>
      <c r="N18" s="92" t="s">
        <v>60</v>
      </c>
      <c r="O18" s="92" t="s">
        <v>56</v>
      </c>
      <c r="P18" s="92" t="s">
        <v>57</v>
      </c>
      <c r="Q18" s="92" t="s">
        <v>127</v>
      </c>
      <c r="R18" s="92" t="s">
        <v>55</v>
      </c>
      <c r="S18" s="92" t="s">
        <v>129</v>
      </c>
      <c r="T18" s="92" t="s">
        <v>86</v>
      </c>
    </row>
    <row r="19" spans="9:21" x14ac:dyDescent="0.25">
      <c r="I19" t="s">
        <v>138</v>
      </c>
    </row>
    <row r="20" spans="9:21" ht="30" x14ac:dyDescent="0.25">
      <c r="I20" s="101" t="s">
        <v>122</v>
      </c>
      <c r="J20" s="97" t="s">
        <v>124</v>
      </c>
      <c r="K20" s="99" t="s">
        <v>126</v>
      </c>
      <c r="L20" s="99" t="s">
        <v>57</v>
      </c>
      <c r="M20" s="99" t="s">
        <v>126</v>
      </c>
      <c r="N20" s="99" t="s">
        <v>57</v>
      </c>
      <c r="O20" s="97" t="s">
        <v>124</v>
      </c>
      <c r="P20" s="97" t="s">
        <v>57</v>
      </c>
      <c r="Q20" s="97" t="s">
        <v>124</v>
      </c>
      <c r="R20" s="97" t="s">
        <v>124</v>
      </c>
      <c r="S20" s="97" t="s">
        <v>84</v>
      </c>
      <c r="T20" s="97" t="s">
        <v>57</v>
      </c>
    </row>
    <row r="21" spans="9:21" ht="21" x14ac:dyDescent="0.35">
      <c r="I21" s="107" t="s">
        <v>137</v>
      </c>
      <c r="J21" s="107" t="s">
        <v>72</v>
      </c>
    </row>
    <row r="22" spans="9:21" ht="21" x14ac:dyDescent="0.35">
      <c r="I22" s="105">
        <v>661250</v>
      </c>
      <c r="J22" s="106">
        <v>0</v>
      </c>
      <c r="K22" s="106">
        <v>0</v>
      </c>
      <c r="L22" s="106">
        <f>I22*0.9%</f>
        <v>5951</v>
      </c>
      <c r="M22" s="106">
        <v>0</v>
      </c>
      <c r="N22" s="106">
        <f>I22*1.88%</f>
        <v>12432</v>
      </c>
      <c r="O22" s="106">
        <v>0</v>
      </c>
      <c r="P22" s="106">
        <f>I22*2.4%</f>
        <v>15870</v>
      </c>
      <c r="Q22" s="106">
        <v>0</v>
      </c>
      <c r="R22" s="106">
        <v>0</v>
      </c>
      <c r="S22" s="106">
        <v>0</v>
      </c>
      <c r="T22" s="106">
        <f>I22*0.03%</f>
        <v>198</v>
      </c>
      <c r="U22" s="108">
        <f>SUM(J22:T22)</f>
        <v>34451</v>
      </c>
    </row>
    <row r="26" spans="9:21" ht="30" x14ac:dyDescent="0.25">
      <c r="I26" s="101" t="s">
        <v>123</v>
      </c>
      <c r="J26" s="97" t="s">
        <v>125</v>
      </c>
      <c r="K26" s="102" t="s">
        <v>130</v>
      </c>
      <c r="L26" s="174" t="s">
        <v>131</v>
      </c>
      <c r="M26" s="103" t="s">
        <v>130</v>
      </c>
      <c r="N26" s="174" t="s">
        <v>131</v>
      </c>
      <c r="O26" s="97" t="s">
        <v>125</v>
      </c>
      <c r="P26" s="97" t="s">
        <v>57</v>
      </c>
      <c r="Q26" s="97" t="s">
        <v>125</v>
      </c>
      <c r="R26" s="97" t="s">
        <v>125</v>
      </c>
      <c r="S26" s="97" t="s">
        <v>133</v>
      </c>
      <c r="T26" s="174" t="s">
        <v>131</v>
      </c>
    </row>
    <row r="27" spans="9:21" ht="33" customHeight="1" x14ac:dyDescent="0.25">
      <c r="L27" s="175"/>
      <c r="N27" s="175"/>
      <c r="T27" s="175"/>
    </row>
    <row r="29" spans="9:21" ht="21" x14ac:dyDescent="0.35">
      <c r="I29" s="107" t="s">
        <v>139</v>
      </c>
      <c r="J29" s="107"/>
    </row>
    <row r="30" spans="9:21" ht="21" x14ac:dyDescent="0.35">
      <c r="I30" s="105">
        <v>440833</v>
      </c>
      <c r="J30" s="106">
        <f>I30*11.27%</f>
        <v>49682</v>
      </c>
      <c r="K30" s="106">
        <f>I30*0.1%</f>
        <v>441</v>
      </c>
      <c r="L30" s="106">
        <f>I30*0.9%</f>
        <v>3967</v>
      </c>
      <c r="M30" s="110" t="s">
        <v>141</v>
      </c>
      <c r="N30" s="106">
        <f>I30*1.88%</f>
        <v>8288</v>
      </c>
      <c r="O30" s="106">
        <f>I30*0.6%</f>
        <v>2645</v>
      </c>
      <c r="P30" s="106">
        <f>I30*2.4%</f>
        <v>10580</v>
      </c>
      <c r="Q30" s="106">
        <f>I30*7%</f>
        <v>30858</v>
      </c>
      <c r="R30" s="109"/>
      <c r="S30" s="106">
        <f>I30*0.9%</f>
        <v>3967</v>
      </c>
      <c r="T30" s="106">
        <f>I30*0.03%</f>
        <v>132</v>
      </c>
      <c r="U30" s="108">
        <f>SUM(J30:T30)</f>
        <v>110560</v>
      </c>
    </row>
    <row r="31" spans="9:21" x14ac:dyDescent="0.25">
      <c r="M31" s="111" t="s">
        <v>142</v>
      </c>
    </row>
    <row r="32" spans="9:21" ht="21" x14ac:dyDescent="0.35">
      <c r="I32" s="107" t="s">
        <v>137</v>
      </c>
      <c r="J32" s="107"/>
      <c r="M32" s="112">
        <v>46235</v>
      </c>
    </row>
    <row r="33" spans="9:21" ht="21" x14ac:dyDescent="0.35">
      <c r="I33" s="105">
        <v>661250</v>
      </c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</row>
    <row r="35" spans="9:21" ht="21" x14ac:dyDescent="0.35">
      <c r="I35" s="107" t="s">
        <v>140</v>
      </c>
      <c r="J35" s="107"/>
    </row>
    <row r="36" spans="9:21" ht="21" x14ac:dyDescent="0.35">
      <c r="I36" s="105">
        <f>I33/30*10</f>
        <v>220417</v>
      </c>
      <c r="J36" s="106"/>
      <c r="K36" s="106"/>
      <c r="L36" s="106">
        <f>I36*0.9%</f>
        <v>1984</v>
      </c>
      <c r="M36" s="106"/>
      <c r="N36" s="106">
        <f>I36*1.88%</f>
        <v>4144</v>
      </c>
      <c r="O36" s="106"/>
      <c r="P36" s="106">
        <f>I36*2.4%</f>
        <v>5290</v>
      </c>
      <c r="Q36" s="106"/>
      <c r="R36" s="106"/>
      <c r="S36" s="106"/>
      <c r="T36" s="106">
        <f>I36*0.03%</f>
        <v>66</v>
      </c>
      <c r="U36" s="108">
        <f>SUM(J36:T36)</f>
        <v>11484</v>
      </c>
    </row>
    <row r="38" spans="9:21" ht="24" x14ac:dyDescent="0.4">
      <c r="T38" s="114" t="s">
        <v>143</v>
      </c>
      <c r="U38" s="113">
        <f>SUM(U29:U37)</f>
        <v>122044</v>
      </c>
    </row>
  </sheetData>
  <mergeCells count="16">
    <mergeCell ref="L26:L27"/>
    <mergeCell ref="N26:N27"/>
    <mergeCell ref="T26:T27"/>
    <mergeCell ref="L13:L14"/>
    <mergeCell ref="N13:N14"/>
    <mergeCell ref="T13:T14"/>
    <mergeCell ref="J17:K17"/>
    <mergeCell ref="L17:M17"/>
    <mergeCell ref="O17:P17"/>
    <mergeCell ref="S17:T17"/>
    <mergeCell ref="B4:G4"/>
    <mergeCell ref="B2:E2"/>
    <mergeCell ref="J4:K4"/>
    <mergeCell ref="L4:M4"/>
    <mergeCell ref="O4:P4"/>
    <mergeCell ref="S4:T4"/>
  </mergeCells>
  <hyperlinks>
    <hyperlink ref="B2" r:id="rId1" xr:uid="{9250327C-3B66-47C9-A628-F347F98C21B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22</vt:i4>
      </vt:variant>
    </vt:vector>
  </HeadingPairs>
  <TitlesOfParts>
    <vt:vector size="24" baseType="lpstr">
      <vt:lpstr>Casa Particular</vt:lpstr>
      <vt:lpstr>1%</vt:lpstr>
      <vt:lpstr>Afc_emp</vt:lpstr>
      <vt:lpstr>Aporte_afp</vt:lpstr>
      <vt:lpstr>'Casa Particular'!Área_de_impresión</vt:lpstr>
      <vt:lpstr>Dias_lic</vt:lpstr>
      <vt:lpstr>Dias_trab</vt:lpstr>
      <vt:lpstr>Expec_vida</vt:lpstr>
      <vt:lpstr>Familiar_1</vt:lpstr>
      <vt:lpstr>Familiar_2</vt:lpstr>
      <vt:lpstr>Familiar_3</vt:lpstr>
      <vt:lpstr>Familiar_4</vt:lpstr>
      <vt:lpstr>Horas</vt:lpstr>
      <vt:lpstr>Liquido</vt:lpstr>
      <vt:lpstr>Rut</vt:lpstr>
      <vt:lpstr>SIS</vt:lpstr>
      <vt:lpstr>Sueldo</vt:lpstr>
      <vt:lpstr>Tipo</vt:lpstr>
      <vt:lpstr>Tope_afc</vt:lpstr>
      <vt:lpstr>Tope_afp</vt:lpstr>
      <vt:lpstr>UF</vt:lpstr>
      <vt:lpstr>UTM</vt:lpstr>
      <vt:lpstr>Valor_HE</vt:lpstr>
      <vt:lpstr>Valor_hora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Patty Moreno</dc:creator>
  <cp:lastModifiedBy>PM y Asociados</cp:lastModifiedBy>
  <cp:lastPrinted>2025-09-01T20:15:25Z</cp:lastPrinted>
  <dcterms:created xsi:type="dcterms:W3CDTF">2025-08-21T20:25:01Z</dcterms:created>
  <dcterms:modified xsi:type="dcterms:W3CDTF">2025-09-01T20:45:44Z</dcterms:modified>
</cp:coreProperties>
</file>