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GAR\AppData\Roaming\Microsoft\Windows\Network Shortcuts\"/>
    </mc:Choice>
  </mc:AlternateContent>
  <xr:revisionPtr revIDLastSave="0" documentId="8_{7860A025-3958-49A5-8924-1922904CD825}" xr6:coauthVersionLast="47" xr6:coauthVersionMax="47" xr10:uidLastSave="{00000000-0000-0000-0000-000000000000}"/>
  <bookViews>
    <workbookView xWindow="3030" yWindow="3030" windowWidth="18000" windowHeight="9360" xr2:uid="{00000000-000D-0000-FFFF-FFFF00000000}"/>
  </bookViews>
  <sheets>
    <sheet name="Flujo" sheetId="3" r:id="rId1"/>
    <sheet name="Interese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3" l="1"/>
  <c r="F7" i="3" s="1"/>
  <c r="G7" i="3" s="1"/>
  <c r="H7" i="3" s="1"/>
  <c r="I7" i="3" s="1"/>
  <c r="E33" i="3" l="1"/>
  <c r="K33" i="3"/>
  <c r="L33" i="3"/>
  <c r="M33" i="3"/>
  <c r="J7" i="3"/>
  <c r="K7" i="3" s="1"/>
  <c r="L7" i="3" s="1"/>
  <c r="M7" i="3" s="1"/>
  <c r="D8" i="3" l="1"/>
  <c r="G37" i="3" l="1"/>
  <c r="C10" i="5"/>
  <c r="D10" i="5" s="1"/>
  <c r="G10" i="5" s="1"/>
  <c r="H32" i="3" s="1"/>
  <c r="C9" i="5"/>
  <c r="D9" i="5" s="1"/>
  <c r="G9" i="5" s="1"/>
  <c r="H30" i="3" s="1"/>
  <c r="C7" i="5"/>
  <c r="D7" i="5" s="1"/>
  <c r="G7" i="5" s="1"/>
  <c r="G28" i="3" s="1"/>
  <c r="C5" i="5"/>
  <c r="D5" i="5" s="1"/>
  <c r="G5" i="5" s="1"/>
  <c r="F26" i="3" l="1"/>
  <c r="G42" i="3"/>
  <c r="H31" i="3" s="1"/>
  <c r="J33" i="3" s="1"/>
  <c r="D9" i="3"/>
  <c r="D13" i="3" s="1"/>
  <c r="F50" i="3"/>
  <c r="D24" i="3" s="1"/>
  <c r="D33" i="3" s="1"/>
  <c r="F44" i="3" l="1"/>
  <c r="G41" i="3"/>
  <c r="H29" i="3" s="1"/>
  <c r="I33" i="3" s="1"/>
  <c r="G40" i="3"/>
  <c r="G39" i="3"/>
  <c r="G27" i="3" l="1"/>
  <c r="H27" i="3"/>
  <c r="F25" i="3"/>
  <c r="F33" i="3" s="1"/>
  <c r="G44" i="3"/>
  <c r="E8" i="5" l="1"/>
  <c r="G8" i="5" s="1"/>
  <c r="H28" i="3" s="1"/>
  <c r="H33" i="3" s="1"/>
  <c r="G33" i="3"/>
  <c r="D15" i="3"/>
  <c r="C22" i="3" l="1"/>
  <c r="B9" i="3"/>
  <c r="B22" i="3" s="1"/>
  <c r="B34" i="3" s="1"/>
  <c r="E8" i="3"/>
  <c r="D22" i="3" l="1"/>
  <c r="F8" i="3"/>
  <c r="D34" i="3" l="1"/>
  <c r="E6" i="3" s="1"/>
  <c r="E9" i="3" s="1"/>
  <c r="E13" i="3" s="1"/>
  <c r="G8" i="3"/>
  <c r="E22" i="3" l="1"/>
  <c r="E34" i="3" s="1"/>
  <c r="H8" i="3"/>
  <c r="F6" i="3" l="1"/>
  <c r="I8" i="3"/>
  <c r="F9" i="3" l="1"/>
  <c r="F22" i="3" s="1"/>
  <c r="F34" i="3" s="1"/>
  <c r="J8" i="3"/>
  <c r="F13" i="3" l="1"/>
  <c r="K8" i="3"/>
  <c r="G6" i="3" l="1"/>
  <c r="G9" i="3" s="1"/>
  <c r="L8" i="3"/>
  <c r="G13" i="3" l="1"/>
  <c r="G22" i="3"/>
  <c r="G34" i="3" s="1"/>
  <c r="M8" i="3"/>
  <c r="H6" i="3" l="1"/>
  <c r="H9" i="3" s="1"/>
  <c r="H13" i="3" l="1"/>
  <c r="H22" i="3"/>
  <c r="H34" i="3" s="1"/>
  <c r="I6" i="3" l="1"/>
  <c r="I9" i="3" s="1"/>
  <c r="I13" i="3" l="1"/>
  <c r="I22" i="3"/>
  <c r="I34" i="3" l="1"/>
  <c r="J6" i="3" s="1"/>
  <c r="J9" i="3" s="1"/>
  <c r="J22" i="3" l="1"/>
  <c r="J34" i="3" s="1"/>
  <c r="K6" i="3" s="1"/>
  <c r="K9" i="3" s="1"/>
  <c r="J13" i="3"/>
  <c r="K22" i="3" l="1"/>
  <c r="K34" i="3" s="1"/>
  <c r="K13" i="3"/>
  <c r="L6" i="3" l="1"/>
  <c r="L9" i="3" s="1"/>
  <c r="L13" i="3" l="1"/>
  <c r="L22" i="3"/>
  <c r="L34" i="3" l="1"/>
  <c r="M6" i="3" s="1"/>
  <c r="M9" i="3" s="1"/>
  <c r="M22" i="3" l="1"/>
  <c r="M34" i="3" s="1"/>
  <c r="M13" i="3"/>
</calcChain>
</file>

<file path=xl/sharedStrings.xml><?xml version="1.0" encoding="utf-8"?>
<sst xmlns="http://schemas.openxmlformats.org/spreadsheetml/2006/main" count="74" uniqueCount="64">
  <si>
    <t>1. FLUJO DE EFECTIVO DE OPERACIÓN</t>
  </si>
  <si>
    <t>2. FLUJO DE EFECTIVO DE INVERSIÓN</t>
  </si>
  <si>
    <t>Venta de activos</t>
  </si>
  <si>
    <t>3. FLUJO DE EFECTIVO DE FINANCIACIÓN</t>
  </si>
  <si>
    <t>Préstamos recibidos</t>
  </si>
  <si>
    <t>Aportes de socios</t>
  </si>
  <si>
    <t>Pago de préstamos</t>
  </si>
  <si>
    <t>ITEM</t>
  </si>
  <si>
    <t>Saldo inicial de caja</t>
  </si>
  <si>
    <t>Ingreso por alquiler de espacio</t>
  </si>
  <si>
    <t>T0TAL ENTRADA DE EFECTIVO</t>
  </si>
  <si>
    <t>SALIDA DE EFECTIVO</t>
  </si>
  <si>
    <t>Gastos de administracion y ventas</t>
  </si>
  <si>
    <t>Costos</t>
  </si>
  <si>
    <t>FLUJO DE CAJA</t>
  </si>
  <si>
    <t>FLUJO NETO OPERATIVO</t>
  </si>
  <si>
    <t>FLUJO NETO DE INVERSION</t>
  </si>
  <si>
    <t>SALDO FINAL DEL EFECTIVO</t>
  </si>
  <si>
    <t>Ingresos por ventas de sacos</t>
  </si>
  <si>
    <t xml:space="preserve"> INFLACION PROMEDIO HISTORICA DE COLOMBIA</t>
  </si>
  <si>
    <t>IPC PROMEDIO HISTORICO DE COLOMBIA</t>
  </si>
  <si>
    <t>Fiducia</t>
  </si>
  <si>
    <t>FLUJO FINANCIERO: Proyecto de reorganizacion</t>
  </si>
  <si>
    <t>1 - Pago acreecias primer Orden</t>
  </si>
  <si>
    <t>FLUJO DE EFECTIVO NETO  TOTAL</t>
  </si>
  <si>
    <t>GRADUACION DE LAS OBLIGACIONES</t>
  </si>
  <si>
    <t>1er. ORDEN</t>
  </si>
  <si>
    <t>LABORALES</t>
  </si>
  <si>
    <t>FISCALES</t>
  </si>
  <si>
    <t>2do. ORDEN</t>
  </si>
  <si>
    <t>OBL. FINANCIERAS</t>
  </si>
  <si>
    <t>3er. ORDEN</t>
  </si>
  <si>
    <t>HIPOTECARIAS</t>
  </si>
  <si>
    <t>4to. ORDEN</t>
  </si>
  <si>
    <t>PROVEEDOORES</t>
  </si>
  <si>
    <t>5to. ORDEN</t>
  </si>
  <si>
    <t>BANCOS</t>
  </si>
  <si>
    <t>OTR. ACREEDORES</t>
  </si>
  <si>
    <t>TOTALES</t>
  </si>
  <si>
    <t>Pago de intereses 5,2%</t>
  </si>
  <si>
    <t>LABORALES DESPUES DEL 5 DE SEPTIEMBRE</t>
  </si>
  <si>
    <t>TOTAL</t>
  </si>
  <si>
    <t>Pago acreecias despues del 5 de septiembre de 2024 a octubre 2025</t>
  </si>
  <si>
    <t>2 - Pago acreecias segundo Orden</t>
  </si>
  <si>
    <t>4 - Pago acreecias Cuarto Orden</t>
  </si>
  <si>
    <t>5 - Pago acreecias Quinto Orden</t>
  </si>
  <si>
    <t>FECHAS</t>
  </si>
  <si>
    <t>Sep-diciem 2024</t>
  </si>
  <si>
    <t>4 meses</t>
  </si>
  <si>
    <t>2025-2028</t>
  </si>
  <si>
    <t>valor</t>
  </si>
  <si>
    <t>tasa</t>
  </si>
  <si>
    <t>intereses</t>
  </si>
  <si>
    <t>18 meses  2023 a sep 2024</t>
  </si>
  <si>
    <t>Total meses</t>
  </si>
  <si>
    <t>2 cuotas</t>
  </si>
  <si>
    <t>4 cuotas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</si>
  <si>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Del total de ingresos registrados en promedio un  96% corresponde a la actividad principal de la empresa, basada en la producción y venta de sacos de fique  y el  4</t>
    </r>
    <r>
      <rPr>
        <b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restante proviene de ingresos por arrendamientos.</t>
    </r>
  </si>
  <si>
    <t>año 2029</t>
  </si>
  <si>
    <t>año 2030</t>
  </si>
  <si>
    <t>Total acreeencias</t>
  </si>
  <si>
    <t>PROVISION</t>
  </si>
  <si>
    <t>PARA LOS AÑOS DE 2026 AL 2031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</si>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</sst>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0.0%"/>
    <numFmt numFmtId="166" formatCode="_-* #,##0_-;\-* #,##0_-;_-* &quot;-&quot;??_-;_-@_-"/>
    <numFmt numFmtId="167" formatCode="_-&quot;$&quot;\ * #,##0_-;\-&quot;$&quot;\ * #,##0_-;_-&quot;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rgb="FF363435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166" fontId="5" fillId="3" borderId="1" xfId="0" applyNumberFormat="1" applyFont="1" applyFill="1" applyBorder="1" applyAlignment="1">
      <alignment horizontal="left" vertical="justify" wrapText="1" indent="2"/>
    </xf>
    <xf numFmtId="0" fontId="7" fillId="0" borderId="0" xfId="0" applyFont="1"/>
    <xf numFmtId="0" fontId="8" fillId="3" borderId="0" xfId="0" applyFont="1" applyFill="1" applyAlignment="1">
      <alignment wrapText="1"/>
    </xf>
    <xf numFmtId="9" fontId="8" fillId="3" borderId="0" xfId="0" applyNumberFormat="1" applyFont="1" applyFill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7" fillId="2" borderId="1" xfId="0" applyFont="1" applyFill="1" applyBorder="1"/>
    <xf numFmtId="0" fontId="7" fillId="0" borderId="1" xfId="0" applyFont="1" applyBorder="1"/>
    <xf numFmtId="4" fontId="7" fillId="0" borderId="1" xfId="0" applyNumberFormat="1" applyFont="1" applyBorder="1"/>
    <xf numFmtId="165" fontId="7" fillId="0" borderId="1" xfId="1" applyNumberFormat="1" applyFont="1" applyBorder="1"/>
    <xf numFmtId="0" fontId="6" fillId="0" borderId="1" xfId="0" applyFont="1" applyBorder="1"/>
    <xf numFmtId="4" fontId="6" fillId="0" borderId="1" xfId="0" applyNumberFormat="1" applyFont="1" applyBorder="1"/>
    <xf numFmtId="0" fontId="4" fillId="2" borderId="2" xfId="0" applyFont="1" applyFill="1" applyBorder="1"/>
    <xf numFmtId="4" fontId="7" fillId="2" borderId="1" xfId="0" applyNumberFormat="1" applyFont="1" applyFill="1" applyBorder="1"/>
    <xf numFmtId="0" fontId="7" fillId="0" borderId="2" xfId="0" applyFont="1" applyBorder="1"/>
    <xf numFmtId="4" fontId="4" fillId="2" borderId="1" xfId="0" applyNumberFormat="1" applyFont="1" applyFill="1" applyBorder="1"/>
    <xf numFmtId="0" fontId="4" fillId="2" borderId="0" xfId="0" applyFont="1" applyFill="1"/>
    <xf numFmtId="4" fontId="7" fillId="3" borderId="1" xfId="0" applyNumberFormat="1" applyFont="1" applyFill="1" applyBorder="1"/>
    <xf numFmtId="4" fontId="7" fillId="0" borderId="0" xfId="0" applyNumberFormat="1" applyFont="1"/>
    <xf numFmtId="166" fontId="5" fillId="3" borderId="0" xfId="0" applyNumberFormat="1" applyFont="1" applyFill="1" applyAlignment="1">
      <alignment horizontal="left" vertical="justify" wrapText="1" indent="2"/>
    </xf>
    <xf numFmtId="166" fontId="5" fillId="3" borderId="1" xfId="0" applyNumberFormat="1" applyFont="1" applyFill="1" applyBorder="1" applyAlignment="1">
      <alignment horizontal="left" vertical="justify" wrapText="1" indent="4"/>
    </xf>
    <xf numFmtId="166" fontId="4" fillId="2" borderId="1" xfId="0" applyNumberFormat="1" applyFont="1" applyFill="1" applyBorder="1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0" fontId="9" fillId="3" borderId="1" xfId="0" applyFont="1" applyFill="1" applyBorder="1"/>
    <xf numFmtId="167" fontId="7" fillId="0" borderId="1" xfId="3" applyNumberFormat="1" applyFont="1" applyBorder="1"/>
    <xf numFmtId="0" fontId="4" fillId="2" borderId="1" xfId="0" applyFont="1" applyFill="1" applyBorder="1" applyAlignment="1">
      <alignment horizontal="center"/>
    </xf>
    <xf numFmtId="167" fontId="7" fillId="0" borderId="1" xfId="0" applyNumberFormat="1" applyFont="1" applyBorder="1" applyAlignment="1">
      <alignment vertical="center"/>
    </xf>
    <xf numFmtId="167" fontId="4" fillId="2" borderId="1" xfId="3" applyNumberFormat="1" applyFont="1" applyFill="1" applyBorder="1"/>
    <xf numFmtId="167" fontId="4" fillId="2" borderId="1" xfId="0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horizontal="justify" vertical="justify" wrapText="1"/>
    </xf>
    <xf numFmtId="166" fontId="5" fillId="3" borderId="5" xfId="0" applyNumberFormat="1" applyFont="1" applyFill="1" applyBorder="1" applyAlignment="1">
      <alignment horizontal="left" vertical="justify" wrapText="1" indent="2"/>
    </xf>
    <xf numFmtId="0" fontId="7" fillId="0" borderId="5" xfId="0" applyFont="1" applyBorder="1"/>
    <xf numFmtId="4" fontId="7" fillId="0" borderId="5" xfId="0" applyNumberFormat="1" applyFont="1" applyBorder="1"/>
    <xf numFmtId="0" fontId="4" fillId="3" borderId="1" xfId="0" applyFont="1" applyFill="1" applyBorder="1"/>
    <xf numFmtId="0" fontId="7" fillId="3" borderId="1" xfId="0" applyFont="1" applyFill="1" applyBorder="1"/>
    <xf numFmtId="4" fontId="10" fillId="3" borderId="1" xfId="0" applyNumberFormat="1" applyFont="1" applyFill="1" applyBorder="1"/>
    <xf numFmtId="0" fontId="9" fillId="3" borderId="4" xfId="0" applyFont="1" applyFill="1" applyBorder="1"/>
    <xf numFmtId="4" fontId="7" fillId="0" borderId="4" xfId="0" applyNumberFormat="1" applyFont="1" applyBorder="1"/>
    <xf numFmtId="167" fontId="7" fillId="0" borderId="1" xfId="0" applyNumberFormat="1" applyFont="1" applyBorder="1"/>
    <xf numFmtId="3" fontId="7" fillId="0" borderId="0" xfId="0" applyNumberFormat="1" applyFont="1"/>
    <xf numFmtId="4" fontId="11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166" fontId="5" fillId="3" borderId="4" xfId="0" applyNumberFormat="1" applyFont="1" applyFill="1" applyBorder="1" applyAlignment="1">
      <alignment horizontal="left" vertical="justify" wrapText="1" indent="4"/>
    </xf>
    <xf numFmtId="0" fontId="7" fillId="0" borderId="4" xfId="0" applyFont="1" applyBorder="1"/>
    <xf numFmtId="3" fontId="7" fillId="0" borderId="4" xfId="0" applyNumberFormat="1" applyFont="1" applyBorder="1"/>
    <xf numFmtId="166" fontId="5" fillId="4" borderId="4" xfId="0" applyNumberFormat="1" applyFont="1" applyFill="1" applyBorder="1" applyAlignment="1">
      <alignment horizontal="left" vertical="justify" wrapText="1" indent="4"/>
    </xf>
    <xf numFmtId="0" fontId="7" fillId="4" borderId="1" xfId="0" applyFont="1" applyFill="1" applyBorder="1"/>
    <xf numFmtId="4" fontId="6" fillId="4" borderId="1" xfId="0" applyNumberFormat="1" applyFont="1" applyFill="1" applyBorder="1"/>
    <xf numFmtId="3" fontId="7" fillId="3" borderId="1" xfId="0" applyNumberFormat="1" applyFont="1" applyFill="1" applyBorder="1"/>
    <xf numFmtId="0" fontId="6" fillId="3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0033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D238-3BA0-400A-8C2B-BB3B43BF7639}">
  <dimension ref="A1:O51"/>
  <sheetViews>
    <sheetView tabSelected="1" workbookViewId="0">
      <selection activeCell="A47" sqref="A47"/>
    </sheetView>
  </sheetViews>
  <sheetFormatPr baseColWidth="10" defaultColWidth="8.85546875" defaultRowHeight="12" x14ac:dyDescent="0.2"/>
  <cols>
    <col min="1" max="1" width="56.42578125" style="3" bestFit="1" customWidth="1"/>
    <col min="2" max="2" width="21.140625" style="3" hidden="1" customWidth="1"/>
    <col min="3" max="3" width="6.42578125" style="3" hidden="1" customWidth="1"/>
    <col min="4" max="9" width="21.140625" style="3" bestFit="1" customWidth="1"/>
    <col min="10" max="12" width="21.140625" style="3" hidden="1" customWidth="1"/>
    <col min="13" max="13" width="21.85546875" style="3" hidden="1" customWidth="1"/>
    <col min="14" max="20" width="9.5703125" style="3" customWidth="1"/>
    <col min="21" max="16384" width="8.85546875" style="3"/>
  </cols>
  <sheetData>
    <row r="1" spans="1:15" x14ac:dyDescent="0.2">
      <c r="A1" s="53" t="s">
        <v>14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x14ac:dyDescent="0.2">
      <c r="A2" s="53" t="s">
        <v>62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x14ac:dyDescent="0.2">
      <c r="A3" s="4" t="s">
        <v>19</v>
      </c>
      <c r="B3" s="5">
        <v>0.08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6" t="s">
        <v>7</v>
      </c>
      <c r="B4" s="6">
        <v>2025</v>
      </c>
      <c r="C4" s="7" t="s">
        <v>20</v>
      </c>
      <c r="D4" s="8">
        <v>2026</v>
      </c>
      <c r="E4" s="8">
        <v>2027</v>
      </c>
      <c r="F4" s="8">
        <v>2028</v>
      </c>
      <c r="G4" s="8">
        <v>2029</v>
      </c>
      <c r="H4" s="8">
        <v>2030</v>
      </c>
      <c r="I4" s="8">
        <v>2031</v>
      </c>
      <c r="J4" s="8">
        <v>2032</v>
      </c>
      <c r="K4" s="8">
        <v>2033</v>
      </c>
      <c r="L4" s="8">
        <v>2034</v>
      </c>
      <c r="M4" s="8">
        <v>2035</v>
      </c>
    </row>
    <row r="5" spans="1:15" x14ac:dyDescent="0.2">
      <c r="A5" s="8" t="s">
        <v>0</v>
      </c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x14ac:dyDescent="0.2">
      <c r="A6" s="10" t="s">
        <v>8</v>
      </c>
      <c r="B6" s="11">
        <v>66242382.469999999</v>
      </c>
      <c r="C6" s="11"/>
      <c r="D6" s="11">
        <v>0</v>
      </c>
      <c r="E6" s="11">
        <f>+D34</f>
        <v>2755597719.7659998</v>
      </c>
      <c r="F6" s="11">
        <f>+E34</f>
        <v>3504955515.214592</v>
      </c>
      <c r="G6" s="11">
        <f>+F34</f>
        <v>2338004621.4838977</v>
      </c>
      <c r="H6" s="11">
        <f t="shared" ref="H6:M6" si="0">+G34</f>
        <v>970567115.83659554</v>
      </c>
      <c r="I6" s="11">
        <f t="shared" si="0"/>
        <v>601887412.22678709</v>
      </c>
      <c r="J6" s="11">
        <f t="shared" si="0"/>
        <v>4774813134.5698929</v>
      </c>
      <c r="K6" s="11">
        <f t="shared" si="0"/>
        <v>10170018259.005852</v>
      </c>
      <c r="L6" s="11">
        <f t="shared" si="0"/>
        <v>16973120139.255577</v>
      </c>
      <c r="M6" s="11">
        <f t="shared" si="0"/>
        <v>25393369017.493073</v>
      </c>
    </row>
    <row r="7" spans="1:15" x14ac:dyDescent="0.2">
      <c r="A7" s="10" t="s">
        <v>18</v>
      </c>
      <c r="B7" s="11">
        <v>0</v>
      </c>
      <c r="C7" s="11"/>
      <c r="D7" s="52">
        <v>27269312687.759094</v>
      </c>
      <c r="E7" s="11">
        <f>+(D7*10%)+D7</f>
        <v>29996243956.535004</v>
      </c>
      <c r="F7" s="11">
        <f t="shared" ref="F7:M7" si="1">+(E7*10%)+E7</f>
        <v>32995868352.188503</v>
      </c>
      <c r="G7" s="11">
        <f t="shared" si="1"/>
        <v>36295455187.407356</v>
      </c>
      <c r="H7" s="11">
        <f t="shared" si="1"/>
        <v>39925000706.148094</v>
      </c>
      <c r="I7" s="11">
        <f t="shared" si="1"/>
        <v>43917500776.762901</v>
      </c>
      <c r="J7" s="11">
        <f t="shared" si="1"/>
        <v>48309250854.439194</v>
      </c>
      <c r="K7" s="11">
        <f t="shared" si="1"/>
        <v>53140175939.88311</v>
      </c>
      <c r="L7" s="11">
        <f t="shared" si="1"/>
        <v>58454193533.871422</v>
      </c>
      <c r="M7" s="11">
        <f t="shared" si="1"/>
        <v>64299612887.25856</v>
      </c>
    </row>
    <row r="8" spans="1:15" x14ac:dyDescent="0.2">
      <c r="A8" s="10" t="s">
        <v>9</v>
      </c>
      <c r="B8" s="11">
        <v>919633454</v>
      </c>
      <c r="C8" s="12">
        <v>0.08</v>
      </c>
      <c r="D8" s="11">
        <f>+(B8*C8)+B8</f>
        <v>993204130.32000005</v>
      </c>
      <c r="E8" s="11">
        <f t="shared" ref="E8:M8" si="2">+(D8*$B$3)+D8</f>
        <v>1072660460.7456001</v>
      </c>
      <c r="F8" s="11">
        <f t="shared" si="2"/>
        <v>1158473297.6052482</v>
      </c>
      <c r="G8" s="11">
        <f t="shared" si="2"/>
        <v>1251151161.4136682</v>
      </c>
      <c r="H8" s="11">
        <f t="shared" si="2"/>
        <v>1351243254.3267617</v>
      </c>
      <c r="I8" s="11">
        <f t="shared" si="2"/>
        <v>1459342714.6729026</v>
      </c>
      <c r="J8" s="11">
        <f t="shared" si="2"/>
        <v>1576090131.8467348</v>
      </c>
      <c r="K8" s="11">
        <f t="shared" si="2"/>
        <v>1702177342.3944736</v>
      </c>
      <c r="L8" s="11">
        <f t="shared" si="2"/>
        <v>1838351529.7860315</v>
      </c>
      <c r="M8" s="11">
        <f t="shared" si="2"/>
        <v>1985419652.1689141</v>
      </c>
    </row>
    <row r="9" spans="1:15" x14ac:dyDescent="0.2">
      <c r="A9" s="13" t="s">
        <v>10</v>
      </c>
      <c r="B9" s="14">
        <f>SUM(B6:B8)</f>
        <v>985875836.47000003</v>
      </c>
      <c r="C9" s="14"/>
      <c r="D9" s="14">
        <f>+D6+D7+D8</f>
        <v>28262516818.079094</v>
      </c>
      <c r="E9" s="14">
        <f>+E6+E7+E8</f>
        <v>33824502137.046604</v>
      </c>
      <c r="F9" s="14">
        <f>+F6+F7+F8</f>
        <v>37659297165.008339</v>
      </c>
      <c r="G9" s="14">
        <f>+G6+G7+G8</f>
        <v>39884610970.304916</v>
      </c>
      <c r="H9" s="14">
        <f>+H6+H7+H8</f>
        <v>42246811076.311447</v>
      </c>
      <c r="I9" s="14">
        <f t="shared" ref="I9:M9" si="3">+I6+I7+I8</f>
        <v>45978730903.66259</v>
      </c>
      <c r="J9" s="14">
        <f t="shared" si="3"/>
        <v>54660154120.85582</v>
      </c>
      <c r="K9" s="14">
        <f t="shared" si="3"/>
        <v>65012371541.283432</v>
      </c>
      <c r="L9" s="14">
        <f t="shared" si="3"/>
        <v>77265665202.913025</v>
      </c>
      <c r="M9" s="14">
        <f t="shared" si="3"/>
        <v>91678401556.920547</v>
      </c>
    </row>
    <row r="10" spans="1:15" x14ac:dyDescent="0.2">
      <c r="A10" s="15" t="s">
        <v>11</v>
      </c>
      <c r="B10" s="8"/>
      <c r="C10" s="8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5" x14ac:dyDescent="0.2">
      <c r="A11" s="17" t="s">
        <v>12</v>
      </c>
      <c r="B11" s="11">
        <v>3216187754.5033336</v>
      </c>
      <c r="C11" s="10"/>
      <c r="D11" s="11">
        <v>4113182519.2343125</v>
      </c>
      <c r="E11" s="11">
        <v>4442237120.7730579</v>
      </c>
      <c r="F11" s="11">
        <v>4797616090.4349031</v>
      </c>
      <c r="G11" s="11">
        <v>5181425377.6696939</v>
      </c>
      <c r="H11" s="11">
        <v>5595939407.8832712</v>
      </c>
      <c r="I11" s="11">
        <v>6043614560.5139322</v>
      </c>
      <c r="J11" s="11">
        <v>6527103725.3550444</v>
      </c>
      <c r="K11" s="11">
        <v>7049272023.3834505</v>
      </c>
      <c r="L11" s="11">
        <v>7613213785.2541265</v>
      </c>
      <c r="M11" s="11">
        <v>8222270888.0744572</v>
      </c>
    </row>
    <row r="12" spans="1:15" x14ac:dyDescent="0.2">
      <c r="A12" s="17" t="s">
        <v>13</v>
      </c>
      <c r="B12" s="11">
        <v>20868128799.526451</v>
      </c>
      <c r="C12" s="10"/>
      <c r="D12" s="11">
        <v>23969819286.87878</v>
      </c>
      <c r="E12" s="11">
        <v>25877309501.058952</v>
      </c>
      <c r="F12" s="11">
        <v>27937398932.373539</v>
      </c>
      <c r="G12" s="11">
        <v>30162295518.193295</v>
      </c>
      <c r="H12" s="11">
        <v>32565183830.878616</v>
      </c>
      <c r="I12" s="11">
        <v>35160303208.578766</v>
      </c>
      <c r="J12" s="11">
        <v>37963032136.494926</v>
      </c>
      <c r="K12" s="11">
        <v>40989979378.644402</v>
      </c>
      <c r="L12" s="11">
        <v>44259082400.165833</v>
      </c>
      <c r="M12" s="11">
        <v>47789713663.408943</v>
      </c>
    </row>
    <row r="13" spans="1:15" x14ac:dyDescent="0.2">
      <c r="A13" s="15" t="s">
        <v>15</v>
      </c>
      <c r="B13" s="8"/>
      <c r="C13" s="8"/>
      <c r="D13" s="18">
        <f>+D9-D11-D12</f>
        <v>179515011.9659996</v>
      </c>
      <c r="E13" s="18">
        <f t="shared" ref="E13:M13" si="4">+E9-E11-E12</f>
        <v>3504955515.214592</v>
      </c>
      <c r="F13" s="18">
        <f t="shared" si="4"/>
        <v>4924282142.1998978</v>
      </c>
      <c r="G13" s="18">
        <f t="shared" si="4"/>
        <v>4540890074.4419289</v>
      </c>
      <c r="H13" s="18">
        <f t="shared" si="4"/>
        <v>4085687837.5495605</v>
      </c>
      <c r="I13" s="18">
        <f t="shared" si="4"/>
        <v>4774813134.5698929</v>
      </c>
      <c r="J13" s="18">
        <f t="shared" si="4"/>
        <v>10170018259.005852</v>
      </c>
      <c r="K13" s="18">
        <f t="shared" si="4"/>
        <v>16973120139.255577</v>
      </c>
      <c r="L13" s="18">
        <f t="shared" si="4"/>
        <v>25393369017.493073</v>
      </c>
      <c r="M13" s="18">
        <f t="shared" si="4"/>
        <v>35666417005.437141</v>
      </c>
    </row>
    <row r="14" spans="1:15" x14ac:dyDescent="0.2">
      <c r="A14" s="19" t="s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5" x14ac:dyDescent="0.2">
      <c r="A15" s="3" t="s">
        <v>2</v>
      </c>
      <c r="B15" s="10"/>
      <c r="C15" s="10"/>
      <c r="D15" s="20">
        <f>2364000000+3040000000</f>
        <v>5404000000</v>
      </c>
      <c r="E15" s="10"/>
      <c r="F15" s="10"/>
      <c r="G15" s="10"/>
      <c r="H15" s="10"/>
      <c r="I15" s="10"/>
      <c r="J15" s="10"/>
      <c r="K15" s="10"/>
      <c r="L15" s="10"/>
      <c r="M15" s="10"/>
    </row>
    <row r="16" spans="1:15" x14ac:dyDescent="0.2">
      <c r="A16" s="3" t="s">
        <v>21</v>
      </c>
      <c r="B16" s="10"/>
      <c r="C16" s="10"/>
      <c r="D16" s="20">
        <v>844821538.79999995</v>
      </c>
      <c r="E16" s="10"/>
      <c r="F16" s="10"/>
      <c r="G16" s="10"/>
      <c r="H16" s="10"/>
      <c r="I16" s="10"/>
      <c r="J16" s="10"/>
      <c r="K16" s="10"/>
      <c r="L16" s="10"/>
      <c r="M16" s="10"/>
    </row>
    <row r="17" spans="1:13" hidden="1" x14ac:dyDescent="0.2">
      <c r="A17" s="19" t="s">
        <v>16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idden="1" x14ac:dyDescent="0.2">
      <c r="A18" s="19" t="s">
        <v>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idden="1" x14ac:dyDescent="0.2">
      <c r="A19" s="17" t="s">
        <v>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hidden="1" x14ac:dyDescent="0.2">
      <c r="A20" s="17" t="s">
        <v>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idden="1" x14ac:dyDescent="0.2">
      <c r="A21" s="17" t="s">
        <v>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">
      <c r="A22" s="19" t="s">
        <v>17</v>
      </c>
      <c r="B22" s="18">
        <f>+B9-B11-B12+B15-B19-B20-B21</f>
        <v>-23098440717.559784</v>
      </c>
      <c r="C22" s="18">
        <f t="shared" ref="C22:M22" si="5">+C9-C11-C12+C15-C19-C20-C21</f>
        <v>0</v>
      </c>
      <c r="D22" s="18">
        <f>+D13+D15+D16</f>
        <v>6428336550.7659998</v>
      </c>
      <c r="E22" s="18">
        <f t="shared" si="5"/>
        <v>3504955515.214592</v>
      </c>
      <c r="F22" s="18">
        <f>+F9-F11-F12+F15-F19-F20-F21</f>
        <v>4924282142.1998978</v>
      </c>
      <c r="G22" s="18">
        <f t="shared" si="5"/>
        <v>4540890074.4419289</v>
      </c>
      <c r="H22" s="18">
        <f t="shared" si="5"/>
        <v>4085687837.5495605</v>
      </c>
      <c r="I22" s="18">
        <f>+I9-I11-I12+I15-I19-I20-I21</f>
        <v>4774813134.5698929</v>
      </c>
      <c r="J22" s="18">
        <f t="shared" si="5"/>
        <v>10170018259.005852</v>
      </c>
      <c r="K22" s="18">
        <f t="shared" si="5"/>
        <v>16973120139.255577</v>
      </c>
      <c r="L22" s="18">
        <f t="shared" si="5"/>
        <v>25393369017.493073</v>
      </c>
      <c r="M22" s="18">
        <f t="shared" si="5"/>
        <v>35666417005.437141</v>
      </c>
    </row>
    <row r="23" spans="1:13" x14ac:dyDescent="0.2">
      <c r="A23" s="19" t="s">
        <v>22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s="37" customFormat="1" ht="15.75" customHeight="1" x14ac:dyDescent="0.2">
      <c r="A24" s="33" t="s">
        <v>42</v>
      </c>
      <c r="B24" s="36"/>
      <c r="C24" s="36"/>
      <c r="D24" s="38">
        <f>+F50</f>
        <v>3672738831</v>
      </c>
      <c r="E24" s="36"/>
      <c r="F24" s="36"/>
      <c r="G24" s="36"/>
      <c r="H24" s="36"/>
      <c r="I24" s="36"/>
      <c r="J24" s="36"/>
      <c r="K24" s="36"/>
      <c r="L24" s="36"/>
      <c r="M24" s="36"/>
    </row>
    <row r="25" spans="1:13" x14ac:dyDescent="0.2">
      <c r="A25" s="33" t="s">
        <v>23</v>
      </c>
      <c r="C25" s="34"/>
      <c r="D25" s="34"/>
      <c r="E25" s="34"/>
      <c r="F25" s="35">
        <f>+G37</f>
        <v>2110672623</v>
      </c>
      <c r="G25" s="35"/>
      <c r="H25" s="34"/>
      <c r="I25" s="34"/>
      <c r="J25" s="34"/>
      <c r="K25" s="34"/>
      <c r="L25" s="34"/>
      <c r="M25" s="34"/>
    </row>
    <row r="26" spans="1:13" x14ac:dyDescent="0.2">
      <c r="A26" s="23" t="s">
        <v>39</v>
      </c>
      <c r="C26" s="10"/>
      <c r="D26" s="10"/>
      <c r="E26" s="10"/>
      <c r="F26" s="20">
        <f>+Intereses!G5</f>
        <v>475604897.71599996</v>
      </c>
      <c r="G26" s="11"/>
      <c r="H26" s="10"/>
      <c r="I26" s="10"/>
      <c r="J26" s="10"/>
      <c r="K26" s="10"/>
      <c r="L26" s="10"/>
      <c r="M26" s="10"/>
    </row>
    <row r="27" spans="1:13" x14ac:dyDescent="0.2">
      <c r="A27" s="2" t="s">
        <v>43</v>
      </c>
      <c r="C27" s="10"/>
      <c r="D27" s="10"/>
      <c r="E27" s="10"/>
      <c r="F27" s="10"/>
      <c r="G27" s="11">
        <f>+(G39/6)*4</f>
        <v>2369159229.3333335</v>
      </c>
      <c r="H27" s="11">
        <f>+(G39/6)*2</f>
        <v>1184579614.6666667</v>
      </c>
      <c r="J27" s="10"/>
      <c r="K27" s="10"/>
      <c r="L27" s="10"/>
      <c r="M27" s="10"/>
    </row>
    <row r="28" spans="1:13" x14ac:dyDescent="0.2">
      <c r="A28" s="23" t="s">
        <v>39</v>
      </c>
      <c r="C28" s="10"/>
      <c r="D28" s="10"/>
      <c r="E28" s="10"/>
      <c r="F28" s="10"/>
      <c r="G28" s="43">
        <f>+Intereses!G7</f>
        <v>1201163729.2719998</v>
      </c>
      <c r="H28" s="11">
        <f>+Intereses!G8</f>
        <v>61598139.962666653</v>
      </c>
      <c r="I28" s="10"/>
      <c r="J28" s="10"/>
      <c r="K28" s="10"/>
      <c r="L28" s="10"/>
      <c r="M28" s="10"/>
    </row>
    <row r="29" spans="1:13" x14ac:dyDescent="0.2">
      <c r="A29" s="2" t="s">
        <v>44</v>
      </c>
      <c r="C29" s="10"/>
      <c r="D29" s="10"/>
      <c r="E29" s="10"/>
      <c r="F29" s="10"/>
      <c r="G29" s="41"/>
      <c r="H29" s="11">
        <f>+G41</f>
        <v>1236233453</v>
      </c>
      <c r="I29" s="10"/>
      <c r="J29" s="11"/>
      <c r="K29" s="10"/>
      <c r="L29" s="10"/>
      <c r="M29" s="10"/>
    </row>
    <row r="30" spans="1:13" x14ac:dyDescent="0.2">
      <c r="A30" s="23" t="s">
        <v>39</v>
      </c>
      <c r="C30" s="10"/>
      <c r="D30" s="10"/>
      <c r="E30" s="10"/>
      <c r="F30" s="10"/>
      <c r="G30" s="10"/>
      <c r="H30" s="11">
        <f>+Intereses!G9</f>
        <v>385704837.33599997</v>
      </c>
      <c r="I30" s="10"/>
      <c r="J30" s="11"/>
      <c r="K30" s="10"/>
      <c r="L30" s="10"/>
      <c r="M30" s="10"/>
    </row>
    <row r="31" spans="1:13" x14ac:dyDescent="0.2">
      <c r="A31" s="2" t="s">
        <v>45</v>
      </c>
      <c r="C31" s="10"/>
      <c r="D31" s="10"/>
      <c r="E31" s="10"/>
      <c r="F31" s="10"/>
      <c r="G31" s="10"/>
      <c r="H31" s="11">
        <f>+G42</f>
        <v>469271631.37</v>
      </c>
      <c r="I31" s="10"/>
      <c r="J31" s="10"/>
      <c r="K31" s="10"/>
      <c r="L31" s="10"/>
      <c r="M31" s="10"/>
    </row>
    <row r="32" spans="1:13" x14ac:dyDescent="0.2">
      <c r="A32" s="46" t="s">
        <v>39</v>
      </c>
      <c r="C32" s="47"/>
      <c r="D32" s="47"/>
      <c r="E32" s="47"/>
      <c r="F32" s="47"/>
      <c r="G32" s="47"/>
      <c r="H32" s="48">
        <f>+Intereses!G10</f>
        <v>146412748.98743999</v>
      </c>
      <c r="I32" s="10"/>
      <c r="J32" s="10"/>
      <c r="K32" s="10"/>
      <c r="L32" s="47"/>
      <c r="M32" s="47"/>
    </row>
    <row r="33" spans="1:13" x14ac:dyDescent="0.2">
      <c r="A33" s="49" t="s">
        <v>60</v>
      </c>
      <c r="B33" s="50"/>
      <c r="C33" s="50"/>
      <c r="D33" s="51">
        <f>SUM(D24:D32)</f>
        <v>3672738831</v>
      </c>
      <c r="E33" s="51">
        <f t="shared" ref="E33:M33" si="6">SUM(E24:E32)</f>
        <v>0</v>
      </c>
      <c r="F33" s="51">
        <f t="shared" si="6"/>
        <v>2586277520.7160001</v>
      </c>
      <c r="G33" s="51">
        <f t="shared" si="6"/>
        <v>3570322958.6053333</v>
      </c>
      <c r="H33" s="51">
        <f>SUM(H24:H32)</f>
        <v>3483800425.3227735</v>
      </c>
      <c r="I33" s="51">
        <f t="shared" si="6"/>
        <v>0</v>
      </c>
      <c r="J33" s="51">
        <f>SUM(J24:J32)</f>
        <v>0</v>
      </c>
      <c r="K33" s="51">
        <f t="shared" si="6"/>
        <v>0</v>
      </c>
      <c r="L33" s="51">
        <f t="shared" si="6"/>
        <v>0</v>
      </c>
      <c r="M33" s="51">
        <f t="shared" si="6"/>
        <v>0</v>
      </c>
    </row>
    <row r="34" spans="1:13" x14ac:dyDescent="0.2">
      <c r="A34" s="24" t="s">
        <v>24</v>
      </c>
      <c r="B34" s="32">
        <f>B21-B22-B23-B29</f>
        <v>23098440717.559784</v>
      </c>
      <c r="C34" s="32"/>
      <c r="D34" s="32">
        <f>+D22-D33</f>
        <v>2755597719.7659998</v>
      </c>
      <c r="E34" s="32">
        <f t="shared" ref="E34:M34" si="7">+E22-E33</f>
        <v>3504955515.214592</v>
      </c>
      <c r="F34" s="32">
        <f>+F22-F33</f>
        <v>2338004621.4838977</v>
      </c>
      <c r="G34" s="32">
        <f t="shared" si="7"/>
        <v>970567115.83659554</v>
      </c>
      <c r="H34" s="32">
        <f t="shared" si="7"/>
        <v>601887412.22678709</v>
      </c>
      <c r="I34" s="32">
        <f t="shared" si="7"/>
        <v>4774813134.5698929</v>
      </c>
      <c r="J34" s="32">
        <f t="shared" si="7"/>
        <v>10170018259.005852</v>
      </c>
      <c r="K34" s="32">
        <f t="shared" si="7"/>
        <v>16973120139.255577</v>
      </c>
      <c r="L34" s="32">
        <f t="shared" si="7"/>
        <v>25393369017.493073</v>
      </c>
      <c r="M34" s="32">
        <f t="shared" si="7"/>
        <v>35666417005.437141</v>
      </c>
    </row>
    <row r="35" spans="1:13" x14ac:dyDescent="0.2">
      <c r="A35" s="22"/>
    </row>
    <row r="36" spans="1:13" ht="15" x14ac:dyDescent="0.25">
      <c r="A36" s="60" t="s">
        <v>57</v>
      </c>
      <c r="D36" s="54" t="s">
        <v>25</v>
      </c>
      <c r="E36" s="54"/>
      <c r="F36" s="54"/>
      <c r="G36" s="54"/>
    </row>
    <row r="37" spans="1:13" x14ac:dyDescent="0.2">
      <c r="A37" s="60"/>
      <c r="D37" s="56" t="s">
        <v>26</v>
      </c>
      <c r="E37" s="26" t="s">
        <v>27</v>
      </c>
      <c r="F37" s="27">
        <v>1685213826</v>
      </c>
      <c r="G37" s="58">
        <f>+F37+F38</f>
        <v>2110672623</v>
      </c>
      <c r="H37" s="42"/>
      <c r="I37" s="21"/>
      <c r="J37" s="21"/>
    </row>
    <row r="38" spans="1:13" x14ac:dyDescent="0.2">
      <c r="A38" s="60"/>
      <c r="D38" s="57"/>
      <c r="E38" s="26" t="s">
        <v>28</v>
      </c>
      <c r="F38" s="27">
        <v>425458797</v>
      </c>
      <c r="G38" s="59"/>
    </row>
    <row r="39" spans="1:13" x14ac:dyDescent="0.2">
      <c r="A39" s="60"/>
      <c r="D39" s="28" t="s">
        <v>29</v>
      </c>
      <c r="E39" s="26" t="s">
        <v>30</v>
      </c>
      <c r="F39" s="27">
        <v>3553738844</v>
      </c>
      <c r="G39" s="27">
        <f>+F39</f>
        <v>3553738844</v>
      </c>
      <c r="H39" s="21"/>
      <c r="I39" s="21"/>
    </row>
    <row r="40" spans="1:13" x14ac:dyDescent="0.2">
      <c r="A40" s="60"/>
      <c r="D40" s="28" t="s">
        <v>31</v>
      </c>
      <c r="E40" s="26" t="s">
        <v>32</v>
      </c>
      <c r="F40" s="27">
        <v>0</v>
      </c>
      <c r="G40" s="29">
        <f>+F40</f>
        <v>0</v>
      </c>
    </row>
    <row r="41" spans="1:13" x14ac:dyDescent="0.2">
      <c r="A41" s="60"/>
      <c r="D41" s="28" t="s">
        <v>33</v>
      </c>
      <c r="E41" s="26" t="s">
        <v>34</v>
      </c>
      <c r="F41" s="27">
        <v>1236233453</v>
      </c>
      <c r="G41" s="29">
        <f>+F41</f>
        <v>1236233453</v>
      </c>
    </row>
    <row r="42" spans="1:13" x14ac:dyDescent="0.2">
      <c r="A42" s="60"/>
      <c r="D42" s="28" t="s">
        <v>35</v>
      </c>
      <c r="E42" s="26" t="s">
        <v>36</v>
      </c>
      <c r="F42" s="27">
        <v>0</v>
      </c>
      <c r="G42" s="58">
        <f>+F42+F43</f>
        <v>469271631.37</v>
      </c>
      <c r="H42" s="3" t="s">
        <v>63</v>
      </c>
    </row>
    <row r="43" spans="1:13" x14ac:dyDescent="0.2">
      <c r="A43" s="60"/>
      <c r="D43" s="28"/>
      <c r="E43" s="26" t="s">
        <v>37</v>
      </c>
      <c r="F43" s="27">
        <v>469271631.37</v>
      </c>
      <c r="G43" s="58"/>
    </row>
    <row r="44" spans="1:13" x14ac:dyDescent="0.2">
      <c r="D44" s="55" t="s">
        <v>38</v>
      </c>
      <c r="E44" s="55"/>
      <c r="F44" s="30">
        <f>SUM(F37:F43)</f>
        <v>7369916551.3699999</v>
      </c>
      <c r="G44" s="31">
        <f>SUM(G37:G43)</f>
        <v>7369916551.3699999</v>
      </c>
      <c r="H44" s="21"/>
    </row>
    <row r="47" spans="1:13" ht="15" customHeight="1" x14ac:dyDescent="0.25">
      <c r="D47" s="54" t="s">
        <v>40</v>
      </c>
      <c r="E47" s="54"/>
      <c r="F47" s="54"/>
    </row>
    <row r="48" spans="1:13" x14ac:dyDescent="0.2">
      <c r="D48" s="25" t="s">
        <v>26</v>
      </c>
      <c r="E48" s="39" t="s">
        <v>27</v>
      </c>
      <c r="F48" s="40">
        <v>2144150314</v>
      </c>
    </row>
    <row r="49" spans="4:6" x14ac:dyDescent="0.2">
      <c r="D49" s="10"/>
      <c r="E49" s="26" t="s">
        <v>61</v>
      </c>
      <c r="F49" s="11">
        <v>1528588517</v>
      </c>
    </row>
    <row r="50" spans="4:6" x14ac:dyDescent="0.2">
      <c r="D50" s="55" t="s">
        <v>41</v>
      </c>
      <c r="E50" s="55"/>
      <c r="F50" s="30">
        <f>SUM(F48:F49)</f>
        <v>3672738831</v>
      </c>
    </row>
    <row r="51" spans="4:6" x14ac:dyDescent="0.2">
      <c r="D51" s="21"/>
    </row>
  </sheetData>
  <mergeCells count="10">
    <mergeCell ref="A1:O1"/>
    <mergeCell ref="A2:O2"/>
    <mergeCell ref="D47:F47"/>
    <mergeCell ref="D50:E50"/>
    <mergeCell ref="D36:G36"/>
    <mergeCell ref="D37:D38"/>
    <mergeCell ref="G37:G38"/>
    <mergeCell ref="G42:G43"/>
    <mergeCell ref="D44:E44"/>
    <mergeCell ref="A36:A43"/>
  </mergeCells>
  <pageMargins left="0.7" right="0.7" top="0.75" bottom="0.75" header="0.3" footer="0.3"/>
  <ignoredErrors>
    <ignoredError sqref="D2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C068-5F54-4DB7-8078-845ACB629CD5}">
  <dimension ref="A2:I10"/>
  <sheetViews>
    <sheetView workbookViewId="0">
      <selection activeCell="D6" sqref="D6"/>
    </sheetView>
  </sheetViews>
  <sheetFormatPr baseColWidth="10" defaultRowHeight="15" x14ac:dyDescent="0.25"/>
  <cols>
    <col min="1" max="1" width="16.140625" bestFit="1" customWidth="1"/>
    <col min="2" max="2" width="23.7109375" bestFit="1" customWidth="1"/>
    <col min="5" max="7" width="15.28515625" bestFit="1" customWidth="1"/>
    <col min="8" max="9" width="13.7109375" bestFit="1" customWidth="1"/>
  </cols>
  <sheetData>
    <row r="2" spans="1:9" x14ac:dyDescent="0.25">
      <c r="H2" s="44"/>
      <c r="I2" s="44"/>
    </row>
    <row r="3" spans="1:9" x14ac:dyDescent="0.25">
      <c r="A3" s="1"/>
      <c r="B3" s="61" t="s">
        <v>46</v>
      </c>
      <c r="C3" s="61"/>
      <c r="D3" s="1"/>
      <c r="E3" s="1"/>
      <c r="F3" s="1"/>
      <c r="G3" s="1"/>
      <c r="H3" s="44"/>
      <c r="I3" s="44"/>
    </row>
    <row r="4" spans="1:9" x14ac:dyDescent="0.25">
      <c r="A4" s="1"/>
      <c r="B4" s="1" t="s">
        <v>47</v>
      </c>
      <c r="C4" s="1" t="s">
        <v>49</v>
      </c>
      <c r="D4" s="1" t="s">
        <v>54</v>
      </c>
      <c r="E4" s="1" t="s">
        <v>50</v>
      </c>
      <c r="F4" s="1" t="s">
        <v>51</v>
      </c>
      <c r="G4" s="1" t="s">
        <v>52</v>
      </c>
      <c r="H4" s="44"/>
      <c r="I4" s="44"/>
    </row>
    <row r="5" spans="1:9" x14ac:dyDescent="0.25">
      <c r="A5" s="1" t="s">
        <v>26</v>
      </c>
      <c r="B5" s="1" t="s">
        <v>48</v>
      </c>
      <c r="C5" s="1">
        <f>12*4</f>
        <v>48</v>
      </c>
      <c r="D5" s="1">
        <f>4+C5</f>
        <v>52</v>
      </c>
      <c r="E5" s="11">
        <v>2110672623</v>
      </c>
      <c r="F5" s="1">
        <v>5.1999999999999998E-2</v>
      </c>
      <c r="G5" s="45">
        <f>+(E5*F5)/12*D5</f>
        <v>475604897.71599996</v>
      </c>
    </row>
    <row r="6" spans="1:9" x14ac:dyDescent="0.25">
      <c r="A6" s="1"/>
      <c r="B6" s="1"/>
      <c r="C6" s="1"/>
      <c r="D6" s="1"/>
      <c r="E6" s="11"/>
      <c r="F6" s="1"/>
      <c r="G6" s="45"/>
    </row>
    <row r="7" spans="1:9" x14ac:dyDescent="0.25">
      <c r="A7" s="1" t="s">
        <v>29</v>
      </c>
      <c r="B7" s="1" t="s">
        <v>53</v>
      </c>
      <c r="C7" s="1">
        <f>12*5</f>
        <v>60</v>
      </c>
      <c r="D7" s="1">
        <f>+C7+18</f>
        <v>78</v>
      </c>
      <c r="E7" s="45">
        <v>3553738844</v>
      </c>
      <c r="F7" s="1">
        <v>5.1999999999999998E-2</v>
      </c>
      <c r="G7" s="45">
        <f>+(E7*F7)/12*D7</f>
        <v>1201163729.2719998</v>
      </c>
      <c r="H7" t="s">
        <v>56</v>
      </c>
      <c r="I7" t="s">
        <v>58</v>
      </c>
    </row>
    <row r="8" spans="1:9" x14ac:dyDescent="0.25">
      <c r="A8" s="1" t="s">
        <v>29</v>
      </c>
      <c r="B8" s="1"/>
      <c r="C8" s="1">
        <v>12</v>
      </c>
      <c r="D8" s="1">
        <v>12</v>
      </c>
      <c r="E8" s="45">
        <f>+E7-Flujo!G27</f>
        <v>1184579614.6666665</v>
      </c>
      <c r="F8" s="1">
        <v>5.1999999999999998E-2</v>
      </c>
      <c r="G8" s="45">
        <f>+(E8*F8)/12*D8</f>
        <v>61598139.962666653</v>
      </c>
      <c r="H8" t="s">
        <v>55</v>
      </c>
      <c r="I8" t="s">
        <v>59</v>
      </c>
    </row>
    <row r="9" spans="1:9" x14ac:dyDescent="0.25">
      <c r="A9" s="1" t="s">
        <v>33</v>
      </c>
      <c r="B9" s="1"/>
      <c r="C9" s="1">
        <f>12*6</f>
        <v>72</v>
      </c>
      <c r="D9" s="1">
        <f>+B9+C9</f>
        <v>72</v>
      </c>
      <c r="E9" s="45">
        <v>1236233453</v>
      </c>
      <c r="F9" s="1">
        <v>5.1999999999999998E-2</v>
      </c>
      <c r="G9" s="45">
        <f t="shared" ref="G9:G10" si="0">+(E9*F9)/12*D9</f>
        <v>385704837.33599997</v>
      </c>
    </row>
    <row r="10" spans="1:9" x14ac:dyDescent="0.25">
      <c r="A10" s="1" t="s">
        <v>35</v>
      </c>
      <c r="B10" s="1"/>
      <c r="C10" s="1">
        <f>12*6</f>
        <v>72</v>
      </c>
      <c r="D10" s="1">
        <f t="shared" ref="D10" si="1">+B10+C10</f>
        <v>72</v>
      </c>
      <c r="E10" s="45">
        <v>469271631.37</v>
      </c>
      <c r="F10" s="1">
        <v>5.1999999999999998E-2</v>
      </c>
      <c r="G10" s="45">
        <f t="shared" si="0"/>
        <v>146412748.98743999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Flujo</vt:lpstr>
      <vt:lpstr>Intereses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HOGAR</cp:lastModifiedBy>
  <dcterms:created xsi:type="dcterms:W3CDTF">2025-11-12T21:42:33Z</dcterms:created>
  <dcterms:modified xsi:type="dcterms:W3CDTF">2026-01-17T19:13:42Z</dcterms:modified>
</cp:coreProperties>
</file>