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66925"/>
  <mc:AlternateContent xmlns:mc="http://schemas.openxmlformats.org/markup-compatibility/2006">
    <mc:Choice Requires="x15">
      <x15ac:absPath xmlns:x15ac="http://schemas.microsoft.com/office/spreadsheetml/2010/11/ac" url="C:\Users\Robert Stricker\Desktop\"/>
    </mc:Choice>
  </mc:AlternateContent>
  <xr:revisionPtr revIDLastSave="0" documentId="13_ncr:1_{B7352CCA-DF21-4778-849B-97E59C70FAA3}" xr6:coauthVersionLast="47" xr6:coauthVersionMax="47" xr10:uidLastSave="{00000000-0000-0000-0000-000000000000}"/>
  <bookViews>
    <workbookView xWindow="-120" yWindow="-120" windowWidth="29040" windowHeight="16440" xr2:uid="{CEB66499-7492-4468-BDF5-F5EEDEFEC878}"/>
  </bookViews>
  <sheets>
    <sheet name="Pricing" sheetId="2" r:id="rId1"/>
    <sheet name="NFL" sheetId="1" r:id="rId2"/>
    <sheet name="MLB" sheetId="3" r:id="rId3"/>
    <sheet name="NBA" sheetId="4" r:id="rId4"/>
    <sheet name="NHL" sheetId="8" r:id="rId5"/>
    <sheet name="Multi-Sport" sheetId="6" r:id="rId6"/>
    <sheet name="Break Report" sheetId="10" r:id="rId7"/>
    <sheet name="Sheet5" sheetId="11" state="hidden" r:id="rId8"/>
  </sheets>
  <externalReferences>
    <externalReference r:id="rId9"/>
  </externalReferences>
  <definedNames>
    <definedName name="FACILITY">[1]Sheet_Data!$L$6:$L$21</definedName>
    <definedName name="Instructor_Type">[1]Sheet_Data!$A$6:$A$9</definedName>
    <definedName name="MONTH">[1]Sheet_Data!$I$6:$I$13</definedName>
    <definedName name="Qualification_Options_Helper_1">[1]Sheet_Data!$Q$17:$Q$20</definedName>
    <definedName name="Qualification_Options_Helper_2">[1]Sheet_Data!$R$17:$R$19</definedName>
    <definedName name="Qualification_Options_Helper_3">[1]Sheet_Data!$S$17:$S$20</definedName>
    <definedName name="Qualification_Options_Helper_4">[1]Sheet_Data!$T$17:$T$20</definedName>
    <definedName name="Qualification_Options_Helper_5">[1]Sheet_Data!$U$17:$U$20</definedName>
    <definedName name="Qualification_Options_Helper_6">[1]Sheet_Data!$V$17:$V$20</definedName>
    <definedName name="Stage">[1]Sheet_Data!$T$5:$T$12</definedName>
    <definedName name="Student_Type">[1]Sheet_Data!$G$16:$G$21</definedName>
    <definedName name="Training_Type">[1]Sheet_Data!$R$6:$R$11</definedName>
    <definedName name="Training_Type_Limited">[1]Sheet_Data!$C$6:$C$8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0" i="2" l="1"/>
  <c r="P20" i="2"/>
  <c r="U18" i="2" l="1"/>
  <c r="P18" i="2"/>
  <c r="K18" i="2"/>
  <c r="F18" i="2"/>
  <c r="C42" i="10"/>
  <c r="C41" i="10"/>
  <c r="C40" i="10"/>
  <c r="C39" i="10"/>
  <c r="C38" i="10"/>
  <c r="C37" i="10"/>
  <c r="C36" i="10"/>
  <c r="C35" i="10"/>
  <c r="C34" i="10"/>
  <c r="C33" i="10"/>
  <c r="C32" i="10"/>
  <c r="C31" i="10"/>
  <c r="C30" i="10"/>
  <c r="C29" i="10"/>
  <c r="C28" i="10"/>
  <c r="C27" i="10"/>
  <c r="C26" i="10"/>
  <c r="C25" i="10"/>
  <c r="C24" i="10"/>
  <c r="C23" i="10"/>
  <c r="C22" i="10"/>
  <c r="C21" i="10"/>
  <c r="C20" i="10"/>
  <c r="C19" i="10"/>
  <c r="C18" i="10"/>
  <c r="C17" i="10"/>
  <c r="C16" i="10"/>
  <c r="C15" i="10"/>
  <c r="C14" i="10"/>
  <c r="C11" i="10"/>
  <c r="C12" i="10"/>
  <c r="C13" i="10"/>
  <c r="C8" i="10"/>
  <c r="D38" i="8" l="1"/>
  <c r="U4" i="2"/>
  <c r="U14" i="2" s="1"/>
  <c r="P4" i="2"/>
  <c r="P14" i="2" s="1"/>
  <c r="K4" i="2"/>
  <c r="F13" i="2"/>
  <c r="F10" i="2"/>
  <c r="F11" i="2"/>
  <c r="F12" i="2"/>
  <c r="F9" i="2"/>
  <c r="F8" i="2"/>
  <c r="F7" i="2"/>
  <c r="F6" i="2"/>
  <c r="F5" i="2"/>
  <c r="F4" i="2"/>
  <c r="E20" i="3"/>
  <c r="F20" i="3" s="1"/>
  <c r="K14" i="2"/>
  <c r="D38" i="4"/>
  <c r="D38" i="3"/>
  <c r="D38" i="1"/>
  <c r="K16" i="2" l="1"/>
  <c r="K20" i="2"/>
  <c r="E14" i="3" s="1"/>
  <c r="F14" i="3" s="1"/>
  <c r="U16" i="2"/>
  <c r="F14" i="2"/>
  <c r="D37" i="6"/>
  <c r="P16" i="2"/>
  <c r="E8" i="3" l="1"/>
  <c r="F8" i="3" s="1"/>
  <c r="E11" i="3"/>
  <c r="F11" i="3" s="1"/>
  <c r="E28" i="3"/>
  <c r="F28" i="3" s="1"/>
  <c r="E24" i="3"/>
  <c r="F24" i="3" s="1"/>
  <c r="G24" i="3" s="1"/>
  <c r="E12" i="3"/>
  <c r="F12" i="3" s="1"/>
  <c r="G12" i="3" s="1"/>
  <c r="E23" i="3"/>
  <c r="F23" i="3" s="1"/>
  <c r="G23" i="3" s="1"/>
  <c r="E34" i="3"/>
  <c r="F34" i="3" s="1"/>
  <c r="G34" i="3" s="1"/>
  <c r="E29" i="3"/>
  <c r="F29" i="3" s="1"/>
  <c r="G29" i="3" s="1"/>
  <c r="E22" i="3"/>
  <c r="F22" i="3" s="1"/>
  <c r="G22" i="3" s="1"/>
  <c r="E33" i="3"/>
  <c r="F33" i="3" s="1"/>
  <c r="G33" i="3" s="1"/>
  <c r="E7" i="3"/>
  <c r="F7" i="3" s="1"/>
  <c r="G7" i="3" s="1"/>
  <c r="E10" i="3"/>
  <c r="F10" i="3" s="1"/>
  <c r="G10" i="3" s="1"/>
  <c r="E17" i="3"/>
  <c r="F17" i="3" s="1"/>
  <c r="E21" i="3"/>
  <c r="F21" i="3" s="1"/>
  <c r="E32" i="3"/>
  <c r="F32" i="3" s="1"/>
  <c r="E5" i="3"/>
  <c r="F5" i="3" s="1"/>
  <c r="E6" i="3"/>
  <c r="F6" i="3" s="1"/>
  <c r="E9" i="3"/>
  <c r="F9" i="3" s="1"/>
  <c r="E27" i="3"/>
  <c r="F27" i="3" s="1"/>
  <c r="G27" i="3" s="1"/>
  <c r="E35" i="3"/>
  <c r="F35" i="3" s="1"/>
  <c r="G35" i="3" s="1"/>
  <c r="E31" i="3"/>
  <c r="F31" i="3" s="1"/>
  <c r="G31" i="3" s="1"/>
  <c r="E15" i="3"/>
  <c r="F15" i="3" s="1"/>
  <c r="G15" i="3" s="1"/>
  <c r="E19" i="3"/>
  <c r="F19" i="3" s="1"/>
  <c r="G19" i="3" s="1"/>
  <c r="E30" i="3"/>
  <c r="F30" i="3" s="1"/>
  <c r="G30" i="3" s="1"/>
  <c r="E25" i="3"/>
  <c r="F25" i="3" s="1"/>
  <c r="E18" i="3"/>
  <c r="F18" i="3" s="1"/>
  <c r="E26" i="3"/>
  <c r="F26" i="3" s="1"/>
  <c r="E13" i="3"/>
  <c r="F13" i="3" s="1"/>
  <c r="G13" i="3" s="1"/>
  <c r="E16" i="3"/>
  <c r="F16" i="3" s="1"/>
  <c r="G16" i="3" s="1"/>
  <c r="E36" i="3"/>
  <c r="F36" i="3" s="1"/>
  <c r="F16" i="2"/>
  <c r="F20" i="2" s="1"/>
  <c r="E30" i="8"/>
  <c r="F30" i="8" s="1"/>
  <c r="E24" i="8"/>
  <c r="F24" i="8" s="1"/>
  <c r="E12" i="8"/>
  <c r="F12" i="8" s="1"/>
  <c r="E31" i="8"/>
  <c r="F31" i="8" s="1"/>
  <c r="E28" i="8"/>
  <c r="F28" i="8" s="1"/>
  <c r="E16" i="8"/>
  <c r="F16" i="8" s="1"/>
  <c r="E36" i="8"/>
  <c r="F36" i="8" s="1"/>
  <c r="E23" i="8"/>
  <c r="F23" i="8" s="1"/>
  <c r="E11" i="8"/>
  <c r="F11" i="8" s="1"/>
  <c r="E18" i="8"/>
  <c r="F18" i="8" s="1"/>
  <c r="E15" i="8"/>
  <c r="F15" i="8" s="1"/>
  <c r="E25" i="8"/>
  <c r="F25" i="8" s="1"/>
  <c r="E35" i="8"/>
  <c r="F35" i="8" s="1"/>
  <c r="E22" i="8"/>
  <c r="F22" i="8" s="1"/>
  <c r="E10" i="8"/>
  <c r="F10" i="8" s="1"/>
  <c r="E29" i="8"/>
  <c r="F29" i="8" s="1"/>
  <c r="E14" i="8"/>
  <c r="F14" i="8" s="1"/>
  <c r="E34" i="8"/>
  <c r="F34" i="8" s="1"/>
  <c r="E21" i="8"/>
  <c r="F21" i="8" s="1"/>
  <c r="E9" i="8"/>
  <c r="F9" i="8" s="1"/>
  <c r="E19" i="8"/>
  <c r="F19" i="8" s="1"/>
  <c r="E17" i="8"/>
  <c r="F17" i="8" s="1"/>
  <c r="E27" i="8"/>
  <c r="F27" i="8" s="1"/>
  <c r="E33" i="8"/>
  <c r="F33" i="8" s="1"/>
  <c r="E20" i="8"/>
  <c r="F20" i="8" s="1"/>
  <c r="E8" i="8"/>
  <c r="F8" i="8" s="1"/>
  <c r="E32" i="8"/>
  <c r="F32" i="8" s="1"/>
  <c r="E26" i="8"/>
  <c r="F26" i="8" s="1"/>
  <c r="E13" i="8"/>
  <c r="F13" i="8" s="1"/>
  <c r="E7" i="8"/>
  <c r="E6" i="8"/>
  <c r="E5" i="8"/>
  <c r="F5" i="8" s="1"/>
  <c r="G32" i="3"/>
  <c r="G20" i="3"/>
  <c r="G8" i="3"/>
  <c r="G18" i="3"/>
  <c r="G17" i="3"/>
  <c r="G28" i="3"/>
  <c r="G36" i="3"/>
  <c r="G26" i="3"/>
  <c r="G14" i="3"/>
  <c r="G25" i="3"/>
  <c r="G11" i="3"/>
  <c r="G21" i="3"/>
  <c r="G9" i="3"/>
  <c r="F38" i="3" l="1"/>
  <c r="F6" i="8"/>
  <c r="F7" i="8"/>
  <c r="G7" i="8" s="1"/>
  <c r="E33" i="4"/>
  <c r="G35" i="8"/>
  <c r="G23" i="8"/>
  <c r="G11" i="8"/>
  <c r="G34" i="8"/>
  <c r="G22" i="8"/>
  <c r="G10" i="8"/>
  <c r="G20" i="8"/>
  <c r="G19" i="8"/>
  <c r="G30" i="8"/>
  <c r="G18" i="8"/>
  <c r="G28" i="8"/>
  <c r="G27" i="8"/>
  <c r="G26" i="8"/>
  <c r="G14" i="8"/>
  <c r="G25" i="8"/>
  <c r="G13" i="8"/>
  <c r="G36" i="8"/>
  <c r="G24" i="8"/>
  <c r="G12" i="8"/>
  <c r="G33" i="8"/>
  <c r="G21" i="8"/>
  <c r="G9" i="8"/>
  <c r="G32" i="8"/>
  <c r="G8" i="8"/>
  <c r="G31" i="8"/>
  <c r="G29" i="8"/>
  <c r="G17" i="8"/>
  <c r="G16" i="8"/>
  <c r="G15" i="8"/>
  <c r="G5" i="8"/>
  <c r="E8" i="1"/>
  <c r="F8" i="1" s="1"/>
  <c r="E29" i="1"/>
  <c r="F29" i="1" s="1"/>
  <c r="E6" i="4"/>
  <c r="E10" i="1"/>
  <c r="F10" i="1" s="1"/>
  <c r="E18" i="4"/>
  <c r="E23" i="4"/>
  <c r="E20" i="4"/>
  <c r="E32" i="1"/>
  <c r="F32" i="1" s="1"/>
  <c r="E26" i="1"/>
  <c r="F26" i="1" s="1"/>
  <c r="E12" i="4"/>
  <c r="E28" i="4"/>
  <c r="E32" i="4"/>
  <c r="E19" i="1"/>
  <c r="E25" i="4"/>
  <c r="E28" i="1"/>
  <c r="F28" i="1" s="1"/>
  <c r="E22" i="4"/>
  <c r="E24" i="1"/>
  <c r="F24" i="1" s="1"/>
  <c r="E35" i="4"/>
  <c r="E36" i="1"/>
  <c r="F36" i="1" s="1"/>
  <c r="E7" i="4"/>
  <c r="E13" i="1"/>
  <c r="F13" i="1" s="1"/>
  <c r="E26" i="4"/>
  <c r="E20" i="1"/>
  <c r="E25" i="1"/>
  <c r="F25" i="1" s="1"/>
  <c r="E7" i="1"/>
  <c r="F7" i="1" s="1"/>
  <c r="E10" i="4"/>
  <c r="E15" i="4"/>
  <c r="E31" i="4"/>
  <c r="E35" i="1"/>
  <c r="F35" i="1" s="1"/>
  <c r="E21" i="1"/>
  <c r="F21" i="1" s="1"/>
  <c r="E12" i="1"/>
  <c r="F12" i="1" s="1"/>
  <c r="E34" i="4"/>
  <c r="E27" i="4"/>
  <c r="E8" i="4"/>
  <c r="E23" i="1"/>
  <c r="F23" i="1" s="1"/>
  <c r="E27" i="1"/>
  <c r="E14" i="1"/>
  <c r="E16" i="4"/>
  <c r="E30" i="1"/>
  <c r="F30" i="1" s="1"/>
  <c r="E5" i="1"/>
  <c r="F5" i="1" s="1"/>
  <c r="E24" i="4"/>
  <c r="E5" i="4"/>
  <c r="E11" i="4"/>
  <c r="E34" i="1"/>
  <c r="F34" i="1" s="1"/>
  <c r="E9" i="1"/>
  <c r="F9" i="1" s="1"/>
  <c r="E19" i="4"/>
  <c r="E11" i="1"/>
  <c r="E15" i="1"/>
  <c r="F15" i="1" s="1"/>
  <c r="E36" i="4"/>
  <c r="E17" i="4"/>
  <c r="E9" i="4"/>
  <c r="E31" i="1"/>
  <c r="E17" i="1"/>
  <c r="F17" i="1" s="1"/>
  <c r="E6" i="1"/>
  <c r="F6" i="1" s="1"/>
  <c r="E30" i="4"/>
  <c r="E14" i="4"/>
  <c r="E22" i="1"/>
  <c r="F22" i="1" s="1"/>
  <c r="E33" i="1"/>
  <c r="F33" i="1" s="1"/>
  <c r="E16" i="1"/>
  <c r="F16" i="1" s="1"/>
  <c r="E18" i="1"/>
  <c r="F18" i="1" s="1"/>
  <c r="E13" i="4"/>
  <c r="E29" i="4"/>
  <c r="E21" i="4"/>
  <c r="G6" i="3"/>
  <c r="G5" i="3"/>
  <c r="E38" i="3"/>
  <c r="F38" i="8" l="1"/>
  <c r="F24" i="4"/>
  <c r="G24" i="4" s="1"/>
  <c r="E30" i="6"/>
  <c r="F30" i="6" s="1"/>
  <c r="F31" i="1"/>
  <c r="G31" i="1" s="1"/>
  <c r="F31" i="4"/>
  <c r="G31" i="4" s="1"/>
  <c r="F22" i="4"/>
  <c r="G22" i="4" s="1"/>
  <c r="F21" i="4"/>
  <c r="G21" i="4" s="1"/>
  <c r="F9" i="4"/>
  <c r="G9" i="4" s="1"/>
  <c r="F15" i="4"/>
  <c r="G15" i="4" s="1"/>
  <c r="F6" i="4"/>
  <c r="G6" i="4" s="1"/>
  <c r="F29" i="4"/>
  <c r="G29" i="4" s="1"/>
  <c r="F17" i="4"/>
  <c r="G17" i="4" s="1"/>
  <c r="F16" i="4"/>
  <c r="G16" i="4" s="1"/>
  <c r="F10" i="4"/>
  <c r="G10" i="4" s="1"/>
  <c r="F25" i="4"/>
  <c r="G25" i="4" s="1"/>
  <c r="F13" i="4"/>
  <c r="G13" i="4" s="1"/>
  <c r="F36" i="4"/>
  <c r="G36" i="4" s="1"/>
  <c r="E13" i="6"/>
  <c r="F13" i="6" s="1"/>
  <c r="F14" i="1"/>
  <c r="G14" i="1" s="1"/>
  <c r="E18" i="6"/>
  <c r="F18" i="6" s="1"/>
  <c r="F19" i="1"/>
  <c r="G19" i="1" s="1"/>
  <c r="E26" i="6"/>
  <c r="F26" i="6" s="1"/>
  <c r="F27" i="1"/>
  <c r="G27" i="1" s="1"/>
  <c r="F32" i="4"/>
  <c r="G32" i="4" s="1"/>
  <c r="E10" i="6"/>
  <c r="F10" i="6" s="1"/>
  <c r="F11" i="1"/>
  <c r="E19" i="6"/>
  <c r="F19" i="6" s="1"/>
  <c r="F20" i="1"/>
  <c r="G20" i="1" s="1"/>
  <c r="F28" i="4"/>
  <c r="G28" i="4" s="1"/>
  <c r="F19" i="4"/>
  <c r="G19" i="4" s="1"/>
  <c r="F8" i="4"/>
  <c r="G8" i="4" s="1"/>
  <c r="F26" i="4"/>
  <c r="G26" i="4" s="1"/>
  <c r="F12" i="4"/>
  <c r="G12" i="4" s="1"/>
  <c r="F27" i="4"/>
  <c r="G27" i="4" s="1"/>
  <c r="F14" i="4"/>
  <c r="G14" i="4" s="1"/>
  <c r="F34" i="4"/>
  <c r="G34" i="4" s="1"/>
  <c r="F7" i="4"/>
  <c r="G7" i="4" s="1"/>
  <c r="F30" i="4"/>
  <c r="G30" i="4" s="1"/>
  <c r="F11" i="4"/>
  <c r="G11" i="4" s="1"/>
  <c r="F20" i="4"/>
  <c r="G20" i="4" s="1"/>
  <c r="F23" i="4"/>
  <c r="G23" i="4" s="1"/>
  <c r="F33" i="4"/>
  <c r="G33" i="4" s="1"/>
  <c r="F18" i="4"/>
  <c r="G18" i="4" s="1"/>
  <c r="F5" i="4"/>
  <c r="F35" i="4"/>
  <c r="G35" i="4" s="1"/>
  <c r="G6" i="8"/>
  <c r="E11" i="6"/>
  <c r="E24" i="6"/>
  <c r="F24" i="6" s="1"/>
  <c r="G29" i="1"/>
  <c r="E28" i="6"/>
  <c r="F28" i="6" s="1"/>
  <c r="G18" i="1"/>
  <c r="E17" i="6"/>
  <c r="F17" i="6" s="1"/>
  <c r="G16" i="1"/>
  <c r="E15" i="6"/>
  <c r="G36" i="1"/>
  <c r="E35" i="6"/>
  <c r="F35" i="6" s="1"/>
  <c r="G6" i="1"/>
  <c r="E5" i="6"/>
  <c r="F5" i="6" s="1"/>
  <c r="G21" i="1"/>
  <c r="E20" i="6"/>
  <c r="F20" i="6" s="1"/>
  <c r="G17" i="1"/>
  <c r="E16" i="6"/>
  <c r="F16" i="6" s="1"/>
  <c r="G35" i="1"/>
  <c r="E34" i="6"/>
  <c r="F34" i="6" s="1"/>
  <c r="G24" i="1"/>
  <c r="E23" i="6"/>
  <c r="F23" i="6" s="1"/>
  <c r="E4" i="6"/>
  <c r="F4" i="6" s="1"/>
  <c r="G10" i="1"/>
  <c r="E9" i="6"/>
  <c r="F9" i="6" s="1"/>
  <c r="G30" i="1"/>
  <c r="E29" i="6"/>
  <c r="F29" i="6" s="1"/>
  <c r="G28" i="1"/>
  <c r="E27" i="6"/>
  <c r="F27" i="6" s="1"/>
  <c r="G7" i="1"/>
  <c r="E6" i="6"/>
  <c r="F6" i="6" s="1"/>
  <c r="G8" i="1"/>
  <c r="E7" i="6"/>
  <c r="F7" i="6" s="1"/>
  <c r="G15" i="1"/>
  <c r="E14" i="6"/>
  <c r="F14" i="6" s="1"/>
  <c r="G23" i="1"/>
  <c r="E22" i="6"/>
  <c r="F22" i="6" s="1"/>
  <c r="G33" i="1"/>
  <c r="E32" i="6"/>
  <c r="F32" i="6" s="1"/>
  <c r="G22" i="1"/>
  <c r="E21" i="6"/>
  <c r="F21" i="6" s="1"/>
  <c r="G9" i="1"/>
  <c r="E8" i="6"/>
  <c r="F8" i="6" s="1"/>
  <c r="G13" i="1"/>
  <c r="E12" i="6"/>
  <c r="F12" i="6" s="1"/>
  <c r="G26" i="1"/>
  <c r="E25" i="6"/>
  <c r="F25" i="6" s="1"/>
  <c r="G34" i="1"/>
  <c r="E33" i="6"/>
  <c r="F33" i="6" s="1"/>
  <c r="G32" i="1"/>
  <c r="E31" i="6"/>
  <c r="F31" i="6" s="1"/>
  <c r="G38" i="8"/>
  <c r="E38" i="8"/>
  <c r="G5" i="1"/>
  <c r="E38" i="1"/>
  <c r="G25" i="1"/>
  <c r="E38" i="4"/>
  <c r="G38" i="3"/>
  <c r="D40" i="3" s="1"/>
  <c r="D40" i="8" l="1"/>
  <c r="F38" i="4"/>
  <c r="F38" i="1"/>
  <c r="G5" i="4"/>
  <c r="G38" i="4" s="1"/>
  <c r="D40" i="4" s="1"/>
  <c r="F11" i="6"/>
  <c r="G11" i="6" s="1"/>
  <c r="F15" i="6"/>
  <c r="G15" i="6" s="1"/>
  <c r="G35" i="6"/>
  <c r="E42" i="10"/>
  <c r="G34" i="6"/>
  <c r="E41" i="10"/>
  <c r="G33" i="6"/>
  <c r="E40" i="10"/>
  <c r="G32" i="6"/>
  <c r="E39" i="10"/>
  <c r="G31" i="6"/>
  <c r="E38" i="10"/>
  <c r="G30" i="6"/>
  <c r="E37" i="10"/>
  <c r="G29" i="6"/>
  <c r="E36" i="10"/>
  <c r="G28" i="6"/>
  <c r="E35" i="10"/>
  <c r="G27" i="6"/>
  <c r="E34" i="10"/>
  <c r="G26" i="6"/>
  <c r="E33" i="10"/>
  <c r="G25" i="6"/>
  <c r="E32" i="10"/>
  <c r="G24" i="6"/>
  <c r="E31" i="10"/>
  <c r="G23" i="6"/>
  <c r="E30" i="10"/>
  <c r="G22" i="6"/>
  <c r="E29" i="10"/>
  <c r="G21" i="6"/>
  <c r="E28" i="10"/>
  <c r="G20" i="6"/>
  <c r="E27" i="10"/>
  <c r="G19" i="6"/>
  <c r="E26" i="10"/>
  <c r="G18" i="6"/>
  <c r="E25" i="10"/>
  <c r="G17" i="6"/>
  <c r="E24" i="10"/>
  <c r="G16" i="6"/>
  <c r="E23" i="10"/>
  <c r="E22" i="10"/>
  <c r="G14" i="6"/>
  <c r="E21" i="10"/>
  <c r="G13" i="6"/>
  <c r="E20" i="10"/>
  <c r="G12" i="6"/>
  <c r="E19" i="10"/>
  <c r="G12" i="1"/>
  <c r="G8" i="6"/>
  <c r="E15" i="10"/>
  <c r="G6" i="6"/>
  <c r="E13" i="10"/>
  <c r="G4" i="6"/>
  <c r="E11" i="10"/>
  <c r="G9" i="6"/>
  <c r="E16" i="10"/>
  <c r="G7" i="6"/>
  <c r="E14" i="10"/>
  <c r="G5" i="6"/>
  <c r="E12" i="10"/>
  <c r="G10" i="6"/>
  <c r="E17" i="10"/>
  <c r="G11" i="1"/>
  <c r="E37" i="6"/>
  <c r="E18" i="10" l="1"/>
  <c r="F37" i="6"/>
  <c r="G38" i="1"/>
  <c r="D40" i="1" s="1"/>
  <c r="G37" i="6"/>
  <c r="D39" i="6" s="1"/>
</calcChain>
</file>

<file path=xl/sharedStrings.xml><?xml version="1.0" encoding="utf-8"?>
<sst xmlns="http://schemas.openxmlformats.org/spreadsheetml/2006/main" count="368" uniqueCount="180">
  <si>
    <t>Percentage</t>
  </si>
  <si>
    <t>Price</t>
  </si>
  <si>
    <t>Total Pricing</t>
  </si>
  <si>
    <t>NFL Team</t>
  </si>
  <si>
    <t>Los Angeles Chargers</t>
  </si>
  <si>
    <t>Los Angeles Rams</t>
  </si>
  <si>
    <t>Miami Dolphins</t>
  </si>
  <si>
    <t>Minnisota Vikings</t>
  </si>
  <si>
    <t>Arizona Cardinals</t>
  </si>
  <si>
    <t>Atlanta Falcons</t>
  </si>
  <si>
    <t>Baltimore Ravens</t>
  </si>
  <si>
    <t>Buffalo Bills</t>
  </si>
  <si>
    <t>Carolina Panthers</t>
  </si>
  <si>
    <t>Chicago Bears</t>
  </si>
  <si>
    <t>Cincinnati Bengals</t>
  </si>
  <si>
    <t>Cleaveland Browns</t>
  </si>
  <si>
    <t>Dallas Cowboys</t>
  </si>
  <si>
    <t>Denver Broncos</t>
  </si>
  <si>
    <t>Detroit Lions</t>
  </si>
  <si>
    <t>Green Bay Packers</t>
  </si>
  <si>
    <t>Houston Texans</t>
  </si>
  <si>
    <t>Indianapolis Colts</t>
  </si>
  <si>
    <t>Jacksonville Jaguars</t>
  </si>
  <si>
    <t>Kansas City Chiefs</t>
  </si>
  <si>
    <t>Las Vegas Raiders</t>
  </si>
  <si>
    <t>New England Patriots</t>
  </si>
  <si>
    <t>New Orleans Saints</t>
  </si>
  <si>
    <t>New York Giants</t>
  </si>
  <si>
    <t>New York Jets</t>
  </si>
  <si>
    <t>Philidelphia Eagles</t>
  </si>
  <si>
    <t>Pittsburgh Steelers</t>
  </si>
  <si>
    <t>San Francisco 49ers</t>
  </si>
  <si>
    <t>Seattle Seahawks</t>
  </si>
  <si>
    <t>Tampa Bay Buccaneers</t>
  </si>
  <si>
    <t>Tennessee Titans</t>
  </si>
  <si>
    <t>Washington Commanders</t>
  </si>
  <si>
    <t>Total Percentage</t>
  </si>
  <si>
    <t>Rounded</t>
  </si>
  <si>
    <t>Difference</t>
  </si>
  <si>
    <t>Sale Total</t>
  </si>
  <si>
    <t>Total Break Price</t>
  </si>
  <si>
    <t>MLB Team</t>
  </si>
  <si>
    <t>Arizona Diamondbacks</t>
  </si>
  <si>
    <t>Atlanta Braves</t>
  </si>
  <si>
    <t>Baltimore Orioles</t>
  </si>
  <si>
    <t>Boston Red Sox</t>
  </si>
  <si>
    <t>Chicago Cubs</t>
  </si>
  <si>
    <t>Chicago White Sox</t>
  </si>
  <si>
    <t>Cincinnati Reds</t>
  </si>
  <si>
    <t>Cleaveland Guardians</t>
  </si>
  <si>
    <t>Colorado Rockies</t>
  </si>
  <si>
    <t>Detroit Tigers</t>
  </si>
  <si>
    <t>Houston Astros</t>
  </si>
  <si>
    <t>Kansas City Royals</t>
  </si>
  <si>
    <t>Miami Marlins</t>
  </si>
  <si>
    <t>Milwaukee Brewers</t>
  </si>
  <si>
    <t>New York Mets</t>
  </si>
  <si>
    <t>New York Yankees</t>
  </si>
  <si>
    <t>Pittsburgh Pirates</t>
  </si>
  <si>
    <t>San Diego Padres</t>
  </si>
  <si>
    <t>Las Vegas Athletics</t>
  </si>
  <si>
    <t>San Francisco Giants</t>
  </si>
  <si>
    <t>Seattle Mariners</t>
  </si>
  <si>
    <t>St. Louis Cardinals</t>
  </si>
  <si>
    <t>Tampa Bay Rays</t>
  </si>
  <si>
    <t>Texas Rangers</t>
  </si>
  <si>
    <t>Toronto Blue Jays</t>
  </si>
  <si>
    <t>Washington Nationals</t>
  </si>
  <si>
    <t>NBA Team</t>
  </si>
  <si>
    <t>Atlanta Hawks</t>
  </si>
  <si>
    <t>Boston Celtics</t>
  </si>
  <si>
    <t>Brooklyn Nets</t>
  </si>
  <si>
    <t>Chicago Bulls</t>
  </si>
  <si>
    <t>Dallas Mavericks</t>
  </si>
  <si>
    <t>Detroit Pistons</t>
  </si>
  <si>
    <t>Houston Rockets</t>
  </si>
  <si>
    <t>Indiana Pacers</t>
  </si>
  <si>
    <t>Los Angeles Clippers</t>
  </si>
  <si>
    <t>Memphis Grizzlies</t>
  </si>
  <si>
    <t>Miami Heat</t>
  </si>
  <si>
    <t>Milwaukee Bucks</t>
  </si>
  <si>
    <t>New Orleans Pelicans</t>
  </si>
  <si>
    <t>New York Knicks</t>
  </si>
  <si>
    <t>Oklahoma City Thunder</t>
  </si>
  <si>
    <t>Orlando Magic</t>
  </si>
  <si>
    <t>Phoenix Suns</t>
  </si>
  <si>
    <t>Portland Trailblazers</t>
  </si>
  <si>
    <t>Sacramento Kings</t>
  </si>
  <si>
    <t>San Antonio Spurs</t>
  </si>
  <si>
    <t>Toronto Raptors</t>
  </si>
  <si>
    <t>Utah Jazz</t>
  </si>
  <si>
    <t>Denver Nuggets</t>
  </si>
  <si>
    <t>NFL Product</t>
  </si>
  <si>
    <t>MLB Product</t>
  </si>
  <si>
    <t>NBA Product</t>
  </si>
  <si>
    <t>Multi Sports</t>
  </si>
  <si>
    <t>-</t>
  </si>
  <si>
    <t>Break Type</t>
  </si>
  <si>
    <t>QTY</t>
  </si>
  <si>
    <t>Price Ea.</t>
  </si>
  <si>
    <t>Total</t>
  </si>
  <si>
    <t xml:space="preserve">Price Ea. </t>
  </si>
  <si>
    <t>Loa Angeles Dodgers</t>
  </si>
  <si>
    <t>Loa Angeles Angels</t>
  </si>
  <si>
    <t>-----------------</t>
  </si>
  <si>
    <t>Minnisota Twins</t>
  </si>
  <si>
    <t>-------------------</t>
  </si>
  <si>
    <t>Philidelphia Phillies</t>
  </si>
  <si>
    <t>Charolette Hornets</t>
  </si>
  <si>
    <t>---------------------</t>
  </si>
  <si>
    <t>Cleaveland Caveliers</t>
  </si>
  <si>
    <t>LA Lakers</t>
  </si>
  <si>
    <t>Minnisota Timberwolves</t>
  </si>
  <si>
    <t>Philidelphia 76ers</t>
  </si>
  <si>
    <t>Golden State Warriors</t>
  </si>
  <si>
    <t>Washington Wizards</t>
  </si>
  <si>
    <t>NHL Product</t>
  </si>
  <si>
    <t>Arizona Cyotes</t>
  </si>
  <si>
    <t>Calgary Flames</t>
  </si>
  <si>
    <t>New Jersy Devils</t>
  </si>
  <si>
    <t>Buffalo Sabres</t>
  </si>
  <si>
    <t>Carolina Hurricanes</t>
  </si>
  <si>
    <t>Chicago Blackhawks</t>
  </si>
  <si>
    <t>Winnipeg Jets</t>
  </si>
  <si>
    <t>Col Blue Jackets</t>
  </si>
  <si>
    <t>Dallas Stars</t>
  </si>
  <si>
    <t>Colorado Avelanche</t>
  </si>
  <si>
    <t>Detroit Red Wings</t>
  </si>
  <si>
    <t>Vancouver Canucks</t>
  </si>
  <si>
    <t>Toronto Maple Leafs</t>
  </si>
  <si>
    <t>Ottowa Senators</t>
  </si>
  <si>
    <t>Edmonton Oilers</t>
  </si>
  <si>
    <t>St Louis Blues</t>
  </si>
  <si>
    <t>Las Vegas Golden Knights</t>
  </si>
  <si>
    <t>LA Kings</t>
  </si>
  <si>
    <t>Anaheim Ducks</t>
  </si>
  <si>
    <t>Florida Panthers</t>
  </si>
  <si>
    <t>Minnisota Wild</t>
  </si>
  <si>
    <t>Boston Bruins</t>
  </si>
  <si>
    <t>Montrial Canadians</t>
  </si>
  <si>
    <t>NY Rangers</t>
  </si>
  <si>
    <t>NY Islanders</t>
  </si>
  <si>
    <t>Philidelpha Flyers</t>
  </si>
  <si>
    <t>Pitspurgh Penguins</t>
  </si>
  <si>
    <t>San Jose Sharks</t>
  </si>
  <si>
    <t>Seattle Kraken</t>
  </si>
  <si>
    <t>Tampa Bay Lightning</t>
  </si>
  <si>
    <t>Nashville Predators</t>
  </si>
  <si>
    <t>Washington Capitols</t>
  </si>
  <si>
    <t>Discount Amount</t>
  </si>
  <si>
    <t>Date</t>
  </si>
  <si>
    <t>Break Number</t>
  </si>
  <si>
    <t>Teams</t>
  </si>
  <si>
    <t>Customer Name</t>
  </si>
  <si>
    <t>Amount</t>
  </si>
  <si>
    <t>Paid</t>
  </si>
  <si>
    <t>Sports Card Break Report</t>
  </si>
  <si>
    <t>NFL</t>
  </si>
  <si>
    <t>MLB</t>
  </si>
  <si>
    <t>NBA</t>
  </si>
  <si>
    <t>Multi-Sport</t>
  </si>
  <si>
    <t>Yes</t>
  </si>
  <si>
    <t>No</t>
  </si>
  <si>
    <t>000001</t>
  </si>
  <si>
    <t>Example</t>
  </si>
  <si>
    <t>example</t>
  </si>
  <si>
    <t>Shipping and Handling</t>
  </si>
  <si>
    <t>Approved Profit margin</t>
  </si>
  <si>
    <t>Percentages should be adjusted as necessary based on team popularity</t>
  </si>
  <si>
    <t>Top 2</t>
  </si>
  <si>
    <t>10% each</t>
  </si>
  <si>
    <t>3–5</t>
  </si>
  <si>
    <t>7% each</t>
  </si>
  <si>
    <t>6–8</t>
  </si>
  <si>
    <t>5% each</t>
  </si>
  <si>
    <t>9–10</t>
  </si>
  <si>
    <t>4% each</t>
  </si>
  <si>
    <t>1% each</t>
  </si>
  <si>
    <t>Team Rank</t>
  </si>
  <si>
    <t>Last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</si>
</sst>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00"/>
    <numFmt numFmtId="165" formatCode="[$-F800]dddd\,\ mmmm\ dd\,\ yyyy"/>
  </numFmts>
  <fonts count="8" x14ac:knownFonts="1">
    <font>
      <sz val="11"/>
      <color theme="1"/>
      <name val="Calibri"/>
      <family val="2"/>
      <scheme val="minor"/>
    </font>
    <font>
      <b/>
      <sz val="11"/>
      <color theme="1"/>
      <name val="Calibri"/>
      <family val="2"/>
      <scheme val="minor"/>
    </font>
    <font>
      <sz val="11"/>
      <color rgb="FF006100"/>
      <name val="Calibri"/>
      <family val="2"/>
      <scheme val="minor"/>
    </font>
    <font>
      <sz val="11"/>
      <color rgb="FF9C5700"/>
      <name val="Calibri"/>
      <family val="2"/>
      <scheme val="minor"/>
    </font>
    <font>
      <b/>
      <shadow/>
      <sz val="16"/>
      <color rgb="FFF2F2F2"/>
      <name val="Calibri"/>
      <family val="2"/>
      <scheme val="minor"/>
    </font>
    <font>
      <b/>
      <sz val="11"/>
      <color rgb="FF9C5700"/>
      <name val="Calibri"/>
      <family val="2"/>
      <scheme val="minor"/>
    </font>
    <font>
      <sz val="26"/>
      <color theme="1"/>
      <name val="Calibri"/>
      <family val="2"/>
      <scheme val="minor"/>
    </font>
    <font>
      <b/>
      <sz val="16"/>
      <color theme="1"/>
      <name val="Calibri"/>
      <family val="2"/>
      <scheme val="minor"/>
    </font>
  </fonts>
  <fills count="6">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EB9C"/>
      </patternFill>
    </fill>
    <fill>
      <patternFill patternType="solid">
        <fgColor rgb="FFFF0000"/>
        <bgColor indexed="64"/>
      </patternFill>
    </fill>
  </fills>
  <borders count="2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s>
  <cellStyleXfs count="3">
    <xf numFmtId="0" fontId="0" fillId="0" borderId="0"/>
    <xf numFmtId="0" fontId="2" fillId="3" borderId="0" applyNumberFormat="0" applyBorder="0" applyAlignment="0" applyProtection="0"/>
    <xf numFmtId="0" fontId="3" fillId="4" borderId="0" applyNumberFormat="0" applyBorder="0" applyAlignment="0" applyProtection="0"/>
  </cellStyleXfs>
  <cellXfs count="180">
    <xf numFmtId="0" fontId="0" fillId="0" borderId="0" xfId="0"/>
    <xf numFmtId="0" fontId="0" fillId="0" borderId="0" xfId="0" applyAlignment="1">
      <alignment horizontal="center"/>
    </xf>
    <xf numFmtId="0" fontId="1" fillId="0" borderId="1" xfId="0" applyFont="1" applyBorder="1"/>
    <xf numFmtId="0" fontId="1" fillId="0" borderId="1" xfId="0" applyFont="1" applyBorder="1" applyAlignment="1">
      <alignment horizontal="center"/>
    </xf>
    <xf numFmtId="0" fontId="0" fillId="0" borderId="0" xfId="0" applyBorder="1"/>
    <xf numFmtId="0" fontId="1" fillId="0" borderId="2" xfId="0" applyFont="1" applyBorder="1" applyAlignment="1">
      <alignment horizontal="center"/>
    </xf>
    <xf numFmtId="0" fontId="0" fillId="2" borderId="3" xfId="0" applyFill="1" applyBorder="1"/>
    <xf numFmtId="0" fontId="0" fillId="2" borderId="0" xfId="0" applyFill="1" applyBorder="1"/>
    <xf numFmtId="0" fontId="1" fillId="2" borderId="2" xfId="0" applyFont="1" applyFill="1" applyBorder="1"/>
    <xf numFmtId="0" fontId="0" fillId="0" borderId="19" xfId="0" applyBorder="1"/>
    <xf numFmtId="0" fontId="1" fillId="2" borderId="19" xfId="0" applyFont="1" applyFill="1" applyBorder="1"/>
    <xf numFmtId="0" fontId="0" fillId="2" borderId="4" xfId="0" applyFill="1" applyBorder="1"/>
    <xf numFmtId="0" fontId="0" fillId="2" borderId="20" xfId="0" applyFill="1" applyBorder="1"/>
    <xf numFmtId="0" fontId="1" fillId="0" borderId="6" xfId="0" applyFont="1" applyBorder="1" applyAlignment="1">
      <alignment horizontal="center"/>
    </xf>
    <xf numFmtId="0" fontId="1" fillId="2" borderId="9" xfId="0" applyFont="1" applyFill="1" applyBorder="1"/>
    <xf numFmtId="0" fontId="0" fillId="2" borderId="21" xfId="0" applyFill="1" applyBorder="1"/>
    <xf numFmtId="0" fontId="0" fillId="2" borderId="10" xfId="0" applyFill="1" applyBorder="1"/>
    <xf numFmtId="0" fontId="1" fillId="2" borderId="10" xfId="0" applyFont="1" applyFill="1" applyBorder="1"/>
    <xf numFmtId="0" fontId="4" fillId="0" borderId="0" xfId="0" applyFont="1" applyAlignment="1">
      <alignment horizontal="center" vertical="center" readingOrder="1"/>
    </xf>
    <xf numFmtId="0" fontId="2" fillId="3" borderId="15" xfId="1" applyBorder="1"/>
    <xf numFmtId="0" fontId="2" fillId="3" borderId="16" xfId="1" applyBorder="1"/>
    <xf numFmtId="0" fontId="2" fillId="3" borderId="18" xfId="1" applyBorder="1"/>
    <xf numFmtId="0" fontId="3" fillId="4" borderId="5" xfId="2" applyBorder="1"/>
    <xf numFmtId="0" fontId="1" fillId="2" borderId="3" xfId="0" applyFont="1" applyFill="1" applyBorder="1"/>
    <xf numFmtId="0" fontId="1" fillId="2" borderId="19" xfId="0" applyFont="1" applyFill="1" applyBorder="1" applyAlignment="1">
      <alignment horizontal="center"/>
    </xf>
    <xf numFmtId="0" fontId="0" fillId="2" borderId="0" xfId="0" applyFill="1" applyBorder="1" applyAlignment="1">
      <alignment horizontal="center"/>
    </xf>
    <xf numFmtId="0" fontId="0" fillId="2" borderId="20" xfId="0" applyFill="1" applyBorder="1" applyAlignment="1">
      <alignment horizontal="center"/>
    </xf>
    <xf numFmtId="0" fontId="0" fillId="0" borderId="19" xfId="0" applyBorder="1" applyAlignment="1">
      <alignment horizontal="center"/>
    </xf>
    <xf numFmtId="0" fontId="1" fillId="2" borderId="0" xfId="0" applyFont="1" applyFill="1" applyBorder="1" applyAlignment="1">
      <alignment horizontal="center"/>
    </xf>
    <xf numFmtId="0" fontId="1" fillId="2" borderId="9" xfId="0" applyFont="1" applyFill="1" applyBorder="1" applyAlignment="1">
      <alignment horizontal="center"/>
    </xf>
    <xf numFmtId="0" fontId="0" fillId="2" borderId="21" xfId="0" applyFill="1" applyBorder="1" applyAlignment="1">
      <alignment horizontal="center"/>
    </xf>
    <xf numFmtId="0" fontId="1" fillId="2" borderId="10" xfId="0" applyFont="1" applyFill="1" applyBorder="1" applyAlignment="1">
      <alignment horizontal="center"/>
    </xf>
    <xf numFmtId="0" fontId="2" fillId="3" borderId="7" xfId="1" applyBorder="1"/>
    <xf numFmtId="164" fontId="2" fillId="3" borderId="7" xfId="1" applyNumberFormat="1" applyBorder="1" applyAlignment="1">
      <alignment horizontal="center"/>
    </xf>
    <xf numFmtId="164" fontId="2" fillId="3" borderId="8" xfId="1" applyNumberFormat="1" applyBorder="1" applyAlignment="1">
      <alignment horizontal="center"/>
    </xf>
    <xf numFmtId="10" fontId="3" fillId="4" borderId="22" xfId="2" applyNumberFormat="1" applyBorder="1" applyAlignment="1">
      <alignment horizontal="center"/>
    </xf>
    <xf numFmtId="164" fontId="3" fillId="4" borderId="22" xfId="2" applyNumberFormat="1" applyBorder="1" applyAlignment="1">
      <alignment horizontal="center"/>
    </xf>
    <xf numFmtId="164" fontId="3" fillId="4" borderId="23" xfId="2" applyNumberFormat="1" applyBorder="1"/>
    <xf numFmtId="0" fontId="2" fillId="3" borderId="2" xfId="1" applyBorder="1"/>
    <xf numFmtId="0" fontId="2" fillId="3" borderId="9" xfId="1" applyBorder="1" applyAlignment="1">
      <alignment horizontal="center"/>
    </xf>
    <xf numFmtId="0" fontId="2" fillId="3" borderId="3" xfId="1" applyBorder="1"/>
    <xf numFmtId="0" fontId="2" fillId="3" borderId="10" xfId="1" applyBorder="1" applyAlignment="1">
      <alignment horizontal="center"/>
    </xf>
    <xf numFmtId="0" fontId="2" fillId="3" borderId="3" xfId="1" quotePrefix="1" applyBorder="1"/>
    <xf numFmtId="0" fontId="2" fillId="3" borderId="4" xfId="1" applyBorder="1"/>
    <xf numFmtId="0" fontId="2" fillId="3" borderId="21" xfId="1" applyBorder="1" applyAlignment="1">
      <alignment horizontal="center"/>
    </xf>
    <xf numFmtId="0" fontId="1" fillId="0" borderId="6" xfId="0" applyFont="1" applyBorder="1"/>
    <xf numFmtId="10" fontId="2" fillId="3" borderId="19" xfId="1" applyNumberFormat="1" applyBorder="1" applyAlignment="1">
      <alignment horizontal="center"/>
    </xf>
    <xf numFmtId="164" fontId="2" fillId="3" borderId="19" xfId="1" applyNumberFormat="1" applyBorder="1" applyAlignment="1">
      <alignment horizontal="center"/>
    </xf>
    <xf numFmtId="164" fontId="2" fillId="3" borderId="19" xfId="1" applyNumberFormat="1" applyBorder="1"/>
    <xf numFmtId="164" fontId="2" fillId="3" borderId="9" xfId="1" applyNumberFormat="1" applyBorder="1"/>
    <xf numFmtId="10" fontId="2" fillId="3" borderId="0" xfId="1" applyNumberFormat="1" applyBorder="1" applyAlignment="1">
      <alignment horizontal="center"/>
    </xf>
    <xf numFmtId="164" fontId="2" fillId="3" borderId="0" xfId="1" applyNumberFormat="1" applyBorder="1" applyAlignment="1">
      <alignment horizontal="center"/>
    </xf>
    <xf numFmtId="164" fontId="2" fillId="3" borderId="0" xfId="1" applyNumberFormat="1" applyBorder="1"/>
    <xf numFmtId="164" fontId="2" fillId="3" borderId="10" xfId="1" applyNumberFormat="1" applyBorder="1"/>
    <xf numFmtId="10" fontId="2" fillId="3" borderId="20" xfId="1" applyNumberFormat="1" applyBorder="1" applyAlignment="1">
      <alignment horizontal="center"/>
    </xf>
    <xf numFmtId="164" fontId="2" fillId="3" borderId="20" xfId="1" applyNumberFormat="1" applyBorder="1" applyAlignment="1">
      <alignment horizontal="center"/>
    </xf>
    <xf numFmtId="164" fontId="2" fillId="3" borderId="20" xfId="1" applyNumberFormat="1" applyBorder="1"/>
    <xf numFmtId="164" fontId="2" fillId="3" borderId="21" xfId="1" applyNumberFormat="1" applyBorder="1"/>
    <xf numFmtId="2" fontId="2" fillId="3" borderId="15" xfId="1" applyNumberFormat="1" applyBorder="1" applyAlignment="1">
      <alignment horizontal="center"/>
    </xf>
    <xf numFmtId="164" fontId="2" fillId="3" borderId="15" xfId="1" applyNumberFormat="1" applyBorder="1" applyAlignment="1">
      <alignment horizontal="center"/>
    </xf>
    <xf numFmtId="164" fontId="2" fillId="3" borderId="11" xfId="1" applyNumberFormat="1" applyBorder="1" applyAlignment="1">
      <alignment horizontal="center"/>
    </xf>
    <xf numFmtId="2" fontId="2" fillId="3" borderId="16" xfId="1" applyNumberFormat="1" applyBorder="1" applyAlignment="1">
      <alignment horizontal="center"/>
    </xf>
    <xf numFmtId="164" fontId="2" fillId="3" borderId="16" xfId="1" applyNumberFormat="1" applyBorder="1" applyAlignment="1">
      <alignment horizontal="center"/>
    </xf>
    <xf numFmtId="164" fontId="2" fillId="3" borderId="12" xfId="1" applyNumberFormat="1" applyBorder="1" applyAlignment="1">
      <alignment horizontal="center"/>
    </xf>
    <xf numFmtId="2" fontId="2" fillId="3" borderId="18" xfId="1" applyNumberFormat="1" applyBorder="1" applyAlignment="1">
      <alignment horizontal="center"/>
    </xf>
    <xf numFmtId="164" fontId="2" fillId="3" borderId="18" xfId="1" applyNumberFormat="1" applyBorder="1" applyAlignment="1">
      <alignment horizontal="center"/>
    </xf>
    <xf numFmtId="164" fontId="2" fillId="3" borderId="13" xfId="1" applyNumberFormat="1" applyBorder="1" applyAlignment="1">
      <alignment horizontal="center"/>
    </xf>
    <xf numFmtId="2" fontId="2" fillId="3" borderId="15" xfId="1" applyNumberFormat="1" applyBorder="1"/>
    <xf numFmtId="164" fontId="2" fillId="3" borderId="15" xfId="1" applyNumberFormat="1" applyBorder="1"/>
    <xf numFmtId="164" fontId="2" fillId="3" borderId="14" xfId="1" applyNumberFormat="1" applyBorder="1"/>
    <xf numFmtId="2" fontId="2" fillId="3" borderId="16" xfId="1" applyNumberFormat="1" applyBorder="1"/>
    <xf numFmtId="164" fontId="2" fillId="3" borderId="16" xfId="1" applyNumberFormat="1" applyBorder="1"/>
    <xf numFmtId="2" fontId="2" fillId="3" borderId="18" xfId="1" applyNumberFormat="1" applyBorder="1"/>
    <xf numFmtId="164" fontId="2" fillId="3" borderId="17" xfId="1" applyNumberFormat="1" applyBorder="1"/>
    <xf numFmtId="164" fontId="2" fillId="3" borderId="11" xfId="1" applyNumberFormat="1" applyBorder="1"/>
    <xf numFmtId="164" fontId="2" fillId="3" borderId="12" xfId="1" applyNumberFormat="1" applyBorder="1"/>
    <xf numFmtId="164" fontId="2" fillId="3" borderId="13" xfId="1" applyNumberFormat="1" applyBorder="1"/>
    <xf numFmtId="0" fontId="2" fillId="3" borderId="8" xfId="1" applyBorder="1"/>
    <xf numFmtId="164" fontId="1" fillId="0" borderId="1" xfId="0" applyNumberFormat="1" applyFont="1" applyBorder="1" applyAlignment="1">
      <alignment horizontal="center"/>
    </xf>
    <xf numFmtId="164" fontId="1" fillId="2" borderId="1" xfId="0" applyNumberFormat="1" applyFont="1" applyFill="1" applyBorder="1" applyAlignment="1">
      <alignment horizontal="center"/>
    </xf>
    <xf numFmtId="0" fontId="2" fillId="0" borderId="2" xfId="1" applyFill="1" applyBorder="1"/>
    <xf numFmtId="0" fontId="2" fillId="0" borderId="3" xfId="1" applyFill="1" applyBorder="1"/>
    <xf numFmtId="0" fontId="2" fillId="0" borderId="4" xfId="1" applyFill="1" applyBorder="1"/>
    <xf numFmtId="0" fontId="0" fillId="0" borderId="11" xfId="0" applyBorder="1"/>
    <xf numFmtId="164" fontId="1" fillId="0" borderId="8" xfId="0" applyNumberFormat="1" applyFont="1" applyBorder="1" applyAlignment="1">
      <alignment horizontal="center"/>
    </xf>
    <xf numFmtId="164" fontId="0" fillId="0" borderId="15" xfId="0" applyNumberFormat="1" applyBorder="1" applyAlignment="1">
      <alignment horizontal="center"/>
    </xf>
    <xf numFmtId="164" fontId="0" fillId="0" borderId="16" xfId="0" applyNumberFormat="1" applyBorder="1" applyAlignment="1">
      <alignment horizontal="center"/>
    </xf>
    <xf numFmtId="164" fontId="0" fillId="0" borderId="17" xfId="0" applyNumberFormat="1" applyBorder="1" applyAlignment="1">
      <alignment horizontal="center"/>
    </xf>
    <xf numFmtId="165" fontId="0" fillId="0" borderId="1" xfId="0" applyNumberFormat="1" applyBorder="1" applyAlignment="1" applyProtection="1">
      <alignment horizontal="left"/>
      <protection hidden="1"/>
    </xf>
    <xf numFmtId="0" fontId="0" fillId="0" borderId="1" xfId="0" applyBorder="1" applyAlignment="1" applyProtection="1">
      <protection hidden="1"/>
    </xf>
    <xf numFmtId="0" fontId="0" fillId="0" borderId="11" xfId="0" applyBorder="1" applyProtection="1">
      <protection hidden="1"/>
    </xf>
    <xf numFmtId="0" fontId="2" fillId="0" borderId="12" xfId="1" applyFill="1" applyBorder="1" applyProtection="1">
      <protection hidden="1"/>
    </xf>
    <xf numFmtId="0" fontId="2" fillId="0" borderId="13" xfId="1" applyFill="1" applyBorder="1" applyProtection="1">
      <protection hidden="1"/>
    </xf>
    <xf numFmtId="0" fontId="0" fillId="0" borderId="24" xfId="0" applyBorder="1" applyProtection="1">
      <protection locked="0"/>
    </xf>
    <xf numFmtId="0" fontId="0" fillId="0" borderId="24" xfId="0" applyBorder="1" applyAlignment="1" applyProtection="1">
      <alignment vertical="center"/>
      <protection locked="0"/>
    </xf>
    <xf numFmtId="0" fontId="0" fillId="0" borderId="25" xfId="0" applyBorder="1" applyProtection="1">
      <protection locked="0"/>
    </xf>
    <xf numFmtId="164" fontId="0" fillId="2" borderId="20" xfId="0" applyNumberFormat="1" applyFill="1" applyBorder="1" applyAlignment="1">
      <alignment horizontal="center"/>
    </xf>
    <xf numFmtId="0" fontId="1" fillId="2" borderId="4" xfId="0" applyFont="1" applyFill="1" applyBorder="1"/>
    <xf numFmtId="0" fontId="0" fillId="2" borderId="1" xfId="0" applyFill="1" applyBorder="1" applyAlignment="1">
      <alignment horizontal="center"/>
    </xf>
    <xf numFmtId="164" fontId="0" fillId="2" borderId="1" xfId="0" applyNumberFormat="1" applyFill="1" applyBorder="1" applyAlignment="1">
      <alignment horizontal="center"/>
    </xf>
    <xf numFmtId="10" fontId="2" fillId="5" borderId="7" xfId="1" applyNumberFormat="1" applyFill="1" applyBorder="1" applyAlignment="1">
      <alignment horizontal="center"/>
    </xf>
    <xf numFmtId="10" fontId="2" fillId="5" borderId="8" xfId="1" applyNumberFormat="1" applyFill="1" applyBorder="1" applyAlignment="1">
      <alignment horizontal="center"/>
    </xf>
    <xf numFmtId="0" fontId="0" fillId="2" borderId="2" xfId="0" applyFill="1" applyBorder="1"/>
    <xf numFmtId="0" fontId="0" fillId="2" borderId="19" xfId="0" applyFill="1" applyBorder="1"/>
    <xf numFmtId="0" fontId="0" fillId="2" borderId="19" xfId="0" applyFill="1" applyBorder="1" applyAlignment="1">
      <alignment horizontal="center"/>
    </xf>
    <xf numFmtId="0" fontId="0" fillId="2" borderId="9" xfId="0" applyFill="1" applyBorder="1"/>
    <xf numFmtId="164" fontId="0" fillId="2" borderId="0" xfId="0" applyNumberFormat="1" applyFill="1" applyBorder="1" applyAlignment="1">
      <alignment horizontal="center"/>
    </xf>
    <xf numFmtId="0" fontId="0" fillId="0" borderId="4" xfId="0" applyBorder="1"/>
    <xf numFmtId="0" fontId="2" fillId="2" borderId="0" xfId="1" applyFill="1" applyBorder="1"/>
    <xf numFmtId="0" fontId="0" fillId="0" borderId="1" xfId="0" applyBorder="1"/>
    <xf numFmtId="0" fontId="0" fillId="2" borderId="2" xfId="0" applyFill="1" applyBorder="1" applyAlignment="1">
      <alignment horizontal="left"/>
    </xf>
    <xf numFmtId="0" fontId="0" fillId="2" borderId="19" xfId="0" applyFill="1" applyBorder="1" applyAlignment="1">
      <alignment horizontal="left"/>
    </xf>
    <xf numFmtId="0" fontId="0" fillId="2" borderId="9" xfId="0" applyFill="1" applyBorder="1" applyAlignment="1">
      <alignment horizontal="left"/>
    </xf>
    <xf numFmtId="0" fontId="0" fillId="2" borderId="3" xfId="0" applyFill="1" applyBorder="1" applyAlignment="1">
      <alignment horizontal="left"/>
    </xf>
    <xf numFmtId="0" fontId="0" fillId="2" borderId="0" xfId="0" applyFill="1" applyBorder="1" applyAlignment="1">
      <alignment horizontal="left"/>
    </xf>
    <xf numFmtId="0" fontId="0" fillId="2" borderId="10" xfId="0" applyFill="1" applyBorder="1" applyAlignment="1">
      <alignment horizontal="left"/>
    </xf>
    <xf numFmtId="0" fontId="0" fillId="2" borderId="4" xfId="0" applyFill="1" applyBorder="1" applyAlignment="1">
      <alignment horizontal="left"/>
    </xf>
    <xf numFmtId="0" fontId="0" fillId="2" borderId="20" xfId="0" applyFill="1" applyBorder="1" applyAlignment="1">
      <alignment horizontal="left"/>
    </xf>
    <xf numFmtId="0" fontId="0" fillId="2" borderId="21" xfId="0" applyFill="1" applyBorder="1" applyAlignment="1">
      <alignment horizontal="left"/>
    </xf>
    <xf numFmtId="0" fontId="0" fillId="0" borderId="0" xfId="0" applyBorder="1" applyAlignment="1">
      <alignment horizontal="center"/>
    </xf>
    <xf numFmtId="164" fontId="3" fillId="4" borderId="22" xfId="2" applyNumberFormat="1" applyBorder="1"/>
    <xf numFmtId="0" fontId="0" fillId="0" borderId="0" xfId="0" applyAlignment="1">
      <alignment horizontal="center" vertical="center" wrapText="1"/>
    </xf>
    <xf numFmtId="0" fontId="1" fillId="0" borderId="0" xfId="0" applyFont="1" applyAlignment="1">
      <alignment horizontal="center" vertical="center" wrapText="1"/>
    </xf>
    <xf numFmtId="0" fontId="0" fillId="2" borderId="2" xfId="0" applyFill="1" applyBorder="1" applyAlignment="1">
      <alignment horizontal="center" vertical="center" wrapText="1"/>
    </xf>
    <xf numFmtId="9" fontId="0" fillId="2" borderId="9" xfId="0" applyNumberForma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0" fillId="2" borderId="3" xfId="0" applyFill="1" applyBorder="1" applyAlignment="1">
      <alignment horizontal="center" vertical="center" wrapText="1"/>
    </xf>
    <xf numFmtId="0" fontId="0" fillId="2" borderId="10" xfId="0" applyFill="1" applyBorder="1" applyAlignment="1">
      <alignment horizontal="center" vertical="center" wrapText="1"/>
    </xf>
    <xf numFmtId="9" fontId="0" fillId="2" borderId="10" xfId="0" applyNumberFormat="1" applyFill="1" applyBorder="1" applyAlignment="1">
      <alignment horizontal="center" vertical="center" wrapText="1"/>
    </xf>
    <xf numFmtId="0" fontId="0" fillId="2" borderId="4" xfId="0" applyFill="1" applyBorder="1" applyAlignment="1">
      <alignment horizontal="center" vertical="center" wrapText="1"/>
    </xf>
    <xf numFmtId="0" fontId="0" fillId="2" borderId="21" xfId="0" applyFill="1" applyBorder="1" applyAlignment="1">
      <alignment horizontal="center" vertical="center" wrapText="1"/>
    </xf>
    <xf numFmtId="0" fontId="7" fillId="2" borderId="0" xfId="0" applyFont="1" applyFill="1" applyBorder="1"/>
    <xf numFmtId="164" fontId="7" fillId="2" borderId="0" xfId="0" applyNumberFormat="1" applyFont="1" applyFill="1" applyBorder="1" applyAlignment="1">
      <alignment horizontal="center"/>
    </xf>
    <xf numFmtId="0" fontId="1" fillId="2" borderId="3"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2" fillId="3" borderId="1" xfId="1" applyBorder="1" applyAlignment="1" applyProtection="1">
      <alignment horizontal="center"/>
      <protection hidden="1"/>
    </xf>
    <xf numFmtId="0" fontId="2" fillId="3" borderId="6" xfId="1" applyBorder="1" applyAlignment="1" applyProtection="1">
      <alignment horizontal="center"/>
      <protection hidden="1"/>
    </xf>
    <xf numFmtId="0" fontId="2" fillId="3" borderId="1" xfId="1" applyBorder="1" applyAlignment="1">
      <alignment horizontal="center"/>
    </xf>
    <xf numFmtId="164" fontId="2" fillId="3" borderId="6" xfId="1" applyNumberFormat="1" applyBorder="1" applyAlignment="1">
      <alignment horizontal="center"/>
    </xf>
    <xf numFmtId="0" fontId="2" fillId="3" borderId="6" xfId="1" applyBorder="1" applyAlignment="1">
      <alignment horizontal="center"/>
    </xf>
    <xf numFmtId="164" fontId="5" fillId="4" borderId="8" xfId="2" applyNumberFormat="1" applyFont="1" applyBorder="1" applyAlignment="1">
      <alignment horizontal="center"/>
    </xf>
    <xf numFmtId="164" fontId="5" fillId="4" borderId="1" xfId="2" applyNumberFormat="1" applyFont="1" applyBorder="1"/>
    <xf numFmtId="164" fontId="5" fillId="4" borderId="1" xfId="2" applyNumberFormat="1" applyFont="1" applyBorder="1" applyAlignment="1">
      <alignment horizontal="center"/>
    </xf>
    <xf numFmtId="164" fontId="3" fillId="4" borderId="23" xfId="2" applyNumberFormat="1" applyBorder="1" applyAlignment="1">
      <alignment horizontal="center"/>
    </xf>
    <xf numFmtId="0" fontId="0" fillId="0" borderId="3" xfId="0" applyBorder="1" applyAlignment="1">
      <alignment horizontal="center"/>
    </xf>
    <xf numFmtId="0" fontId="0" fillId="0" borderId="0" xfId="0" applyBorder="1" applyAlignment="1">
      <alignment horizontal="center"/>
    </xf>
    <xf numFmtId="0" fontId="0" fillId="0" borderId="10" xfId="0" applyBorder="1" applyAlignment="1">
      <alignment horizontal="center"/>
    </xf>
    <xf numFmtId="0" fontId="0" fillId="0" borderId="4"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1" fillId="2" borderId="5" xfId="0" applyFont="1" applyFill="1" applyBorder="1" applyAlignment="1">
      <alignment horizontal="center"/>
    </xf>
    <xf numFmtId="0" fontId="1" fillId="2" borderId="22" xfId="0" applyFont="1" applyFill="1" applyBorder="1" applyAlignment="1">
      <alignment horizontal="center"/>
    </xf>
    <xf numFmtId="0" fontId="1" fillId="2" borderId="23" xfId="0" applyFont="1" applyFill="1" applyBorder="1" applyAlignment="1">
      <alignment horizontal="center"/>
    </xf>
    <xf numFmtId="0" fontId="0" fillId="0" borderId="9" xfId="0" applyBorder="1" applyAlignment="1">
      <alignment horizontal="center"/>
    </xf>
    <xf numFmtId="0" fontId="0" fillId="0" borderId="2" xfId="0" applyBorder="1" applyAlignment="1">
      <alignment horizontal="center"/>
    </xf>
    <xf numFmtId="0" fontId="0" fillId="0" borderId="19" xfId="0" applyBorder="1" applyAlignment="1">
      <alignment horizontal="center"/>
    </xf>
    <xf numFmtId="0" fontId="0" fillId="0" borderId="22" xfId="0" applyBorder="1" applyAlignment="1">
      <alignment horizontal="center"/>
    </xf>
    <xf numFmtId="0" fontId="5" fillId="4" borderId="5" xfId="2" applyFont="1" applyBorder="1" applyAlignment="1">
      <alignment horizontal="center"/>
    </xf>
    <xf numFmtId="0" fontId="5" fillId="4" borderId="22" xfId="2" applyFont="1" applyBorder="1" applyAlignment="1">
      <alignment horizontal="center"/>
    </xf>
    <xf numFmtId="0" fontId="5" fillId="4" borderId="23" xfId="2" applyFont="1" applyBorder="1" applyAlignment="1">
      <alignment horizontal="center"/>
    </xf>
    <xf numFmtId="164" fontId="1" fillId="0" borderId="7" xfId="0" applyNumberFormat="1" applyFont="1" applyBorder="1" applyAlignment="1">
      <alignment horizontal="center"/>
    </xf>
    <xf numFmtId="164" fontId="1" fillId="0" borderId="8" xfId="0" applyNumberFormat="1" applyFont="1" applyBorder="1" applyAlignment="1">
      <alignment horizontal="center"/>
    </xf>
    <xf numFmtId="164" fontId="1" fillId="0" borderId="6" xfId="0" applyNumberFormat="1" applyFont="1" applyBorder="1" applyAlignment="1">
      <alignment horizontal="center"/>
    </xf>
    <xf numFmtId="0" fontId="0" fillId="2" borderId="2" xfId="0" applyFill="1" applyBorder="1" applyAlignment="1">
      <alignment horizontal="left"/>
    </xf>
    <xf numFmtId="0" fontId="0" fillId="2" borderId="19" xfId="0" applyFill="1" applyBorder="1" applyAlignment="1">
      <alignment horizontal="left"/>
    </xf>
    <xf numFmtId="0" fontId="0" fillId="2" borderId="9" xfId="0" applyFill="1" applyBorder="1" applyAlignment="1">
      <alignment horizontal="left"/>
    </xf>
    <xf numFmtId="0" fontId="0" fillId="2" borderId="3" xfId="0" applyFill="1" applyBorder="1" applyAlignment="1">
      <alignment horizontal="left"/>
    </xf>
    <xf numFmtId="0" fontId="0" fillId="2" borderId="0" xfId="0" applyFill="1" applyBorder="1" applyAlignment="1">
      <alignment horizontal="left"/>
    </xf>
    <xf numFmtId="0" fontId="0" fillId="2" borderId="10" xfId="0" applyFill="1" applyBorder="1" applyAlignment="1">
      <alignment horizontal="left"/>
    </xf>
    <xf numFmtId="0" fontId="0" fillId="2" borderId="4" xfId="0" applyFill="1" applyBorder="1" applyAlignment="1">
      <alignment horizontal="left"/>
    </xf>
    <xf numFmtId="0" fontId="0" fillId="2" borderId="20" xfId="0" applyFill="1" applyBorder="1" applyAlignment="1">
      <alignment horizontal="left"/>
    </xf>
    <xf numFmtId="0" fontId="0" fillId="2" borderId="21" xfId="0" applyFill="1" applyBorder="1" applyAlignment="1">
      <alignment horizontal="left"/>
    </xf>
    <xf numFmtId="0" fontId="7" fillId="2" borderId="3"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6" fillId="2" borderId="0" xfId="0" applyFont="1" applyFill="1" applyBorder="1" applyAlignment="1">
      <alignment horizontal="center" vertical="center"/>
    </xf>
    <xf numFmtId="0" fontId="2" fillId="3" borderId="5" xfId="1" applyBorder="1" applyAlignment="1">
      <alignment horizontal="center"/>
    </xf>
    <xf numFmtId="0" fontId="2" fillId="3" borderId="23" xfId="1" applyBorder="1" applyAlignment="1">
      <alignment horizontal="center"/>
    </xf>
    <xf numFmtId="49" fontId="0" fillId="0" borderId="5" xfId="0" applyNumberFormat="1" applyBorder="1" applyAlignment="1">
      <alignment horizontal="center"/>
    </xf>
    <xf numFmtId="49" fontId="0" fillId="0" borderId="23" xfId="0" applyNumberFormat="1" applyBorder="1" applyAlignment="1">
      <alignment horizontal="center"/>
    </xf>
  </cellXfs>
  <cellStyles count="3">
    <cellStyle name="Good" xfId="1" builtinId="26"/>
    <cellStyle name="Neutral" xfId="2" builtinId="2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25400">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28715111094007E-2"/>
          <c:y val="1.9166361334496739E-2"/>
          <c:w val="0.93186937225996092"/>
          <c:h val="0.79962434699836438"/>
        </c:manualLayout>
      </c:layout>
      <c:bar3DChart>
        <c:barDir val="col"/>
        <c:grouping val="stack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cat>
            <c:strRef>
              <c:f>NFL!$C$5:$C$36</c:f>
              <c:strCache>
                <c:ptCount val="32"/>
                <c:pt idx="0">
                  <c:v>Arizona Cardinals</c:v>
                </c:pt>
                <c:pt idx="1">
                  <c:v>Atlanta Falcons</c:v>
                </c:pt>
                <c:pt idx="2">
                  <c:v>Baltimore Ravens</c:v>
                </c:pt>
                <c:pt idx="3">
                  <c:v>Buffalo Bills</c:v>
                </c:pt>
                <c:pt idx="4">
                  <c:v>Carolina Panthers</c:v>
                </c:pt>
                <c:pt idx="5">
                  <c:v>Chicago Bears</c:v>
                </c:pt>
                <c:pt idx="6">
                  <c:v>Cincinnati Bengals</c:v>
                </c:pt>
                <c:pt idx="7">
                  <c:v>Cleaveland Browns</c:v>
                </c:pt>
                <c:pt idx="8">
                  <c:v>Dallas Cowboys</c:v>
                </c:pt>
                <c:pt idx="9">
                  <c:v>Denver Broncos</c:v>
                </c:pt>
                <c:pt idx="10">
                  <c:v>Detroit Lions</c:v>
                </c:pt>
                <c:pt idx="11">
                  <c:v>Green Bay Packers</c:v>
                </c:pt>
                <c:pt idx="12">
                  <c:v>Houston Texans</c:v>
                </c:pt>
                <c:pt idx="13">
                  <c:v>Indianapolis Colts</c:v>
                </c:pt>
                <c:pt idx="14">
                  <c:v>Jacksonville Jaguars</c:v>
                </c:pt>
                <c:pt idx="15">
                  <c:v>Kansas City Chiefs</c:v>
                </c:pt>
                <c:pt idx="16">
                  <c:v>Las Vegas Raiders</c:v>
                </c:pt>
                <c:pt idx="17">
                  <c:v>Los Angeles Chargers</c:v>
                </c:pt>
                <c:pt idx="18">
                  <c:v>Los Angeles Rams</c:v>
                </c:pt>
                <c:pt idx="19">
                  <c:v>Miami Dolphins</c:v>
                </c:pt>
                <c:pt idx="20">
                  <c:v>Minnisota Vikings</c:v>
                </c:pt>
                <c:pt idx="21">
                  <c:v>New England Patriots</c:v>
                </c:pt>
                <c:pt idx="22">
                  <c:v>New Orleans Saints</c:v>
                </c:pt>
                <c:pt idx="23">
                  <c:v>New York Giants</c:v>
                </c:pt>
                <c:pt idx="24">
                  <c:v>New York Jets</c:v>
                </c:pt>
                <c:pt idx="25">
                  <c:v>Philidelphia Eagles</c:v>
                </c:pt>
                <c:pt idx="26">
                  <c:v>Pittsburgh Steelers</c:v>
                </c:pt>
                <c:pt idx="27">
                  <c:v>San Francisco 49ers</c:v>
                </c:pt>
                <c:pt idx="28">
                  <c:v>Seattle Seahawks</c:v>
                </c:pt>
                <c:pt idx="29">
                  <c:v>Tampa Bay Buccaneers</c:v>
                </c:pt>
                <c:pt idx="30">
                  <c:v>Tennessee Titans</c:v>
                </c:pt>
                <c:pt idx="31">
                  <c:v>Washington Commanders</c:v>
                </c:pt>
              </c:strCache>
            </c:strRef>
          </c:cat>
          <c:val>
            <c:numRef>
              <c:f>NFL!$E$5:$E$36</c:f>
              <c:numCache>
                <c:formatCode>"$"#,##0.00</c:formatCode>
                <c:ptCount val="32"/>
                <c:pt idx="0">
                  <c:v>4.4800000000000004</c:v>
                </c:pt>
                <c:pt idx="1">
                  <c:v>15.680000000000001</c:v>
                </c:pt>
                <c:pt idx="2">
                  <c:v>8.9600000000000009</c:v>
                </c:pt>
                <c:pt idx="3">
                  <c:v>6.72</c:v>
                </c:pt>
                <c:pt idx="4">
                  <c:v>2.2400000000000002</c:v>
                </c:pt>
                <c:pt idx="5">
                  <c:v>11.200000000000001</c:v>
                </c:pt>
                <c:pt idx="6">
                  <c:v>2.2400000000000002</c:v>
                </c:pt>
                <c:pt idx="7">
                  <c:v>2.2400000000000002</c:v>
                </c:pt>
                <c:pt idx="8">
                  <c:v>2.2400000000000002</c:v>
                </c:pt>
                <c:pt idx="9">
                  <c:v>15.680000000000001</c:v>
                </c:pt>
                <c:pt idx="10">
                  <c:v>6.72</c:v>
                </c:pt>
                <c:pt idx="11">
                  <c:v>6.72</c:v>
                </c:pt>
                <c:pt idx="12">
                  <c:v>15.680000000000001</c:v>
                </c:pt>
                <c:pt idx="13">
                  <c:v>6.72</c:v>
                </c:pt>
                <c:pt idx="14">
                  <c:v>2.2400000000000002</c:v>
                </c:pt>
                <c:pt idx="15">
                  <c:v>11.200000000000001</c:v>
                </c:pt>
                <c:pt idx="16">
                  <c:v>2.2400000000000002</c:v>
                </c:pt>
                <c:pt idx="17">
                  <c:v>6.72</c:v>
                </c:pt>
                <c:pt idx="18">
                  <c:v>2.2400000000000002</c:v>
                </c:pt>
                <c:pt idx="19">
                  <c:v>4.4800000000000004</c:v>
                </c:pt>
                <c:pt idx="20">
                  <c:v>22.400000000000002</c:v>
                </c:pt>
                <c:pt idx="21">
                  <c:v>6.72</c:v>
                </c:pt>
                <c:pt idx="22">
                  <c:v>2.2400000000000002</c:v>
                </c:pt>
                <c:pt idx="23">
                  <c:v>2.2400000000000002</c:v>
                </c:pt>
                <c:pt idx="24">
                  <c:v>2.2400000000000002</c:v>
                </c:pt>
                <c:pt idx="25">
                  <c:v>11.200000000000001</c:v>
                </c:pt>
                <c:pt idx="26">
                  <c:v>2.2400000000000002</c:v>
                </c:pt>
                <c:pt idx="27">
                  <c:v>8.9600000000000009</c:v>
                </c:pt>
                <c:pt idx="28">
                  <c:v>2.2400000000000002</c:v>
                </c:pt>
                <c:pt idx="29">
                  <c:v>2.2400000000000002</c:v>
                </c:pt>
                <c:pt idx="30">
                  <c:v>2.2400000000000002</c:v>
                </c:pt>
                <c:pt idx="31">
                  <c:v>22.400000000000002</c:v>
                </c:pt>
              </c:numCache>
            </c:numRef>
          </c:val>
          <c:extLst>
            <c:ext xmlns:c16="http://schemas.microsoft.com/office/drawing/2014/chart" uri="{C3380CC4-5D6E-409C-BE32-E72D297353CC}">
              <c16:uniqueId val="{00000000-C5C3-4C6A-A755-5DEC6E1D9B93}"/>
            </c:ext>
          </c:extLst>
        </c:ser>
        <c:dLbls>
          <c:showLegendKey val="0"/>
          <c:showVal val="0"/>
          <c:showCatName val="0"/>
          <c:showSerName val="0"/>
          <c:showPercent val="0"/>
          <c:showBubbleSize val="0"/>
        </c:dLbls>
        <c:gapWidth val="150"/>
        <c:shape val="box"/>
        <c:axId val="2009875743"/>
        <c:axId val="2009871903"/>
        <c:axId val="0"/>
      </c:bar3DChart>
      <c:catAx>
        <c:axId val="2009875743"/>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2009871903"/>
        <c:crosses val="autoZero"/>
        <c:auto val="1"/>
        <c:lblAlgn val="ctr"/>
        <c:lblOffset val="100"/>
        <c:noMultiLvlLbl val="0"/>
      </c:catAx>
      <c:valAx>
        <c:axId val="2009871903"/>
        <c:scaling>
          <c:orientation val="minMax"/>
        </c:scaling>
        <c:delete val="0"/>
        <c:axPos val="l"/>
        <c:majorGridlines>
          <c:spPr>
            <a:ln w="9525" cap="flat" cmpd="sng" algn="ctr">
              <a:solidFill>
                <a:schemeClr val="dk1">
                  <a:lumMod val="50000"/>
                  <a:lumOff val="50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20098757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9363039146885209E-2"/>
          <c:y val="2.2128285295175309E-2"/>
          <c:w val="0.90576027125199532"/>
          <c:h val="0.8199812499838306"/>
        </c:manualLayout>
      </c:layout>
      <c:bar3DChart>
        <c:barDir val="col"/>
        <c:grouping val="stack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cat>
            <c:strRef>
              <c:f>MLB!$C$5:$C$36</c:f>
              <c:strCache>
                <c:ptCount val="32"/>
                <c:pt idx="0">
                  <c:v>Arizona Diamondbacks</c:v>
                </c:pt>
                <c:pt idx="1">
                  <c:v>Atlanta Braves</c:v>
                </c:pt>
                <c:pt idx="2">
                  <c:v>Baltimore Orioles</c:v>
                </c:pt>
                <c:pt idx="3">
                  <c:v>Toronto Blue Jays</c:v>
                </c:pt>
                <c:pt idx="4">
                  <c:v>-----------------</c:v>
                </c:pt>
                <c:pt idx="5">
                  <c:v>Chicago Cubs</c:v>
                </c:pt>
                <c:pt idx="6">
                  <c:v>Cincinnati Reds</c:v>
                </c:pt>
                <c:pt idx="7">
                  <c:v>Cleaveland Guardians</c:v>
                </c:pt>
                <c:pt idx="8">
                  <c:v>Texas Rangers</c:v>
                </c:pt>
                <c:pt idx="9">
                  <c:v>Colorado Rockies</c:v>
                </c:pt>
                <c:pt idx="10">
                  <c:v>Detroit Tigers</c:v>
                </c:pt>
                <c:pt idx="11">
                  <c:v>Milwaukee Brewers</c:v>
                </c:pt>
                <c:pt idx="12">
                  <c:v>Houston Astros</c:v>
                </c:pt>
                <c:pt idx="13">
                  <c:v>Chicago White Sox</c:v>
                </c:pt>
                <c:pt idx="14">
                  <c:v>San Diego Padres</c:v>
                </c:pt>
                <c:pt idx="15">
                  <c:v>Kansas City Royals</c:v>
                </c:pt>
                <c:pt idx="16">
                  <c:v>Las Vegas Athletics</c:v>
                </c:pt>
                <c:pt idx="17">
                  <c:v>Loa Angeles Dodgers</c:v>
                </c:pt>
                <c:pt idx="18">
                  <c:v>Loa Angeles Angels</c:v>
                </c:pt>
                <c:pt idx="19">
                  <c:v>Miami Marlins</c:v>
                </c:pt>
                <c:pt idx="20">
                  <c:v>Minnisota Twins</c:v>
                </c:pt>
                <c:pt idx="21">
                  <c:v>Boston Red Sox</c:v>
                </c:pt>
                <c:pt idx="22">
                  <c:v>-------------------</c:v>
                </c:pt>
                <c:pt idx="23">
                  <c:v>New York Yankees</c:v>
                </c:pt>
                <c:pt idx="24">
                  <c:v>New York Mets</c:v>
                </c:pt>
                <c:pt idx="25">
                  <c:v>Philidelphia Phillies</c:v>
                </c:pt>
                <c:pt idx="26">
                  <c:v>Pittsburgh Pirates</c:v>
                </c:pt>
                <c:pt idx="27">
                  <c:v>San Francisco Giants</c:v>
                </c:pt>
                <c:pt idx="28">
                  <c:v>Seattle Mariners</c:v>
                </c:pt>
                <c:pt idx="29">
                  <c:v>Tampa Bay Rays</c:v>
                </c:pt>
                <c:pt idx="30">
                  <c:v>St. Louis Cardinals</c:v>
                </c:pt>
                <c:pt idx="31">
                  <c:v>Washington Nationals</c:v>
                </c:pt>
              </c:strCache>
            </c:strRef>
          </c:cat>
          <c:val>
            <c:numRef>
              <c:f>MLB!$F$5:$F$36</c:f>
              <c:numCache>
                <c:formatCode>"$"#,##0.00</c:formatCode>
                <c:ptCount val="32"/>
                <c:pt idx="0">
                  <c:v>7</c:v>
                </c:pt>
                <c:pt idx="1">
                  <c:v>7</c:v>
                </c:pt>
                <c:pt idx="2">
                  <c:v>9</c:v>
                </c:pt>
                <c:pt idx="3">
                  <c:v>9</c:v>
                </c:pt>
                <c:pt idx="4">
                  <c:v>0</c:v>
                </c:pt>
                <c:pt idx="5">
                  <c:v>5</c:v>
                </c:pt>
                <c:pt idx="6">
                  <c:v>3</c:v>
                </c:pt>
                <c:pt idx="7">
                  <c:v>7</c:v>
                </c:pt>
                <c:pt idx="8">
                  <c:v>9</c:v>
                </c:pt>
                <c:pt idx="9">
                  <c:v>3</c:v>
                </c:pt>
                <c:pt idx="10">
                  <c:v>7</c:v>
                </c:pt>
                <c:pt idx="11">
                  <c:v>9</c:v>
                </c:pt>
                <c:pt idx="12">
                  <c:v>14</c:v>
                </c:pt>
                <c:pt idx="13">
                  <c:v>3</c:v>
                </c:pt>
                <c:pt idx="14">
                  <c:v>5</c:v>
                </c:pt>
                <c:pt idx="15">
                  <c:v>0</c:v>
                </c:pt>
                <c:pt idx="16">
                  <c:v>3</c:v>
                </c:pt>
                <c:pt idx="17">
                  <c:v>23</c:v>
                </c:pt>
                <c:pt idx="18">
                  <c:v>5</c:v>
                </c:pt>
                <c:pt idx="19">
                  <c:v>5</c:v>
                </c:pt>
                <c:pt idx="20">
                  <c:v>7</c:v>
                </c:pt>
                <c:pt idx="21">
                  <c:v>14</c:v>
                </c:pt>
                <c:pt idx="22">
                  <c:v>0</c:v>
                </c:pt>
                <c:pt idx="23">
                  <c:v>23</c:v>
                </c:pt>
                <c:pt idx="24">
                  <c:v>7</c:v>
                </c:pt>
                <c:pt idx="25">
                  <c:v>5</c:v>
                </c:pt>
                <c:pt idx="26">
                  <c:v>14</c:v>
                </c:pt>
                <c:pt idx="27">
                  <c:v>7</c:v>
                </c:pt>
                <c:pt idx="28">
                  <c:v>7</c:v>
                </c:pt>
                <c:pt idx="29">
                  <c:v>5</c:v>
                </c:pt>
                <c:pt idx="30">
                  <c:v>5</c:v>
                </c:pt>
                <c:pt idx="31">
                  <c:v>3</c:v>
                </c:pt>
              </c:numCache>
            </c:numRef>
          </c:val>
          <c:extLst>
            <c:ext xmlns:c16="http://schemas.microsoft.com/office/drawing/2014/chart" uri="{C3380CC4-5D6E-409C-BE32-E72D297353CC}">
              <c16:uniqueId val="{00000000-2ED7-41BA-9F91-92F658AB00D3}"/>
            </c:ext>
          </c:extLst>
        </c:ser>
        <c:ser>
          <c:idx val="1"/>
          <c:order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cat>
            <c:strRef>
              <c:f>MLB!$C$5:$C$36</c:f>
              <c:strCache>
                <c:ptCount val="32"/>
                <c:pt idx="0">
                  <c:v>Arizona Diamondbacks</c:v>
                </c:pt>
                <c:pt idx="1">
                  <c:v>Atlanta Braves</c:v>
                </c:pt>
                <c:pt idx="2">
                  <c:v>Baltimore Orioles</c:v>
                </c:pt>
                <c:pt idx="3">
                  <c:v>Toronto Blue Jays</c:v>
                </c:pt>
                <c:pt idx="4">
                  <c:v>-----------------</c:v>
                </c:pt>
                <c:pt idx="5">
                  <c:v>Chicago Cubs</c:v>
                </c:pt>
                <c:pt idx="6">
                  <c:v>Cincinnati Reds</c:v>
                </c:pt>
                <c:pt idx="7">
                  <c:v>Cleaveland Guardians</c:v>
                </c:pt>
                <c:pt idx="8">
                  <c:v>Texas Rangers</c:v>
                </c:pt>
                <c:pt idx="9">
                  <c:v>Colorado Rockies</c:v>
                </c:pt>
                <c:pt idx="10">
                  <c:v>Detroit Tigers</c:v>
                </c:pt>
                <c:pt idx="11">
                  <c:v>Milwaukee Brewers</c:v>
                </c:pt>
                <c:pt idx="12">
                  <c:v>Houston Astros</c:v>
                </c:pt>
                <c:pt idx="13">
                  <c:v>Chicago White Sox</c:v>
                </c:pt>
                <c:pt idx="14">
                  <c:v>San Diego Padres</c:v>
                </c:pt>
                <c:pt idx="15">
                  <c:v>Kansas City Royals</c:v>
                </c:pt>
                <c:pt idx="16">
                  <c:v>Las Vegas Athletics</c:v>
                </c:pt>
                <c:pt idx="17">
                  <c:v>Loa Angeles Dodgers</c:v>
                </c:pt>
                <c:pt idx="18">
                  <c:v>Loa Angeles Angels</c:v>
                </c:pt>
                <c:pt idx="19">
                  <c:v>Miami Marlins</c:v>
                </c:pt>
                <c:pt idx="20">
                  <c:v>Minnisota Twins</c:v>
                </c:pt>
                <c:pt idx="21">
                  <c:v>Boston Red Sox</c:v>
                </c:pt>
                <c:pt idx="22">
                  <c:v>-------------------</c:v>
                </c:pt>
                <c:pt idx="23">
                  <c:v>New York Yankees</c:v>
                </c:pt>
                <c:pt idx="24">
                  <c:v>New York Mets</c:v>
                </c:pt>
                <c:pt idx="25">
                  <c:v>Philidelphia Phillies</c:v>
                </c:pt>
                <c:pt idx="26">
                  <c:v>Pittsburgh Pirates</c:v>
                </c:pt>
                <c:pt idx="27">
                  <c:v>San Francisco Giants</c:v>
                </c:pt>
                <c:pt idx="28">
                  <c:v>Seattle Mariners</c:v>
                </c:pt>
                <c:pt idx="29">
                  <c:v>Tampa Bay Rays</c:v>
                </c:pt>
                <c:pt idx="30">
                  <c:v>St. Louis Cardinals</c:v>
                </c:pt>
                <c:pt idx="31">
                  <c:v>Washington Nationals</c:v>
                </c:pt>
              </c:strCache>
            </c:strRef>
          </c:cat>
          <c:val>
            <c:numRef>
              <c:f>MLB!$H$42</c:f>
              <c:numCache>
                <c:formatCode>General</c:formatCode>
                <c:ptCount val="1"/>
              </c:numCache>
            </c:numRef>
          </c:val>
          <c:extLst>
            <c:ext xmlns:c16="http://schemas.microsoft.com/office/drawing/2014/chart" uri="{C3380CC4-5D6E-409C-BE32-E72D297353CC}">
              <c16:uniqueId val="{00000000-2CF8-4715-AFE0-E16E415B4DF2}"/>
            </c:ext>
          </c:extLst>
        </c:ser>
        <c:ser>
          <c:idx val="2"/>
          <c:order val="2"/>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cat>
            <c:strRef>
              <c:f>MLB!$C$5:$C$36</c:f>
              <c:strCache>
                <c:ptCount val="32"/>
                <c:pt idx="0">
                  <c:v>Arizona Diamondbacks</c:v>
                </c:pt>
                <c:pt idx="1">
                  <c:v>Atlanta Braves</c:v>
                </c:pt>
                <c:pt idx="2">
                  <c:v>Baltimore Orioles</c:v>
                </c:pt>
                <c:pt idx="3">
                  <c:v>Toronto Blue Jays</c:v>
                </c:pt>
                <c:pt idx="4">
                  <c:v>-----------------</c:v>
                </c:pt>
                <c:pt idx="5">
                  <c:v>Chicago Cubs</c:v>
                </c:pt>
                <c:pt idx="6">
                  <c:v>Cincinnati Reds</c:v>
                </c:pt>
                <c:pt idx="7">
                  <c:v>Cleaveland Guardians</c:v>
                </c:pt>
                <c:pt idx="8">
                  <c:v>Texas Rangers</c:v>
                </c:pt>
                <c:pt idx="9">
                  <c:v>Colorado Rockies</c:v>
                </c:pt>
                <c:pt idx="10">
                  <c:v>Detroit Tigers</c:v>
                </c:pt>
                <c:pt idx="11">
                  <c:v>Milwaukee Brewers</c:v>
                </c:pt>
                <c:pt idx="12">
                  <c:v>Houston Astros</c:v>
                </c:pt>
                <c:pt idx="13">
                  <c:v>Chicago White Sox</c:v>
                </c:pt>
                <c:pt idx="14">
                  <c:v>San Diego Padres</c:v>
                </c:pt>
                <c:pt idx="15">
                  <c:v>Kansas City Royals</c:v>
                </c:pt>
                <c:pt idx="16">
                  <c:v>Las Vegas Athletics</c:v>
                </c:pt>
                <c:pt idx="17">
                  <c:v>Loa Angeles Dodgers</c:v>
                </c:pt>
                <c:pt idx="18">
                  <c:v>Loa Angeles Angels</c:v>
                </c:pt>
                <c:pt idx="19">
                  <c:v>Miami Marlins</c:v>
                </c:pt>
                <c:pt idx="20">
                  <c:v>Minnisota Twins</c:v>
                </c:pt>
                <c:pt idx="21">
                  <c:v>Boston Red Sox</c:v>
                </c:pt>
                <c:pt idx="22">
                  <c:v>-------------------</c:v>
                </c:pt>
                <c:pt idx="23">
                  <c:v>New York Yankees</c:v>
                </c:pt>
                <c:pt idx="24">
                  <c:v>New York Mets</c:v>
                </c:pt>
                <c:pt idx="25">
                  <c:v>Philidelphia Phillies</c:v>
                </c:pt>
                <c:pt idx="26">
                  <c:v>Pittsburgh Pirates</c:v>
                </c:pt>
                <c:pt idx="27">
                  <c:v>San Francisco Giants</c:v>
                </c:pt>
                <c:pt idx="28">
                  <c:v>Seattle Mariners</c:v>
                </c:pt>
                <c:pt idx="29">
                  <c:v>Tampa Bay Rays</c:v>
                </c:pt>
                <c:pt idx="30">
                  <c:v>St. Louis Cardinals</c:v>
                </c:pt>
                <c:pt idx="31">
                  <c:v>Washington Nationals</c:v>
                </c:pt>
              </c:strCache>
            </c:strRef>
          </c:cat>
          <c:val>
            <c:numRef>
              <c:f>MLB!$H$42</c:f>
              <c:numCache>
                <c:formatCode>General</c:formatCode>
                <c:ptCount val="1"/>
              </c:numCache>
            </c:numRef>
          </c:val>
          <c:extLst>
            <c:ext xmlns:c16="http://schemas.microsoft.com/office/drawing/2014/chart" uri="{C3380CC4-5D6E-409C-BE32-E72D297353CC}">
              <c16:uniqueId val="{00000001-2CF8-4715-AFE0-E16E415B4DF2}"/>
            </c:ext>
          </c:extLst>
        </c:ser>
        <c:dLbls>
          <c:showLegendKey val="0"/>
          <c:showVal val="0"/>
          <c:showCatName val="0"/>
          <c:showSerName val="0"/>
          <c:showPercent val="0"/>
          <c:showBubbleSize val="0"/>
        </c:dLbls>
        <c:gapWidth val="150"/>
        <c:shape val="box"/>
        <c:axId val="1952672351"/>
        <c:axId val="1952672831"/>
        <c:axId val="0"/>
      </c:bar3DChart>
      <c:catAx>
        <c:axId val="1952672351"/>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952672831"/>
        <c:crosses val="autoZero"/>
        <c:auto val="1"/>
        <c:lblAlgn val="ctr"/>
        <c:lblOffset val="100"/>
        <c:noMultiLvlLbl val="0"/>
      </c:catAx>
      <c:valAx>
        <c:axId val="1952672831"/>
        <c:scaling>
          <c:orientation val="minMax"/>
        </c:scaling>
        <c:delete val="0"/>
        <c:axPos val="l"/>
        <c:majorGridlines>
          <c:spPr>
            <a:ln w="9525" cap="flat" cmpd="sng" algn="ctr">
              <a:solidFill>
                <a:schemeClr val="dk1">
                  <a:lumMod val="50000"/>
                  <a:lumOff val="50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952672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25400">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2871551675456381E-2"/>
          <c:y val="3.007088986399635E-2"/>
          <c:w val="0.93186937225996092"/>
          <c:h val="0.80418401781353854"/>
        </c:manualLayout>
      </c:layout>
      <c:bar3DChart>
        <c:barDir val="col"/>
        <c:grouping val="stack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cat>
            <c:strRef>
              <c:f>NBA!$C$5:$C$36</c:f>
              <c:strCache>
                <c:ptCount val="32"/>
                <c:pt idx="0">
                  <c:v>Phoenix Suns</c:v>
                </c:pt>
                <c:pt idx="1">
                  <c:v>Atlanta Hawks</c:v>
                </c:pt>
                <c:pt idx="2">
                  <c:v>Sacramento Kings</c:v>
                </c:pt>
                <c:pt idx="3">
                  <c:v>Toronto Raptors</c:v>
                </c:pt>
                <c:pt idx="4">
                  <c:v>Charolette Hornets</c:v>
                </c:pt>
                <c:pt idx="5">
                  <c:v>Chicago Bulls</c:v>
                </c:pt>
                <c:pt idx="6">
                  <c:v>---------------------</c:v>
                </c:pt>
                <c:pt idx="7">
                  <c:v>Cleaveland Caveliers</c:v>
                </c:pt>
                <c:pt idx="8">
                  <c:v>Dallas Mavericks</c:v>
                </c:pt>
                <c:pt idx="9">
                  <c:v>Denver Nuggets</c:v>
                </c:pt>
                <c:pt idx="10">
                  <c:v>Detroit Pistons</c:v>
                </c:pt>
                <c:pt idx="11">
                  <c:v>Milwaukee Bucks</c:v>
                </c:pt>
                <c:pt idx="12">
                  <c:v>Houston Rockets</c:v>
                </c:pt>
                <c:pt idx="13">
                  <c:v>Indiana Pacers</c:v>
                </c:pt>
                <c:pt idx="14">
                  <c:v>---------------------</c:v>
                </c:pt>
                <c:pt idx="15">
                  <c:v>Oklahoma City Thunder</c:v>
                </c:pt>
                <c:pt idx="16">
                  <c:v>Utah Jazz</c:v>
                </c:pt>
                <c:pt idx="17">
                  <c:v>Los Angeles Clippers</c:v>
                </c:pt>
                <c:pt idx="18">
                  <c:v>LA Lakers</c:v>
                </c:pt>
                <c:pt idx="19">
                  <c:v>Miami Heat</c:v>
                </c:pt>
                <c:pt idx="20">
                  <c:v>Minnisota Timberwolves</c:v>
                </c:pt>
                <c:pt idx="21">
                  <c:v>Boston Celtics</c:v>
                </c:pt>
                <c:pt idx="22">
                  <c:v>New Orleans Pelicans</c:v>
                </c:pt>
                <c:pt idx="23">
                  <c:v>New York Knicks</c:v>
                </c:pt>
                <c:pt idx="24">
                  <c:v>Brooklyn Nets</c:v>
                </c:pt>
                <c:pt idx="25">
                  <c:v>Philidelphia 76ers</c:v>
                </c:pt>
                <c:pt idx="26">
                  <c:v>San Antonio Spurs</c:v>
                </c:pt>
                <c:pt idx="27">
                  <c:v>Golden State Warriors</c:v>
                </c:pt>
                <c:pt idx="28">
                  <c:v>Portland Trailblazers</c:v>
                </c:pt>
                <c:pt idx="29">
                  <c:v>Orlando Magic</c:v>
                </c:pt>
                <c:pt idx="30">
                  <c:v>Memphis Grizzlies</c:v>
                </c:pt>
                <c:pt idx="31">
                  <c:v>Washington Wizards</c:v>
                </c:pt>
              </c:strCache>
            </c:strRef>
          </c:cat>
          <c:val>
            <c:numRef>
              <c:f>NBA!$F$5:$F$36</c:f>
              <c:numCache>
                <c:formatCode>"$"#,##0.00</c:formatCode>
                <c:ptCount val="32"/>
                <c:pt idx="0">
                  <c:v>7</c:v>
                </c:pt>
                <c:pt idx="1">
                  <c:v>3</c:v>
                </c:pt>
                <c:pt idx="2">
                  <c:v>5</c:v>
                </c:pt>
                <c:pt idx="3">
                  <c:v>3</c:v>
                </c:pt>
                <c:pt idx="4">
                  <c:v>3</c:v>
                </c:pt>
                <c:pt idx="5">
                  <c:v>7</c:v>
                </c:pt>
                <c:pt idx="6">
                  <c:v>0</c:v>
                </c:pt>
                <c:pt idx="7">
                  <c:v>9</c:v>
                </c:pt>
                <c:pt idx="8">
                  <c:v>16</c:v>
                </c:pt>
                <c:pt idx="9">
                  <c:v>7</c:v>
                </c:pt>
                <c:pt idx="10">
                  <c:v>3</c:v>
                </c:pt>
                <c:pt idx="11">
                  <c:v>7</c:v>
                </c:pt>
                <c:pt idx="12">
                  <c:v>9</c:v>
                </c:pt>
                <c:pt idx="13">
                  <c:v>5</c:v>
                </c:pt>
                <c:pt idx="14">
                  <c:v>0</c:v>
                </c:pt>
                <c:pt idx="15">
                  <c:v>18</c:v>
                </c:pt>
                <c:pt idx="16">
                  <c:v>5</c:v>
                </c:pt>
                <c:pt idx="17">
                  <c:v>5</c:v>
                </c:pt>
                <c:pt idx="18">
                  <c:v>12</c:v>
                </c:pt>
                <c:pt idx="19">
                  <c:v>7</c:v>
                </c:pt>
                <c:pt idx="20">
                  <c:v>12</c:v>
                </c:pt>
                <c:pt idx="21">
                  <c:v>18</c:v>
                </c:pt>
                <c:pt idx="22">
                  <c:v>5</c:v>
                </c:pt>
                <c:pt idx="23">
                  <c:v>3</c:v>
                </c:pt>
                <c:pt idx="24">
                  <c:v>3</c:v>
                </c:pt>
                <c:pt idx="25">
                  <c:v>7</c:v>
                </c:pt>
                <c:pt idx="26">
                  <c:v>23</c:v>
                </c:pt>
                <c:pt idx="27">
                  <c:v>18</c:v>
                </c:pt>
                <c:pt idx="28">
                  <c:v>7</c:v>
                </c:pt>
                <c:pt idx="29">
                  <c:v>3</c:v>
                </c:pt>
                <c:pt idx="30">
                  <c:v>7</c:v>
                </c:pt>
                <c:pt idx="31">
                  <c:v>3</c:v>
                </c:pt>
              </c:numCache>
            </c:numRef>
          </c:val>
          <c:extLst>
            <c:ext xmlns:c16="http://schemas.microsoft.com/office/drawing/2014/chart" uri="{C3380CC4-5D6E-409C-BE32-E72D297353CC}">
              <c16:uniqueId val="{00000000-C1E8-4077-8138-49A261A0C490}"/>
            </c:ext>
          </c:extLst>
        </c:ser>
        <c:dLbls>
          <c:showLegendKey val="0"/>
          <c:showVal val="0"/>
          <c:showCatName val="0"/>
          <c:showSerName val="0"/>
          <c:showPercent val="0"/>
          <c:showBubbleSize val="0"/>
        </c:dLbls>
        <c:gapWidth val="150"/>
        <c:shape val="box"/>
        <c:axId val="2009875743"/>
        <c:axId val="2009871903"/>
        <c:axId val="0"/>
      </c:bar3DChart>
      <c:catAx>
        <c:axId val="2009875743"/>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2009871903"/>
        <c:crosses val="autoZero"/>
        <c:auto val="1"/>
        <c:lblAlgn val="ctr"/>
        <c:lblOffset val="100"/>
        <c:noMultiLvlLbl val="0"/>
      </c:catAx>
      <c:valAx>
        <c:axId val="2009871903"/>
        <c:scaling>
          <c:orientation val="minMax"/>
        </c:scaling>
        <c:delete val="0"/>
        <c:axPos val="l"/>
        <c:majorGridlines>
          <c:spPr>
            <a:ln w="9525" cap="flat" cmpd="sng" algn="ctr">
              <a:solidFill>
                <a:schemeClr val="dk1">
                  <a:lumMod val="50000"/>
                  <a:lumOff val="50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20098757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25400">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2871551675456381E-2"/>
          <c:y val="2.3332671652185787E-2"/>
          <c:w val="0.93186937225996092"/>
          <c:h val="0.79933069269685053"/>
        </c:manualLayout>
      </c:layout>
      <c:bar3DChart>
        <c:barDir val="col"/>
        <c:grouping val="stack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cat>
            <c:strRef>
              <c:f>NHL!$C$5:$C$36</c:f>
              <c:strCache>
                <c:ptCount val="32"/>
                <c:pt idx="0">
                  <c:v>Arizona Cyotes</c:v>
                </c:pt>
                <c:pt idx="1">
                  <c:v>Calgary Flames</c:v>
                </c:pt>
                <c:pt idx="2">
                  <c:v>New Jersy Devils</c:v>
                </c:pt>
                <c:pt idx="3">
                  <c:v>Buffalo Sabres</c:v>
                </c:pt>
                <c:pt idx="4">
                  <c:v>Carolina Hurricanes</c:v>
                </c:pt>
                <c:pt idx="5">
                  <c:v>Chicago Blackhawks</c:v>
                </c:pt>
                <c:pt idx="6">
                  <c:v>Winnipeg Jets</c:v>
                </c:pt>
                <c:pt idx="7">
                  <c:v>Col Blue Jackets</c:v>
                </c:pt>
                <c:pt idx="8">
                  <c:v>Dallas Stars</c:v>
                </c:pt>
                <c:pt idx="9">
                  <c:v>Colorado Avelanche</c:v>
                </c:pt>
                <c:pt idx="10">
                  <c:v>Detroit Red Wings</c:v>
                </c:pt>
                <c:pt idx="11">
                  <c:v>Vancouver Canucks</c:v>
                </c:pt>
                <c:pt idx="12">
                  <c:v>Toronto Maple Leafs</c:v>
                </c:pt>
                <c:pt idx="13">
                  <c:v>Ottowa Senators</c:v>
                </c:pt>
                <c:pt idx="14">
                  <c:v>Edmonton Oilers</c:v>
                </c:pt>
                <c:pt idx="15">
                  <c:v>St Louis Blues</c:v>
                </c:pt>
                <c:pt idx="16">
                  <c:v>Las Vegas Golden Knights</c:v>
                </c:pt>
                <c:pt idx="17">
                  <c:v>LA Kings</c:v>
                </c:pt>
                <c:pt idx="18">
                  <c:v>Anaheim Ducks</c:v>
                </c:pt>
                <c:pt idx="19">
                  <c:v>Florida Panthers</c:v>
                </c:pt>
                <c:pt idx="20">
                  <c:v>Minnisota Wild</c:v>
                </c:pt>
                <c:pt idx="21">
                  <c:v>Boston Bruins</c:v>
                </c:pt>
                <c:pt idx="22">
                  <c:v>Montrial Canadians</c:v>
                </c:pt>
                <c:pt idx="23">
                  <c:v>NY Rangers</c:v>
                </c:pt>
                <c:pt idx="24">
                  <c:v>NY Islanders</c:v>
                </c:pt>
                <c:pt idx="25">
                  <c:v>Philidelpha Flyers</c:v>
                </c:pt>
                <c:pt idx="26">
                  <c:v>Pitspurgh Penguins</c:v>
                </c:pt>
                <c:pt idx="27">
                  <c:v>San Jose Sharks</c:v>
                </c:pt>
                <c:pt idx="28">
                  <c:v>Seattle Kraken</c:v>
                </c:pt>
                <c:pt idx="29">
                  <c:v>Tampa Bay Lightning</c:v>
                </c:pt>
                <c:pt idx="30">
                  <c:v>Nashville Predators</c:v>
                </c:pt>
                <c:pt idx="31">
                  <c:v>Washington Capitols</c:v>
                </c:pt>
              </c:strCache>
            </c:strRef>
          </c:cat>
          <c:val>
            <c:numRef>
              <c:f>NHL!$F$5:$F$36</c:f>
              <c:numCache>
                <c:formatCode>"$"#,##0.00</c:formatCode>
                <c:ptCount val="32"/>
                <c:pt idx="0">
                  <c:v>5</c:v>
                </c:pt>
                <c:pt idx="1">
                  <c:v>9</c:v>
                </c:pt>
                <c:pt idx="2">
                  <c:v>3</c:v>
                </c:pt>
                <c:pt idx="3">
                  <c:v>7</c:v>
                </c:pt>
                <c:pt idx="4">
                  <c:v>12</c:v>
                </c:pt>
                <c:pt idx="5">
                  <c:v>3</c:v>
                </c:pt>
                <c:pt idx="6">
                  <c:v>18</c:v>
                </c:pt>
                <c:pt idx="7">
                  <c:v>7</c:v>
                </c:pt>
                <c:pt idx="8">
                  <c:v>12</c:v>
                </c:pt>
                <c:pt idx="9">
                  <c:v>9</c:v>
                </c:pt>
                <c:pt idx="10">
                  <c:v>3</c:v>
                </c:pt>
                <c:pt idx="11">
                  <c:v>9</c:v>
                </c:pt>
                <c:pt idx="12">
                  <c:v>12</c:v>
                </c:pt>
                <c:pt idx="13">
                  <c:v>3</c:v>
                </c:pt>
                <c:pt idx="14">
                  <c:v>3</c:v>
                </c:pt>
                <c:pt idx="15">
                  <c:v>7</c:v>
                </c:pt>
                <c:pt idx="16">
                  <c:v>9</c:v>
                </c:pt>
                <c:pt idx="17">
                  <c:v>12</c:v>
                </c:pt>
                <c:pt idx="18">
                  <c:v>3</c:v>
                </c:pt>
                <c:pt idx="19">
                  <c:v>12</c:v>
                </c:pt>
                <c:pt idx="20">
                  <c:v>14</c:v>
                </c:pt>
                <c:pt idx="21">
                  <c:v>9</c:v>
                </c:pt>
                <c:pt idx="22">
                  <c:v>3</c:v>
                </c:pt>
                <c:pt idx="23">
                  <c:v>3</c:v>
                </c:pt>
                <c:pt idx="24">
                  <c:v>3</c:v>
                </c:pt>
                <c:pt idx="25">
                  <c:v>9</c:v>
                </c:pt>
                <c:pt idx="26">
                  <c:v>5</c:v>
                </c:pt>
                <c:pt idx="27">
                  <c:v>3</c:v>
                </c:pt>
                <c:pt idx="28">
                  <c:v>3</c:v>
                </c:pt>
                <c:pt idx="29">
                  <c:v>9</c:v>
                </c:pt>
                <c:pt idx="30">
                  <c:v>3</c:v>
                </c:pt>
                <c:pt idx="31">
                  <c:v>18</c:v>
                </c:pt>
              </c:numCache>
            </c:numRef>
          </c:val>
          <c:extLst>
            <c:ext xmlns:c16="http://schemas.microsoft.com/office/drawing/2014/chart" uri="{C3380CC4-5D6E-409C-BE32-E72D297353CC}">
              <c16:uniqueId val="{00000000-7ECB-4C6F-B8A4-7421FE9975EC}"/>
            </c:ext>
          </c:extLst>
        </c:ser>
        <c:dLbls>
          <c:showLegendKey val="0"/>
          <c:showVal val="0"/>
          <c:showCatName val="0"/>
          <c:showSerName val="0"/>
          <c:showPercent val="0"/>
          <c:showBubbleSize val="0"/>
        </c:dLbls>
        <c:gapWidth val="150"/>
        <c:shape val="box"/>
        <c:axId val="2009875743"/>
        <c:axId val="2009871903"/>
        <c:axId val="0"/>
      </c:bar3DChart>
      <c:catAx>
        <c:axId val="2009875743"/>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2009871903"/>
        <c:crosses val="autoZero"/>
        <c:auto val="1"/>
        <c:lblAlgn val="ctr"/>
        <c:lblOffset val="100"/>
        <c:noMultiLvlLbl val="0"/>
      </c:catAx>
      <c:valAx>
        <c:axId val="2009871903"/>
        <c:scaling>
          <c:orientation val="minMax"/>
        </c:scaling>
        <c:delete val="0"/>
        <c:axPos val="l"/>
        <c:majorGridlines>
          <c:spPr>
            <a:ln w="9525" cap="flat" cmpd="sng" algn="ctr">
              <a:solidFill>
                <a:schemeClr val="dk1">
                  <a:lumMod val="50000"/>
                  <a:lumOff val="50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20098757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50000"/>
            <a:lumOff val="50000"/>
          </a:schemeClr>
        </a:solidFill>
        <a:round/>
      </a:ln>
    </cs:spPr>
  </cs:gridlineMajor>
  <cs:gridlineMinor>
    <cs:lnRef idx="0"/>
    <cs:fillRef idx="0"/>
    <cs:effectRef idx="0"/>
    <cs:fontRef idx="minor">
      <a:schemeClr val="tx1"/>
    </cs:fontRef>
    <cs:spPr>
      <a:ln>
        <a:solidFill>
          <a:schemeClr val="dk1">
            <a:lumMod val="60000"/>
            <a:lumOff val="40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9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50000"/>
            <a:lumOff val="50000"/>
          </a:schemeClr>
        </a:solidFill>
        <a:round/>
      </a:ln>
    </cs:spPr>
  </cs:gridlineMajor>
  <cs:gridlineMinor>
    <cs:lnRef idx="0"/>
    <cs:fillRef idx="0"/>
    <cs:effectRef idx="0"/>
    <cs:fontRef idx="minor">
      <a:schemeClr val="tx1"/>
    </cs:fontRef>
    <cs:spPr>
      <a:ln>
        <a:solidFill>
          <a:schemeClr val="dk1">
            <a:lumMod val="60000"/>
            <a:lumOff val="40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9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50000"/>
            <a:lumOff val="50000"/>
          </a:schemeClr>
        </a:solidFill>
        <a:round/>
      </a:ln>
    </cs:spPr>
  </cs:gridlineMajor>
  <cs:gridlineMinor>
    <cs:lnRef idx="0"/>
    <cs:fillRef idx="0"/>
    <cs:effectRef idx="0"/>
    <cs:fontRef idx="minor">
      <a:schemeClr val="tx1"/>
    </cs:fontRef>
    <cs:spPr>
      <a:ln>
        <a:solidFill>
          <a:schemeClr val="dk1">
            <a:lumMod val="60000"/>
            <a:lumOff val="40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9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50000"/>
            <a:lumOff val="50000"/>
          </a:schemeClr>
        </a:solidFill>
        <a:round/>
      </a:ln>
    </cs:spPr>
  </cs:gridlineMajor>
  <cs:gridlineMinor>
    <cs:lnRef idx="0"/>
    <cs:fillRef idx="0"/>
    <cs:effectRef idx="0"/>
    <cs:fontRef idx="minor">
      <a:schemeClr val="tx1"/>
    </cs:fontRef>
    <cs:spPr>
      <a:ln>
        <a:solidFill>
          <a:schemeClr val="dk1">
            <a:lumMod val="60000"/>
            <a:lumOff val="40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8" Type="http://schemas.openxmlformats.org/officeDocument/2006/relationships/hyperlink" Target="#MLB!A1"/><Relationship Id="rId13" Type="http://schemas.openxmlformats.org/officeDocument/2006/relationships/hyperlink" Target="http://WWW.TOPPS.COM" TargetMode="External"/><Relationship Id="rId18" Type="http://schemas.openxmlformats.org/officeDocument/2006/relationships/image" Target="../media/image9.png"/><Relationship Id="rId3" Type="http://schemas.openxmlformats.org/officeDocument/2006/relationships/image" Target="../media/image2.png"/><Relationship Id="rId7" Type="http://schemas.openxmlformats.org/officeDocument/2006/relationships/image" Target="../media/image4.png"/><Relationship Id="rId12" Type="http://schemas.openxmlformats.org/officeDocument/2006/relationships/image" Target="../media/image6.png"/><Relationship Id="rId17" Type="http://schemas.openxmlformats.org/officeDocument/2006/relationships/hyperlink" Target="https://www.wildcardinsidetraders.com/" TargetMode="External"/><Relationship Id="rId2" Type="http://schemas.openxmlformats.org/officeDocument/2006/relationships/hyperlink" Target="#NHL!A1"/><Relationship Id="rId16" Type="http://schemas.openxmlformats.org/officeDocument/2006/relationships/image" Target="../media/image8.png"/><Relationship Id="rId20" Type="http://schemas.openxmlformats.org/officeDocument/2006/relationships/image" Target="../media/image10.png"/><Relationship Id="rId1" Type="http://schemas.openxmlformats.org/officeDocument/2006/relationships/image" Target="../media/image1.png"/><Relationship Id="rId6" Type="http://schemas.openxmlformats.org/officeDocument/2006/relationships/hyperlink" Target="#NFL!A1"/><Relationship Id="rId11" Type="http://schemas.openxmlformats.org/officeDocument/2006/relationships/hyperlink" Target="http://WWW.PANINIAMERICA.NET" TargetMode="External"/><Relationship Id="rId5" Type="http://schemas.openxmlformats.org/officeDocument/2006/relationships/image" Target="../media/image3.png"/><Relationship Id="rId15" Type="http://schemas.openxmlformats.org/officeDocument/2006/relationships/hyperlink" Target="https://www.leaftradingcards.com/" TargetMode="External"/><Relationship Id="rId10" Type="http://schemas.openxmlformats.org/officeDocument/2006/relationships/hyperlink" Target="#NBA!A1"/><Relationship Id="rId19" Type="http://schemas.openxmlformats.org/officeDocument/2006/relationships/hyperlink" Target="http://WWW.UPPERDECK.COM" TargetMode="External"/><Relationship Id="rId4" Type="http://schemas.openxmlformats.org/officeDocument/2006/relationships/hyperlink" Target="http://www.neatripssportscards.com" TargetMode="External"/><Relationship Id="rId9" Type="http://schemas.openxmlformats.org/officeDocument/2006/relationships/image" Target="../media/image5.png"/><Relationship Id="rId14" Type="http://schemas.openxmlformats.org/officeDocument/2006/relationships/image" Target="../media/image7.jpeg"/></Relationships>
</file>

<file path=xl/drawings/_rels/drawing2.xml.rels><?xml version="1.0" encoding="UTF-8" standalone="yes"?>
<Relationships xmlns="http://schemas.openxmlformats.org/package/2006/relationships"><Relationship Id="rId3" Type="http://schemas.openxmlformats.org/officeDocument/2006/relationships/hyperlink" Target="#Pricing!A1"/><Relationship Id="rId2" Type="http://schemas.openxmlformats.org/officeDocument/2006/relationships/image" Target="../media/image4.png"/><Relationship Id="rId1" Type="http://schemas.openxmlformats.org/officeDocument/2006/relationships/chart" Target="../charts/chart1.xml"/><Relationship Id="rId4" Type="http://schemas.openxmlformats.org/officeDocument/2006/relationships/image" Target="../media/image11.jpeg"/></Relationships>
</file>

<file path=xl/drawings/_rels/drawing3.xml.rels><?xml version="1.0" encoding="UTF-8" standalone="yes"?>
<Relationships xmlns="http://schemas.openxmlformats.org/package/2006/relationships"><Relationship Id="rId3" Type="http://schemas.openxmlformats.org/officeDocument/2006/relationships/hyperlink" Target="#Pricing!A1"/><Relationship Id="rId2" Type="http://schemas.openxmlformats.org/officeDocument/2006/relationships/image" Target="../media/image5.png"/><Relationship Id="rId1" Type="http://schemas.openxmlformats.org/officeDocument/2006/relationships/chart" Target="../charts/chart2.xml"/><Relationship Id="rId4" Type="http://schemas.openxmlformats.org/officeDocument/2006/relationships/image" Target="../media/image11.jpeg"/></Relationships>
</file>

<file path=xl/drawings/_rels/drawing4.xml.rels><?xml version="1.0" encoding="UTF-8" standalone="yes"?>
<Relationships xmlns="http://schemas.openxmlformats.org/package/2006/relationships"><Relationship Id="rId3" Type="http://schemas.openxmlformats.org/officeDocument/2006/relationships/hyperlink" Target="#Pricing!A1"/><Relationship Id="rId2" Type="http://schemas.openxmlformats.org/officeDocument/2006/relationships/image" Target="../media/image1.png"/><Relationship Id="rId1" Type="http://schemas.openxmlformats.org/officeDocument/2006/relationships/chart" Target="../charts/chart3.xml"/><Relationship Id="rId4" Type="http://schemas.openxmlformats.org/officeDocument/2006/relationships/image" Target="../media/image11.jpeg"/></Relationships>
</file>

<file path=xl/drawings/_rels/drawing5.xml.rels><?xml version="1.0" encoding="UTF-8" standalone="yes"?>
<Relationships xmlns="http://schemas.openxmlformats.org/package/2006/relationships"><Relationship Id="rId3" Type="http://schemas.openxmlformats.org/officeDocument/2006/relationships/hyperlink" Target="#Pricing!A1"/><Relationship Id="rId2" Type="http://schemas.openxmlformats.org/officeDocument/2006/relationships/image" Target="../media/image12.png"/><Relationship Id="rId1" Type="http://schemas.openxmlformats.org/officeDocument/2006/relationships/chart" Target="../charts/chart4.xml"/><Relationship Id="rId4" Type="http://schemas.openxmlformats.org/officeDocument/2006/relationships/image" Target="../media/image1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png"/><Relationship Id="rId6" Type="http://schemas.openxmlformats.org/officeDocument/2006/relationships/image" Target="../media/image11.jpeg"/><Relationship Id="rId5" Type="http://schemas.openxmlformats.org/officeDocument/2006/relationships/hyperlink" Target="#Pricing!A1"/><Relationship Id="rId4" Type="http://schemas.openxmlformats.org/officeDocument/2006/relationships/image" Target="../media/image13.png"/></Relationships>
</file>

<file path=xl/drawings/_rels/drawing7.xml.rels><?xml version="1.0" encoding="UTF-8" standalone="yes"?>
<Relationships xmlns="http://schemas.openxmlformats.org/package/2006/relationships"><Relationship Id="rId3" Type="http://schemas.openxmlformats.org/officeDocument/2006/relationships/hyperlink" Target="#Pricing!A1"/><Relationship Id="rId2" Type="http://schemas.openxmlformats.org/officeDocument/2006/relationships/image" Target="../media/image13.png"/><Relationship Id="rId1" Type="http://schemas.openxmlformats.org/officeDocument/2006/relationships/image" Target="../media/image3.png"/><Relationship Id="rId4" Type="http://schemas.openxmlformats.org/officeDocument/2006/relationships/image" Target="../media/image1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12</xdr:col>
      <xdr:colOff>2263589</xdr:colOff>
      <xdr:row>21</xdr:row>
      <xdr:rowOff>100853</xdr:rowOff>
    </xdr:from>
    <xdr:to>
      <xdr:col>16</xdr:col>
      <xdr:colOff>11207</xdr:colOff>
      <xdr:row>28</xdr:row>
      <xdr:rowOff>13635</xdr:rowOff>
    </xdr:to>
    <xdr:pic>
      <xdr:nvPicPr>
        <xdr:cNvPr id="4" name="Picture 3" descr="NBA Logo and Symbols Representing its Teams">
          <a:extLst>
            <a:ext uri="{FF2B5EF4-FFF2-40B4-BE49-F238E27FC236}">
              <a16:creationId xmlns:a16="http://schemas.microsoft.com/office/drawing/2014/main" id="{0CC12678-6317-78BF-2E7E-2EC26139EFA1}"/>
            </a:ext>
          </a:extLst>
        </xdr:cNvPr>
        <xdr:cNvPicPr>
          <a:picLocks noChangeAspect="1" noChangeArrowheads="1"/>
        </xdr:cNvPicPr>
      </xdr:nvPicPr>
      <xdr:blipFill>
        <a:blip xmlns:r="http://schemas.openxmlformats.org/officeDocument/2006/relationships" r:embed="rId1">
          <a:lum bright="70000" contrast="-70000"/>
          <a:extLst>
            <a:ext uri="{28A0092B-C50C-407E-A947-70E740481C1C}">
              <a14:useLocalDpi xmlns:a14="http://schemas.microsoft.com/office/drawing/2010/main" val="0"/>
            </a:ext>
          </a:extLst>
        </a:blip>
        <a:srcRect/>
        <a:stretch>
          <a:fillRect/>
        </a:stretch>
      </xdr:blipFill>
      <xdr:spPr bwMode="auto">
        <a:xfrm>
          <a:off x="13290177" y="4415118"/>
          <a:ext cx="2117912" cy="1246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1748118</xdr:colOff>
      <xdr:row>21</xdr:row>
      <xdr:rowOff>13986</xdr:rowOff>
    </xdr:from>
    <xdr:to>
      <xdr:col>18</xdr:col>
      <xdr:colOff>376845</xdr:colOff>
      <xdr:row>28</xdr:row>
      <xdr:rowOff>1</xdr:rowOff>
    </xdr:to>
    <xdr:pic>
      <xdr:nvPicPr>
        <xdr:cNvPr id="5" name="Picture 4" descr="National Hockey League - Wikipedia">
          <a:hlinkClick xmlns:r="http://schemas.openxmlformats.org/officeDocument/2006/relationships" r:id="rId2"/>
          <a:extLst>
            <a:ext uri="{FF2B5EF4-FFF2-40B4-BE49-F238E27FC236}">
              <a16:creationId xmlns:a16="http://schemas.microsoft.com/office/drawing/2014/main" id="{DD8657CC-DA92-0105-1038-34484A6A6E7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559618" y="4529957"/>
          <a:ext cx="1161256" cy="13195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2229006</xdr:colOff>
      <xdr:row>0</xdr:row>
      <xdr:rowOff>0</xdr:rowOff>
    </xdr:from>
    <xdr:ext cx="14540775" cy="937629"/>
    <xdr:sp macro="" textlink="">
      <xdr:nvSpPr>
        <xdr:cNvPr id="6" name="Rectangle 5">
          <a:extLst>
            <a:ext uri="{FF2B5EF4-FFF2-40B4-BE49-F238E27FC236}">
              <a16:creationId xmlns:a16="http://schemas.microsoft.com/office/drawing/2014/main" id="{136410F3-8EBA-14B8-4E70-EDC32E2C372B}"/>
            </a:ext>
          </a:extLst>
        </xdr:cNvPr>
        <xdr:cNvSpPr/>
      </xdr:nvSpPr>
      <xdr:spPr>
        <a:xfrm>
          <a:off x="3453649" y="0"/>
          <a:ext cx="14540775" cy="937629"/>
        </a:xfrm>
        <a:prstGeom prst="rect">
          <a:avLst/>
        </a:prstGeom>
        <a:noFill/>
      </xdr:spPr>
      <xdr:txBody>
        <a:bodyPr wrap="none" lIns="91440" tIns="45720" rIns="91440" bIns="45720">
          <a:spAutoFit/>
        </a:bodyPr>
        <a:lstStyle/>
        <a:p>
          <a:pPr algn="ctr"/>
          <a:r>
            <a:rPr lang="en-US" sz="5400" b="1" cap="none" spc="0">
              <a:ln w="12700" cmpd="sng">
                <a:solidFill>
                  <a:sysClr val="windowText" lastClr="000000"/>
                </a:solidFill>
                <a:prstDash val="solid"/>
              </a:ln>
              <a:gradFill>
                <a:gsLst>
                  <a:gs pos="0">
                    <a:schemeClr val="accent4"/>
                  </a:gs>
                  <a:gs pos="4000">
                    <a:schemeClr val="accent4">
                      <a:lumMod val="60000"/>
                      <a:lumOff val="40000"/>
                    </a:schemeClr>
                  </a:gs>
                  <a:gs pos="87000">
                    <a:schemeClr val="accent4">
                      <a:lumMod val="20000"/>
                      <a:lumOff val="80000"/>
                    </a:schemeClr>
                  </a:gs>
                </a:gsLst>
                <a:lin ang="5400000"/>
              </a:gradFill>
              <a:effectLst/>
            </a:rPr>
            <a:t>NEAT</a:t>
          </a:r>
          <a:r>
            <a:rPr lang="en-US" sz="5400" b="1" cap="none" spc="0" baseline="0">
              <a:ln w="12700" cmpd="sng">
                <a:solidFill>
                  <a:sysClr val="windowText" lastClr="000000"/>
                </a:solidFill>
                <a:prstDash val="solid"/>
              </a:ln>
              <a:gradFill>
                <a:gsLst>
                  <a:gs pos="0">
                    <a:schemeClr val="accent4"/>
                  </a:gs>
                  <a:gs pos="4000">
                    <a:schemeClr val="accent4">
                      <a:lumMod val="60000"/>
                      <a:lumOff val="40000"/>
                    </a:schemeClr>
                  </a:gs>
                  <a:gs pos="87000">
                    <a:schemeClr val="accent4">
                      <a:lumMod val="20000"/>
                      <a:lumOff val="80000"/>
                    </a:schemeClr>
                  </a:gs>
                </a:gsLst>
                <a:lin ang="5400000"/>
              </a:gradFill>
              <a:effectLst/>
            </a:rPr>
            <a:t> RIPS SPORTS CARDS BREAK COST ANALYZER</a:t>
          </a:r>
          <a:endParaRPr lang="en-US" sz="5400" b="1" cap="none" spc="0">
            <a:ln w="12700" cmpd="sng">
              <a:solidFill>
                <a:sysClr val="windowText" lastClr="000000"/>
              </a:solidFill>
              <a:prstDash val="solid"/>
            </a:ln>
            <a:gradFill>
              <a:gsLst>
                <a:gs pos="0">
                  <a:schemeClr val="accent4"/>
                </a:gs>
                <a:gs pos="4000">
                  <a:schemeClr val="accent4">
                    <a:lumMod val="60000"/>
                    <a:lumOff val="40000"/>
                  </a:schemeClr>
                </a:gs>
                <a:gs pos="87000">
                  <a:schemeClr val="accent4">
                    <a:lumMod val="20000"/>
                    <a:lumOff val="80000"/>
                  </a:schemeClr>
                </a:gs>
              </a:gsLst>
              <a:lin ang="5400000"/>
            </a:gradFill>
            <a:effectLst/>
          </a:endParaRPr>
        </a:p>
      </xdr:txBody>
    </xdr:sp>
    <xdr:clientData/>
  </xdr:oneCellAnchor>
  <xdr:twoCellAnchor editAs="oneCell">
    <xdr:from>
      <xdr:col>8</xdr:col>
      <xdr:colOff>336177</xdr:colOff>
      <xdr:row>20</xdr:row>
      <xdr:rowOff>12491</xdr:rowOff>
    </xdr:from>
    <xdr:to>
      <xdr:col>12</xdr:col>
      <xdr:colOff>1038146</xdr:colOff>
      <xdr:row>29</xdr:row>
      <xdr:rowOff>126690</xdr:rowOff>
    </xdr:to>
    <xdr:pic>
      <xdr:nvPicPr>
        <xdr:cNvPr id="11" name="Picture 10" descr="Neat Rips Sports Cards">
          <a:hlinkClick xmlns:r="http://schemas.openxmlformats.org/officeDocument/2006/relationships" r:id="rId4"/>
          <a:extLst>
            <a:ext uri="{FF2B5EF4-FFF2-40B4-BE49-F238E27FC236}">
              <a16:creationId xmlns:a16="http://schemas.microsoft.com/office/drawing/2014/main" id="{3011CE71-061A-9546-9B71-6A931105778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64706" y="4337962"/>
          <a:ext cx="3249707" cy="18286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1636061</xdr:colOff>
      <xdr:row>20</xdr:row>
      <xdr:rowOff>44822</xdr:rowOff>
    </xdr:from>
    <xdr:to>
      <xdr:col>3</xdr:col>
      <xdr:colOff>401625</xdr:colOff>
      <xdr:row>29</xdr:row>
      <xdr:rowOff>56029</xdr:rowOff>
    </xdr:to>
    <xdr:pic>
      <xdr:nvPicPr>
        <xdr:cNvPr id="12" name="Picture 11" descr="National Football League - Wikipedia">
          <a:hlinkClick xmlns:r="http://schemas.openxmlformats.org/officeDocument/2006/relationships" r:id="rId6"/>
          <a:extLst>
            <a:ext uri="{FF2B5EF4-FFF2-40B4-BE49-F238E27FC236}">
              <a16:creationId xmlns:a16="http://schemas.microsoft.com/office/drawing/2014/main" id="{C4D1ED90-D024-A148-9798-77AFD7CA048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846296" y="4370293"/>
          <a:ext cx="1253270" cy="17257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491460</xdr:colOff>
      <xdr:row>21</xdr:row>
      <xdr:rowOff>146479</xdr:rowOff>
    </xdr:from>
    <xdr:to>
      <xdr:col>7</xdr:col>
      <xdr:colOff>2194753</xdr:colOff>
      <xdr:row>28</xdr:row>
      <xdr:rowOff>53098</xdr:rowOff>
    </xdr:to>
    <xdr:pic>
      <xdr:nvPicPr>
        <xdr:cNvPr id="13" name="Picture 12" descr="Major League Baseball logo - Wikipedia">
          <a:hlinkClick xmlns:r="http://schemas.openxmlformats.org/officeDocument/2006/relationships" r:id="rId8"/>
          <a:extLst>
            <a:ext uri="{FF2B5EF4-FFF2-40B4-BE49-F238E27FC236}">
              <a16:creationId xmlns:a16="http://schemas.microsoft.com/office/drawing/2014/main" id="{3CA39ED9-E79B-478F-4388-121161E6ABDE}"/>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301710" y="4691265"/>
          <a:ext cx="2288400" cy="12401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2229972</xdr:colOff>
      <xdr:row>21</xdr:row>
      <xdr:rowOff>100853</xdr:rowOff>
    </xdr:from>
    <xdr:to>
      <xdr:col>15</xdr:col>
      <xdr:colOff>780412</xdr:colOff>
      <xdr:row>28</xdr:row>
      <xdr:rowOff>13635</xdr:rowOff>
    </xdr:to>
    <xdr:pic>
      <xdr:nvPicPr>
        <xdr:cNvPr id="14" name="Picture 13" descr="NBA Logo and Symbols Representing its Teams">
          <a:hlinkClick xmlns:r="http://schemas.openxmlformats.org/officeDocument/2006/relationships" r:id="rId10"/>
          <a:extLst>
            <a:ext uri="{FF2B5EF4-FFF2-40B4-BE49-F238E27FC236}">
              <a16:creationId xmlns:a16="http://schemas.microsoft.com/office/drawing/2014/main" id="{C482C4F2-C4B5-1745-142E-13938DCAC0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56560" y="4415118"/>
          <a:ext cx="2117912" cy="1246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598714</xdr:colOff>
      <xdr:row>31</xdr:row>
      <xdr:rowOff>0</xdr:rowOff>
    </xdr:from>
    <xdr:to>
      <xdr:col>21</xdr:col>
      <xdr:colOff>571500</xdr:colOff>
      <xdr:row>37</xdr:row>
      <xdr:rowOff>176893</xdr:rowOff>
    </xdr:to>
    <xdr:sp macro="" textlink="">
      <xdr:nvSpPr>
        <xdr:cNvPr id="7" name="TextBox 6">
          <a:extLst>
            <a:ext uri="{FF2B5EF4-FFF2-40B4-BE49-F238E27FC236}">
              <a16:creationId xmlns:a16="http://schemas.microsoft.com/office/drawing/2014/main" id="{F20F6A4F-352D-584A-025B-99BAED6D6808}"/>
            </a:ext>
          </a:extLst>
        </xdr:cNvPr>
        <xdr:cNvSpPr txBox="1"/>
      </xdr:nvSpPr>
      <xdr:spPr>
        <a:xfrm>
          <a:off x="598714" y="6477000"/>
          <a:ext cx="20914179" cy="1319893"/>
        </a:xfrm>
        <a:prstGeom prst="rect">
          <a:avLst/>
        </a:prstGeom>
        <a:solidFill>
          <a:schemeClr val="bg2">
            <a:lumMod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a:t>The Sports Card Break Calculator spreadsheet is provided "as-is" for informational and educational purposes only. While efforts have been made to ensure the functionality and accuracy of this tool, no guarantees, representations, or warranties of any kind, express or implied, are made regarding the completeness, accuracy, reliability, or suitability of the calculator for any specific purpose. By using this spreadsheet, you acknowledge and agree to the following:</a:t>
          </a:r>
        </a:p>
        <a:p>
          <a:r>
            <a:rPr lang="en-US" b="1"/>
            <a:t>No Guarantees</a:t>
          </a:r>
          <a:r>
            <a:rPr lang="en-US"/>
            <a:t>: The results generated by this calculator are not guaranteed to be accurate or valid.</a:t>
          </a:r>
        </a:p>
        <a:p>
          <a:r>
            <a:rPr lang="en-US" b="1"/>
            <a:t>User Responsibility</a:t>
          </a:r>
          <a:r>
            <a:rPr lang="en-US"/>
            <a:t>: It is your sole responsibility to verify the calculations and ensure that they meet your specific needs.</a:t>
          </a:r>
        </a:p>
        <a:p>
          <a:r>
            <a:rPr lang="en-US" b="1"/>
            <a:t>Held Harmless</a:t>
          </a:r>
          <a:r>
            <a:rPr lang="en-US"/>
            <a:t>: The creator of this spreadsheet is not liable for any errors, inaccuracies, or miscalculations, nor for any decisions or outcomes resulting from its use. You agree to hold the creator harmless from any claims, damages, or liabilities arising from the use or misuse of this tool.</a:t>
          </a:r>
        </a:p>
        <a:p>
          <a:r>
            <a:rPr lang="en-US"/>
            <a:t>If you do not agree to these terms, please refrain from using this spreadsheet. By proceeding, you accept full responsibility for any actions taken based on the information provided.</a:t>
          </a:r>
        </a:p>
        <a:p>
          <a:endParaRPr lang="en-US" sz="1100"/>
        </a:p>
      </xdr:txBody>
    </xdr:sp>
    <xdr:clientData/>
  </xdr:twoCellAnchor>
  <xdr:twoCellAnchor editAs="oneCell">
    <xdr:from>
      <xdr:col>1</xdr:col>
      <xdr:colOff>40821</xdr:colOff>
      <xdr:row>38</xdr:row>
      <xdr:rowOff>122466</xdr:rowOff>
    </xdr:from>
    <xdr:to>
      <xdr:col>2</xdr:col>
      <xdr:colOff>2245178</xdr:colOff>
      <xdr:row>42</xdr:row>
      <xdr:rowOff>149680</xdr:rowOff>
    </xdr:to>
    <xdr:pic>
      <xdr:nvPicPr>
        <xdr:cNvPr id="9" name="Picture 8" descr="Panini wrestles exclusive WWE rights from Topps - Better Retailing">
          <a:hlinkClick xmlns:r="http://schemas.openxmlformats.org/officeDocument/2006/relationships" r:id="rId11"/>
          <a:extLst>
            <a:ext uri="{FF2B5EF4-FFF2-40B4-BE49-F238E27FC236}">
              <a16:creationId xmlns:a16="http://schemas.microsoft.com/office/drawing/2014/main" id="{8D501A2B-C760-0EDB-0DAE-F1999F4E17CB}"/>
            </a:ext>
          </a:extLst>
        </xdr:cNvPr>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t="28948" b="29001"/>
        <a:stretch/>
      </xdr:blipFill>
      <xdr:spPr bwMode="auto">
        <a:xfrm>
          <a:off x="653142" y="7946573"/>
          <a:ext cx="2816679" cy="7892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2367642</xdr:colOff>
      <xdr:row>38</xdr:row>
      <xdr:rowOff>82414</xdr:rowOff>
    </xdr:from>
    <xdr:to>
      <xdr:col>4</xdr:col>
      <xdr:colOff>456525</xdr:colOff>
      <xdr:row>42</xdr:row>
      <xdr:rowOff>122464</xdr:rowOff>
    </xdr:to>
    <xdr:pic>
      <xdr:nvPicPr>
        <xdr:cNvPr id="10" name="Picture 9" descr="Little League® and Topps Team Up for the Little League World Series -  Little League">
          <a:hlinkClick xmlns:r="http://schemas.openxmlformats.org/officeDocument/2006/relationships" r:id="rId13"/>
          <a:extLst>
            <a:ext uri="{FF2B5EF4-FFF2-40B4-BE49-F238E27FC236}">
              <a16:creationId xmlns:a16="http://schemas.microsoft.com/office/drawing/2014/main" id="{2AEC323E-AEBA-FD9B-8797-679406DA48FB}"/>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3592285" y="7906521"/>
          <a:ext cx="1218526" cy="80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285750</xdr:colOff>
      <xdr:row>39</xdr:row>
      <xdr:rowOff>14493</xdr:rowOff>
    </xdr:from>
    <xdr:to>
      <xdr:col>7</xdr:col>
      <xdr:colOff>314325</xdr:colOff>
      <xdr:row>42</xdr:row>
      <xdr:rowOff>54428</xdr:rowOff>
    </xdr:to>
    <xdr:pic>
      <xdr:nvPicPr>
        <xdr:cNvPr id="15" name="Picture 14" descr="Leaf Trading Cards Online Store">
          <a:hlinkClick xmlns:r="http://schemas.openxmlformats.org/officeDocument/2006/relationships" r:id="rId15"/>
          <a:extLst>
            <a:ext uri="{FF2B5EF4-FFF2-40B4-BE49-F238E27FC236}">
              <a16:creationId xmlns:a16="http://schemas.microsoft.com/office/drawing/2014/main" id="{E92BBF25-EAB1-2314-9E28-9F63E5ED81C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5279571" y="8029100"/>
          <a:ext cx="1430111" cy="6114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272142</xdr:colOff>
      <xdr:row>37</xdr:row>
      <xdr:rowOff>173349</xdr:rowOff>
    </xdr:from>
    <xdr:to>
      <xdr:col>7</xdr:col>
      <xdr:colOff>2453367</xdr:colOff>
      <xdr:row>43</xdr:row>
      <xdr:rowOff>50347</xdr:rowOff>
    </xdr:to>
    <xdr:pic>
      <xdr:nvPicPr>
        <xdr:cNvPr id="16" name="Picture 15" descr="Wild Card, Inc.™">
          <a:hlinkClick xmlns:r="http://schemas.openxmlformats.org/officeDocument/2006/relationships" r:id="rId17"/>
          <a:extLst>
            <a:ext uri="{FF2B5EF4-FFF2-40B4-BE49-F238E27FC236}">
              <a16:creationId xmlns:a16="http://schemas.microsoft.com/office/drawing/2014/main" id="{28744FB5-D9EC-EA87-2ACF-41AFA8E0399F}"/>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667499" y="7793349"/>
          <a:ext cx="2181225" cy="103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69499</xdr:colOff>
      <xdr:row>38</xdr:row>
      <xdr:rowOff>81642</xdr:rowOff>
    </xdr:from>
    <xdr:to>
      <xdr:col>10</xdr:col>
      <xdr:colOff>155118</xdr:colOff>
      <xdr:row>43</xdr:row>
      <xdr:rowOff>106133</xdr:rowOff>
    </xdr:to>
    <xdr:pic>
      <xdr:nvPicPr>
        <xdr:cNvPr id="18" name="Picture 17" descr="Upper Deck Company - Wikipedia">
          <a:hlinkClick xmlns:r="http://schemas.openxmlformats.org/officeDocument/2006/relationships" r:id="rId19"/>
          <a:extLst>
            <a:ext uri="{FF2B5EF4-FFF2-40B4-BE49-F238E27FC236}">
              <a16:creationId xmlns:a16="http://schemas.microsoft.com/office/drawing/2014/main" id="{21888661-AD5B-605F-E876-A8B5CDB4E763}"/>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8927749" y="7905749"/>
          <a:ext cx="1255833" cy="9769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639536</xdr:colOff>
      <xdr:row>38</xdr:row>
      <xdr:rowOff>176893</xdr:rowOff>
    </xdr:from>
    <xdr:to>
      <xdr:col>21</xdr:col>
      <xdr:colOff>598714</xdr:colOff>
      <xdr:row>44</xdr:row>
      <xdr:rowOff>27214</xdr:rowOff>
    </xdr:to>
    <xdr:sp macro="" textlink="">
      <xdr:nvSpPr>
        <xdr:cNvPr id="2" name="TextBox 1">
          <a:extLst>
            <a:ext uri="{FF2B5EF4-FFF2-40B4-BE49-F238E27FC236}">
              <a16:creationId xmlns:a16="http://schemas.microsoft.com/office/drawing/2014/main" id="{06915B8F-C903-8F52-0543-B87D7611ABC7}"/>
            </a:ext>
          </a:extLst>
        </xdr:cNvPr>
        <xdr:cNvSpPr txBox="1"/>
      </xdr:nvSpPr>
      <xdr:spPr>
        <a:xfrm>
          <a:off x="10668000" y="8001000"/>
          <a:ext cx="10872107" cy="9933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t>This project is an independent creation and is not affiliated with, endorsed by, or sponsored by the National Football League (NFL), Major League Baseball (MLB), the National Basketball Association (NBA), the National Hockey League (NHL), or any of their respective teams, franchises, or organizations.</a:t>
          </a:r>
        </a:p>
        <a:p>
          <a:r>
            <a:rPr lang="en-US"/>
            <a:t>All logos and trademarks used in this project are the property of their respective owners and are used here solely for informational and educational purposes. This project is provided for free and is not intended for commercial use or profit.</a:t>
          </a:r>
        </a:p>
        <a:p>
          <a:r>
            <a:rPr lang="en-US"/>
            <a:t>If you believe the use of any trademark or logo violates intellectual property rights, please contact</a:t>
          </a:r>
          <a:r>
            <a:rPr lang="en-US" baseline="0"/>
            <a:t> owner@neatripssportscards.com</a:t>
          </a:r>
          <a:r>
            <a:rPr lang="en-US"/>
            <a:t> for resolution.</a:t>
          </a: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4</xdr:col>
      <xdr:colOff>235324</xdr:colOff>
      <xdr:row>37</xdr:row>
      <xdr:rowOff>67236</xdr:rowOff>
    </xdr:from>
    <xdr:ext cx="14982265" cy="655885"/>
    <xdr:sp macro="" textlink="">
      <xdr:nvSpPr>
        <xdr:cNvPr id="3" name="Rectangle 2">
          <a:extLst>
            <a:ext uri="{FF2B5EF4-FFF2-40B4-BE49-F238E27FC236}">
              <a16:creationId xmlns:a16="http://schemas.microsoft.com/office/drawing/2014/main" id="{91238EF1-85C7-418C-8F33-6CD230CF27B0}"/>
            </a:ext>
          </a:extLst>
        </xdr:cNvPr>
        <xdr:cNvSpPr/>
      </xdr:nvSpPr>
      <xdr:spPr>
        <a:xfrm>
          <a:off x="4314265" y="6981265"/>
          <a:ext cx="14982265" cy="655885"/>
        </a:xfrm>
        <a:prstGeom prst="rect">
          <a:avLst/>
        </a:prstGeom>
        <a:noFill/>
      </xdr:spPr>
      <xdr:txBody>
        <a:bodyPr wrap="square" lIns="91440" tIns="45720" rIns="91440" bIns="45720">
          <a:spAutoFit/>
        </a:bodyPr>
        <a:lstStyle/>
        <a:p>
          <a:pPr algn="ctr"/>
          <a:r>
            <a:rPr lang="en-US" sz="3600" b="1" cap="none" spc="0">
              <a:ln w="12700" cmpd="sng">
                <a:solidFill>
                  <a:sysClr val="windowText" lastClr="000000"/>
                </a:solidFill>
                <a:prstDash val="solid"/>
              </a:ln>
              <a:gradFill>
                <a:gsLst>
                  <a:gs pos="0">
                    <a:schemeClr val="accent4"/>
                  </a:gs>
                  <a:gs pos="4000">
                    <a:schemeClr val="accent4">
                      <a:lumMod val="60000"/>
                      <a:lumOff val="40000"/>
                    </a:schemeClr>
                  </a:gs>
                  <a:gs pos="87000">
                    <a:schemeClr val="accent4">
                      <a:lumMod val="20000"/>
                      <a:lumOff val="80000"/>
                    </a:schemeClr>
                  </a:gs>
                </a:gsLst>
                <a:lin ang="5400000"/>
              </a:gradFill>
              <a:effectLst/>
            </a:rPr>
            <a:t>NEAT</a:t>
          </a:r>
          <a:r>
            <a:rPr lang="en-US" sz="3600" b="1" cap="none" spc="0" baseline="0">
              <a:ln w="12700" cmpd="sng">
                <a:solidFill>
                  <a:sysClr val="windowText" lastClr="000000"/>
                </a:solidFill>
                <a:prstDash val="solid"/>
              </a:ln>
              <a:gradFill>
                <a:gsLst>
                  <a:gs pos="0">
                    <a:schemeClr val="accent4"/>
                  </a:gs>
                  <a:gs pos="4000">
                    <a:schemeClr val="accent4">
                      <a:lumMod val="60000"/>
                      <a:lumOff val="40000"/>
                    </a:schemeClr>
                  </a:gs>
                  <a:gs pos="87000">
                    <a:schemeClr val="accent4">
                      <a:lumMod val="20000"/>
                      <a:lumOff val="80000"/>
                    </a:schemeClr>
                  </a:gs>
                </a:gsLst>
                <a:lin ang="5400000"/>
              </a:gradFill>
              <a:effectLst/>
            </a:rPr>
            <a:t> RIPS SPORTS CARDS BREAK COST ANALYZER</a:t>
          </a:r>
          <a:endParaRPr lang="en-US" sz="3600" b="1" cap="none" spc="0">
            <a:ln w="12700" cmpd="sng">
              <a:solidFill>
                <a:sysClr val="windowText" lastClr="000000"/>
              </a:solidFill>
              <a:prstDash val="solid"/>
            </a:ln>
            <a:gradFill>
              <a:gsLst>
                <a:gs pos="0">
                  <a:schemeClr val="accent4"/>
                </a:gs>
                <a:gs pos="4000">
                  <a:schemeClr val="accent4">
                    <a:lumMod val="60000"/>
                    <a:lumOff val="40000"/>
                  </a:schemeClr>
                </a:gs>
                <a:gs pos="87000">
                  <a:schemeClr val="accent4">
                    <a:lumMod val="20000"/>
                    <a:lumOff val="80000"/>
                  </a:schemeClr>
                </a:gs>
              </a:gsLst>
              <a:lin ang="5400000"/>
            </a:gradFill>
            <a:effectLst/>
          </a:endParaRPr>
        </a:p>
      </xdr:txBody>
    </xdr:sp>
    <xdr:clientData/>
  </xdr:oneCellAnchor>
  <xdr:twoCellAnchor>
    <xdr:from>
      <xdr:col>7</xdr:col>
      <xdr:colOff>134471</xdr:colOff>
      <xdr:row>2</xdr:row>
      <xdr:rowOff>179293</xdr:rowOff>
    </xdr:from>
    <xdr:to>
      <xdr:col>25</xdr:col>
      <xdr:colOff>0</xdr:colOff>
      <xdr:row>36</xdr:row>
      <xdr:rowOff>11206</xdr:rowOff>
    </xdr:to>
    <xdr:graphicFrame macro="">
      <xdr:nvGraphicFramePr>
        <xdr:cNvPr id="8" name="Chart 7">
          <a:extLst>
            <a:ext uri="{FF2B5EF4-FFF2-40B4-BE49-F238E27FC236}">
              <a16:creationId xmlns:a16="http://schemas.microsoft.com/office/drawing/2014/main" id="{FE41BE92-5AA8-4DE9-8BC6-367FCA9F50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470647</xdr:colOff>
      <xdr:row>3</xdr:row>
      <xdr:rowOff>100854</xdr:rowOff>
    </xdr:from>
    <xdr:to>
      <xdr:col>17</xdr:col>
      <xdr:colOff>100853</xdr:colOff>
      <xdr:row>8</xdr:row>
      <xdr:rowOff>67236</xdr:rowOff>
    </xdr:to>
    <xdr:pic>
      <xdr:nvPicPr>
        <xdr:cNvPr id="9" name="Picture 8" descr="National Football League - Wikipedia">
          <a:extLst>
            <a:ext uri="{FF2B5EF4-FFF2-40B4-BE49-F238E27FC236}">
              <a16:creationId xmlns:a16="http://schemas.microsoft.com/office/drawing/2014/main" id="{279EA79C-989F-425A-8584-AF7F7440E35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20500" y="504266"/>
          <a:ext cx="840441" cy="941294"/>
        </a:xfrm>
        <a:prstGeom prst="rect">
          <a:avLst/>
        </a:prstGeom>
        <a:noFill/>
        <a:scene3d>
          <a:camera prst="orthographicFront"/>
          <a:lightRig rig="threePt" dir="t"/>
        </a:scene3d>
        <a:sp3d>
          <a:bevelT/>
        </a:sp3d>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40822</xdr:colOff>
      <xdr:row>43</xdr:row>
      <xdr:rowOff>27215</xdr:rowOff>
    </xdr:from>
    <xdr:to>
      <xdr:col>30</xdr:col>
      <xdr:colOff>27215</xdr:colOff>
      <xdr:row>50</xdr:row>
      <xdr:rowOff>13608</xdr:rowOff>
    </xdr:to>
    <xdr:sp macro="" textlink="">
      <xdr:nvSpPr>
        <xdr:cNvPr id="2" name="TextBox 1">
          <a:extLst>
            <a:ext uri="{FF2B5EF4-FFF2-40B4-BE49-F238E27FC236}">
              <a16:creationId xmlns:a16="http://schemas.microsoft.com/office/drawing/2014/main" id="{619521E5-4E12-4F6B-85A7-126AA20B8FE3}"/>
            </a:ext>
          </a:extLst>
        </xdr:cNvPr>
        <xdr:cNvSpPr txBox="1"/>
      </xdr:nvSpPr>
      <xdr:spPr>
        <a:xfrm>
          <a:off x="40822" y="8259536"/>
          <a:ext cx="20955000" cy="1319893"/>
        </a:xfrm>
        <a:prstGeom prst="rect">
          <a:avLst/>
        </a:prstGeom>
        <a:solidFill>
          <a:schemeClr val="bg2">
            <a:lumMod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a:t>The Sports Card Break Calculator spreadsheet is provided "as-is" for informational and educational purposes only. While efforts have been made to ensure the functionality and accuracy of this tool, no guarantees, representations, or warranties of any kind, express or implied, are made regarding the completeness, accuracy, reliability, or suitability of the calculator for any specific purpose. By using this spreadsheet, you acknowledge and agree to the following:</a:t>
          </a:r>
        </a:p>
        <a:p>
          <a:r>
            <a:rPr lang="en-US" b="1"/>
            <a:t>No Guarantees</a:t>
          </a:r>
          <a:r>
            <a:rPr lang="en-US"/>
            <a:t>: The results generated by this calculator are not guaranteed to be accurate or valid.</a:t>
          </a:r>
        </a:p>
        <a:p>
          <a:r>
            <a:rPr lang="en-US" b="1"/>
            <a:t>User Responsibility</a:t>
          </a:r>
          <a:r>
            <a:rPr lang="en-US"/>
            <a:t>: It is your sole responsibility to verify the calculations and ensure that they meet your specific needs.</a:t>
          </a:r>
        </a:p>
        <a:p>
          <a:r>
            <a:rPr lang="en-US" b="1"/>
            <a:t>Held Harmless</a:t>
          </a:r>
          <a:r>
            <a:rPr lang="en-US"/>
            <a:t>: The creator of this spreadsheet is not liable for any errors, inaccuracies, or miscalculations, nor for any decisions or outcomes resulting from its use. You agree to hold the creator harmless from any claims, damages, or liabilities arising from the use or misuse of this tool.</a:t>
          </a:r>
        </a:p>
        <a:p>
          <a:r>
            <a:rPr lang="en-US"/>
            <a:t>If you do not agree to these terms, please refrain from using this spreadsheet. By proceeding, you accept full responsibility for any actions taken based on the information provided.</a:t>
          </a:r>
        </a:p>
        <a:p>
          <a:endParaRPr lang="en-US" sz="1100"/>
        </a:p>
      </xdr:txBody>
    </xdr:sp>
    <xdr:clientData/>
  </xdr:twoCellAnchor>
  <xdr:twoCellAnchor editAs="oneCell">
    <xdr:from>
      <xdr:col>27</xdr:col>
      <xdr:colOff>69272</xdr:colOff>
      <xdr:row>34</xdr:row>
      <xdr:rowOff>34636</xdr:rowOff>
    </xdr:from>
    <xdr:to>
      <xdr:col>28</xdr:col>
      <xdr:colOff>883226</xdr:colOff>
      <xdr:row>40</xdr:row>
      <xdr:rowOff>40366</xdr:rowOff>
    </xdr:to>
    <xdr:pic>
      <xdr:nvPicPr>
        <xdr:cNvPr id="6" name="Picture 5" descr="Hollywood Pro MLB Home Plate – Odeys">
          <a:hlinkClick xmlns:r="http://schemas.openxmlformats.org/officeDocument/2006/relationships" r:id="rId3"/>
          <a:extLst>
            <a:ext uri="{FF2B5EF4-FFF2-40B4-BE49-F238E27FC236}">
              <a16:creationId xmlns:a16="http://schemas.microsoft.com/office/drawing/2014/main" id="{91DA7A2D-2ED1-08BC-C581-BC5E13A52FA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513136" y="6615545"/>
          <a:ext cx="1506681" cy="12699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132034</xdr:colOff>
      <xdr:row>3</xdr:row>
      <xdr:rowOff>1119</xdr:rowOff>
    </xdr:from>
    <xdr:to>
      <xdr:col>24</xdr:col>
      <xdr:colOff>571499</xdr:colOff>
      <xdr:row>35</xdr:row>
      <xdr:rowOff>56030</xdr:rowOff>
    </xdr:to>
    <xdr:graphicFrame macro="">
      <xdr:nvGraphicFramePr>
        <xdr:cNvPr id="3" name="Chart 2">
          <a:extLst>
            <a:ext uri="{FF2B5EF4-FFF2-40B4-BE49-F238E27FC236}">
              <a16:creationId xmlns:a16="http://schemas.microsoft.com/office/drawing/2014/main" id="{CA8EF5E4-C1D8-7692-8454-C0A8547D0AF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347385</xdr:colOff>
      <xdr:row>3</xdr:row>
      <xdr:rowOff>89648</xdr:rowOff>
    </xdr:from>
    <xdr:to>
      <xdr:col>17</xdr:col>
      <xdr:colOff>444892</xdr:colOff>
      <xdr:row>7</xdr:row>
      <xdr:rowOff>11205</xdr:rowOff>
    </xdr:to>
    <xdr:pic>
      <xdr:nvPicPr>
        <xdr:cNvPr id="2" name="Picture 1" descr="Major League Baseball logo - Wikipedia">
          <a:extLst>
            <a:ext uri="{FF2B5EF4-FFF2-40B4-BE49-F238E27FC236}">
              <a16:creationId xmlns:a16="http://schemas.microsoft.com/office/drawing/2014/main" id="{75C9C1B1-7A78-4FA5-9AB9-F9D1D43246F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93826" y="493060"/>
          <a:ext cx="1307742" cy="705969"/>
        </a:xfrm>
        <a:prstGeom prst="rect">
          <a:avLst/>
        </a:prstGeom>
        <a:noFill/>
        <a:scene3d>
          <a:camera prst="orthographicFront"/>
          <a:lightRig rig="threePt" dir="t"/>
        </a:scene3d>
        <a:sp3d>
          <a:bevelT/>
        </a:sp3d>
        <a:extLst>
          <a:ext uri="{909E8E84-426E-40DD-AFC4-6F175D3DCCD1}">
            <a14:hiddenFill xmlns:a14="http://schemas.microsoft.com/office/drawing/2010/main">
              <a:solidFill>
                <a:srgbClr val="FFFFFF"/>
              </a:solidFill>
            </a14:hiddenFill>
          </a:ext>
        </a:extLst>
      </xdr:spPr>
    </xdr:pic>
    <xdr:clientData/>
  </xdr:twoCellAnchor>
  <xdr:oneCellAnchor>
    <xdr:from>
      <xdr:col>4</xdr:col>
      <xdr:colOff>201706</xdr:colOff>
      <xdr:row>36</xdr:row>
      <xdr:rowOff>89646</xdr:rowOff>
    </xdr:from>
    <xdr:ext cx="14982265" cy="655885"/>
    <xdr:sp macro="" textlink="">
      <xdr:nvSpPr>
        <xdr:cNvPr id="4" name="Rectangle 3">
          <a:extLst>
            <a:ext uri="{FF2B5EF4-FFF2-40B4-BE49-F238E27FC236}">
              <a16:creationId xmlns:a16="http://schemas.microsoft.com/office/drawing/2014/main" id="{ECAA1C43-48B9-4710-A240-8ECEF790970A}"/>
            </a:ext>
          </a:extLst>
        </xdr:cNvPr>
        <xdr:cNvSpPr/>
      </xdr:nvSpPr>
      <xdr:spPr>
        <a:xfrm>
          <a:off x="4168588" y="6801970"/>
          <a:ext cx="14982265" cy="655885"/>
        </a:xfrm>
        <a:prstGeom prst="rect">
          <a:avLst/>
        </a:prstGeom>
        <a:noFill/>
      </xdr:spPr>
      <xdr:txBody>
        <a:bodyPr wrap="square" lIns="91440" tIns="45720" rIns="91440" bIns="45720">
          <a:spAutoFit/>
        </a:bodyPr>
        <a:lstStyle/>
        <a:p>
          <a:pPr algn="ctr"/>
          <a:r>
            <a:rPr lang="en-US" sz="3600" b="1" cap="none" spc="0">
              <a:ln w="12700" cmpd="sng">
                <a:solidFill>
                  <a:sysClr val="windowText" lastClr="000000"/>
                </a:solidFill>
                <a:prstDash val="solid"/>
              </a:ln>
              <a:gradFill>
                <a:gsLst>
                  <a:gs pos="0">
                    <a:schemeClr val="accent4"/>
                  </a:gs>
                  <a:gs pos="4000">
                    <a:schemeClr val="accent4">
                      <a:lumMod val="60000"/>
                      <a:lumOff val="40000"/>
                    </a:schemeClr>
                  </a:gs>
                  <a:gs pos="87000">
                    <a:schemeClr val="accent4">
                      <a:lumMod val="20000"/>
                      <a:lumOff val="80000"/>
                    </a:schemeClr>
                  </a:gs>
                </a:gsLst>
                <a:lin ang="5400000"/>
              </a:gradFill>
              <a:effectLst/>
            </a:rPr>
            <a:t>NEAT</a:t>
          </a:r>
          <a:r>
            <a:rPr lang="en-US" sz="3600" b="1" cap="none" spc="0" baseline="0">
              <a:ln w="12700" cmpd="sng">
                <a:solidFill>
                  <a:sysClr val="windowText" lastClr="000000"/>
                </a:solidFill>
                <a:prstDash val="solid"/>
              </a:ln>
              <a:gradFill>
                <a:gsLst>
                  <a:gs pos="0">
                    <a:schemeClr val="accent4"/>
                  </a:gs>
                  <a:gs pos="4000">
                    <a:schemeClr val="accent4">
                      <a:lumMod val="60000"/>
                      <a:lumOff val="40000"/>
                    </a:schemeClr>
                  </a:gs>
                  <a:gs pos="87000">
                    <a:schemeClr val="accent4">
                      <a:lumMod val="20000"/>
                      <a:lumOff val="80000"/>
                    </a:schemeClr>
                  </a:gs>
                </a:gsLst>
                <a:lin ang="5400000"/>
              </a:gradFill>
              <a:effectLst/>
            </a:rPr>
            <a:t> RIPS SPORTS CARDS BREAK COST ANALYZER</a:t>
          </a:r>
          <a:endParaRPr lang="en-US" sz="3600" b="1" cap="none" spc="0">
            <a:ln w="12700" cmpd="sng">
              <a:solidFill>
                <a:sysClr val="windowText" lastClr="000000"/>
              </a:solidFill>
              <a:prstDash val="solid"/>
            </a:ln>
            <a:gradFill>
              <a:gsLst>
                <a:gs pos="0">
                  <a:schemeClr val="accent4"/>
                </a:gs>
                <a:gs pos="4000">
                  <a:schemeClr val="accent4">
                    <a:lumMod val="60000"/>
                    <a:lumOff val="40000"/>
                  </a:schemeClr>
                </a:gs>
                <a:gs pos="87000">
                  <a:schemeClr val="accent4">
                    <a:lumMod val="20000"/>
                    <a:lumOff val="80000"/>
                  </a:schemeClr>
                </a:gs>
              </a:gsLst>
              <a:lin ang="5400000"/>
            </a:gradFill>
            <a:effectLst/>
          </a:endParaRPr>
        </a:p>
      </xdr:txBody>
    </xdr:sp>
    <xdr:clientData/>
  </xdr:oneCellAnchor>
  <xdr:twoCellAnchor>
    <xdr:from>
      <xdr:col>0</xdr:col>
      <xdr:colOff>108857</xdr:colOff>
      <xdr:row>41</xdr:row>
      <xdr:rowOff>122465</xdr:rowOff>
    </xdr:from>
    <xdr:to>
      <xdr:col>30</xdr:col>
      <xdr:colOff>149678</xdr:colOff>
      <xdr:row>48</xdr:row>
      <xdr:rowOff>27215</xdr:rowOff>
    </xdr:to>
    <xdr:sp macro="" textlink="">
      <xdr:nvSpPr>
        <xdr:cNvPr id="5" name="TextBox 4">
          <a:extLst>
            <a:ext uri="{FF2B5EF4-FFF2-40B4-BE49-F238E27FC236}">
              <a16:creationId xmlns:a16="http://schemas.microsoft.com/office/drawing/2014/main" id="{B13EA2D1-1784-4443-8C7A-6FA3FBDD12AB}"/>
            </a:ext>
          </a:extLst>
        </xdr:cNvPr>
        <xdr:cNvSpPr txBox="1"/>
      </xdr:nvSpPr>
      <xdr:spPr>
        <a:xfrm>
          <a:off x="108857" y="8041822"/>
          <a:ext cx="20955000" cy="1319893"/>
        </a:xfrm>
        <a:prstGeom prst="rect">
          <a:avLst/>
        </a:prstGeom>
        <a:solidFill>
          <a:schemeClr val="bg2">
            <a:lumMod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a:t>The Sports Card Break Calculator spreadsheet is provided "as-is" for informational and educational purposes only. While efforts have been made to ensure the functionality and accuracy of this tool, no guarantees, representations, or warranties of any kind, express or implied, are made regarding the completeness, accuracy, reliability, or suitability of the calculator for any specific purpose. By using this spreadsheet, you acknowledge and agree to the following:</a:t>
          </a:r>
        </a:p>
        <a:p>
          <a:r>
            <a:rPr lang="en-US" b="1"/>
            <a:t>No Guarantees</a:t>
          </a:r>
          <a:r>
            <a:rPr lang="en-US"/>
            <a:t>: The results generated by this calculator are not guaranteed to be accurate or valid.</a:t>
          </a:r>
        </a:p>
        <a:p>
          <a:r>
            <a:rPr lang="en-US" b="1"/>
            <a:t>User Responsibility</a:t>
          </a:r>
          <a:r>
            <a:rPr lang="en-US"/>
            <a:t>: It is your sole responsibility to verify the calculations and ensure that they meet your specific needs.</a:t>
          </a:r>
        </a:p>
        <a:p>
          <a:r>
            <a:rPr lang="en-US" b="1"/>
            <a:t>Held Harmless</a:t>
          </a:r>
          <a:r>
            <a:rPr lang="en-US"/>
            <a:t>: The creator of this spreadsheet is not liable for any errors, inaccuracies, or miscalculations, nor for any decisions or outcomes resulting from its use. You agree to hold the creator harmless from any claims, damages, or liabilities arising from the use or misuse of this tool.</a:t>
          </a:r>
        </a:p>
        <a:p>
          <a:r>
            <a:rPr lang="en-US"/>
            <a:t>If you do not agree to these terms, please refrain from using this spreadsheet. By proceeding, you accept full responsibility for any actions taken based on the information provided.</a:t>
          </a:r>
        </a:p>
        <a:p>
          <a:endParaRPr lang="en-US" sz="1100"/>
        </a:p>
      </xdr:txBody>
    </xdr:sp>
    <xdr:clientData/>
  </xdr:twoCellAnchor>
  <xdr:twoCellAnchor editAs="oneCell">
    <xdr:from>
      <xdr:col>27</xdr:col>
      <xdr:colOff>12224</xdr:colOff>
      <xdr:row>33</xdr:row>
      <xdr:rowOff>65198</xdr:rowOff>
    </xdr:from>
    <xdr:to>
      <xdr:col>28</xdr:col>
      <xdr:colOff>652996</xdr:colOff>
      <xdr:row>39</xdr:row>
      <xdr:rowOff>140201</xdr:rowOff>
    </xdr:to>
    <xdr:pic>
      <xdr:nvPicPr>
        <xdr:cNvPr id="6" name="Picture 5" descr="Hollywood Pro MLB Home Plate – Odeys">
          <a:hlinkClick xmlns:r="http://schemas.openxmlformats.org/officeDocument/2006/relationships" r:id="rId3"/>
          <a:extLst>
            <a:ext uri="{FF2B5EF4-FFF2-40B4-BE49-F238E27FC236}">
              <a16:creationId xmlns:a16="http://schemas.microsoft.com/office/drawing/2014/main" id="{2145C69C-DDF7-47DF-9A6E-8EAB60FA822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559997" y="6524880"/>
          <a:ext cx="1506681" cy="12699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7</xdr:col>
      <xdr:colOff>145673</xdr:colOff>
      <xdr:row>2</xdr:row>
      <xdr:rowOff>78441</xdr:rowOff>
    </xdr:from>
    <xdr:to>
      <xdr:col>25</xdr:col>
      <xdr:colOff>22410</xdr:colOff>
      <xdr:row>35</xdr:row>
      <xdr:rowOff>123264</xdr:rowOff>
    </xdr:to>
    <xdr:graphicFrame macro="">
      <xdr:nvGraphicFramePr>
        <xdr:cNvPr id="2" name="Chart 1">
          <a:extLst>
            <a:ext uri="{FF2B5EF4-FFF2-40B4-BE49-F238E27FC236}">
              <a16:creationId xmlns:a16="http://schemas.microsoft.com/office/drawing/2014/main" id="{EC504DDB-36B3-F522-4D30-BA54BC80B9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392207</xdr:colOff>
      <xdr:row>3</xdr:row>
      <xdr:rowOff>11206</xdr:rowOff>
    </xdr:from>
    <xdr:to>
      <xdr:col>17</xdr:col>
      <xdr:colOff>168089</xdr:colOff>
      <xdr:row>6</xdr:row>
      <xdr:rowOff>8778</xdr:rowOff>
    </xdr:to>
    <xdr:pic>
      <xdr:nvPicPr>
        <xdr:cNvPr id="3" name="Picture 2" descr="NBA Logo and Symbols Representing its Teams">
          <a:extLst>
            <a:ext uri="{FF2B5EF4-FFF2-40B4-BE49-F238E27FC236}">
              <a16:creationId xmlns:a16="http://schemas.microsoft.com/office/drawing/2014/main" id="{325E3BC7-0D42-43CC-B774-2A24D83D0AE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530854" y="414618"/>
          <a:ext cx="986117" cy="580278"/>
        </a:xfrm>
        <a:prstGeom prst="rect">
          <a:avLst/>
        </a:prstGeom>
        <a:noFill/>
        <a:scene3d>
          <a:camera prst="orthographicFront"/>
          <a:lightRig rig="threePt" dir="t"/>
        </a:scene3d>
        <a:sp3d>
          <a:bevelT/>
        </a:sp3d>
        <a:extLst>
          <a:ext uri="{909E8E84-426E-40DD-AFC4-6F175D3DCCD1}">
            <a14:hiddenFill xmlns:a14="http://schemas.microsoft.com/office/drawing/2010/main">
              <a:solidFill>
                <a:srgbClr val="FFFFFF"/>
              </a:solidFill>
            </a14:hiddenFill>
          </a:ext>
        </a:extLst>
      </xdr:spPr>
    </xdr:pic>
    <xdr:clientData/>
  </xdr:twoCellAnchor>
  <xdr:oneCellAnchor>
    <xdr:from>
      <xdr:col>4</xdr:col>
      <xdr:colOff>437029</xdr:colOff>
      <xdr:row>36</xdr:row>
      <xdr:rowOff>44823</xdr:rowOff>
    </xdr:from>
    <xdr:ext cx="14982265" cy="655885"/>
    <xdr:sp macro="" textlink="">
      <xdr:nvSpPr>
        <xdr:cNvPr id="4" name="Rectangle 3">
          <a:extLst>
            <a:ext uri="{FF2B5EF4-FFF2-40B4-BE49-F238E27FC236}">
              <a16:creationId xmlns:a16="http://schemas.microsoft.com/office/drawing/2014/main" id="{17220DAD-448B-4188-9A04-616D49537A5D}"/>
            </a:ext>
          </a:extLst>
        </xdr:cNvPr>
        <xdr:cNvSpPr/>
      </xdr:nvSpPr>
      <xdr:spPr>
        <a:xfrm>
          <a:off x="4426323" y="6757147"/>
          <a:ext cx="14982265" cy="655885"/>
        </a:xfrm>
        <a:prstGeom prst="rect">
          <a:avLst/>
        </a:prstGeom>
        <a:noFill/>
      </xdr:spPr>
      <xdr:txBody>
        <a:bodyPr wrap="square" lIns="91440" tIns="45720" rIns="91440" bIns="45720">
          <a:spAutoFit/>
        </a:bodyPr>
        <a:lstStyle/>
        <a:p>
          <a:pPr algn="ctr"/>
          <a:r>
            <a:rPr lang="en-US" sz="3600" b="1" cap="none" spc="0">
              <a:ln w="12700" cmpd="sng">
                <a:solidFill>
                  <a:sysClr val="windowText" lastClr="000000"/>
                </a:solidFill>
                <a:prstDash val="solid"/>
              </a:ln>
              <a:gradFill>
                <a:gsLst>
                  <a:gs pos="0">
                    <a:schemeClr val="accent4"/>
                  </a:gs>
                  <a:gs pos="4000">
                    <a:schemeClr val="accent4">
                      <a:lumMod val="60000"/>
                      <a:lumOff val="40000"/>
                    </a:schemeClr>
                  </a:gs>
                  <a:gs pos="87000">
                    <a:schemeClr val="accent4">
                      <a:lumMod val="20000"/>
                      <a:lumOff val="80000"/>
                    </a:schemeClr>
                  </a:gs>
                </a:gsLst>
                <a:lin ang="5400000"/>
              </a:gradFill>
              <a:effectLst/>
            </a:rPr>
            <a:t>NEAT</a:t>
          </a:r>
          <a:r>
            <a:rPr lang="en-US" sz="3600" b="1" cap="none" spc="0" baseline="0">
              <a:ln w="12700" cmpd="sng">
                <a:solidFill>
                  <a:sysClr val="windowText" lastClr="000000"/>
                </a:solidFill>
                <a:prstDash val="solid"/>
              </a:ln>
              <a:gradFill>
                <a:gsLst>
                  <a:gs pos="0">
                    <a:schemeClr val="accent4"/>
                  </a:gs>
                  <a:gs pos="4000">
                    <a:schemeClr val="accent4">
                      <a:lumMod val="60000"/>
                      <a:lumOff val="40000"/>
                    </a:schemeClr>
                  </a:gs>
                  <a:gs pos="87000">
                    <a:schemeClr val="accent4">
                      <a:lumMod val="20000"/>
                      <a:lumOff val="80000"/>
                    </a:schemeClr>
                  </a:gs>
                </a:gsLst>
                <a:lin ang="5400000"/>
              </a:gradFill>
              <a:effectLst/>
            </a:rPr>
            <a:t> RIPS SPORTS CARDS BREAK COST ANALYZER</a:t>
          </a:r>
          <a:endParaRPr lang="en-US" sz="3600" b="1" cap="none" spc="0">
            <a:ln w="12700" cmpd="sng">
              <a:solidFill>
                <a:sysClr val="windowText" lastClr="000000"/>
              </a:solidFill>
              <a:prstDash val="solid"/>
            </a:ln>
            <a:gradFill>
              <a:gsLst>
                <a:gs pos="0">
                  <a:schemeClr val="accent4"/>
                </a:gs>
                <a:gs pos="4000">
                  <a:schemeClr val="accent4">
                    <a:lumMod val="60000"/>
                    <a:lumOff val="40000"/>
                  </a:schemeClr>
                </a:gs>
                <a:gs pos="87000">
                  <a:schemeClr val="accent4">
                    <a:lumMod val="20000"/>
                    <a:lumOff val="80000"/>
                  </a:schemeClr>
                </a:gs>
              </a:gsLst>
              <a:lin ang="5400000"/>
            </a:gradFill>
            <a:effectLst/>
          </a:endParaRPr>
        </a:p>
      </xdr:txBody>
    </xdr:sp>
    <xdr:clientData/>
  </xdr:oneCellAnchor>
  <xdr:twoCellAnchor>
    <xdr:from>
      <xdr:col>0</xdr:col>
      <xdr:colOff>176893</xdr:colOff>
      <xdr:row>41</xdr:row>
      <xdr:rowOff>81643</xdr:rowOff>
    </xdr:from>
    <xdr:to>
      <xdr:col>30</xdr:col>
      <xdr:colOff>408214</xdr:colOff>
      <xdr:row>48</xdr:row>
      <xdr:rowOff>68036</xdr:rowOff>
    </xdr:to>
    <xdr:sp macro="" textlink="">
      <xdr:nvSpPr>
        <xdr:cNvPr id="5" name="TextBox 4">
          <a:extLst>
            <a:ext uri="{FF2B5EF4-FFF2-40B4-BE49-F238E27FC236}">
              <a16:creationId xmlns:a16="http://schemas.microsoft.com/office/drawing/2014/main" id="{DA0EB156-7562-4788-BC94-2B5B12B66E25}"/>
            </a:ext>
          </a:extLst>
        </xdr:cNvPr>
        <xdr:cNvSpPr txBox="1"/>
      </xdr:nvSpPr>
      <xdr:spPr>
        <a:xfrm>
          <a:off x="176893" y="7987393"/>
          <a:ext cx="20955000" cy="1319893"/>
        </a:xfrm>
        <a:prstGeom prst="rect">
          <a:avLst/>
        </a:prstGeom>
        <a:solidFill>
          <a:schemeClr val="bg2">
            <a:lumMod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a:t>The Sports Card Break Calculator spreadsheet is provided "as-is" for informational and educational purposes only. While efforts have been made to ensure the functionality and accuracy of this tool, no guarantees, representations, or warranties of any kind, express or implied, are made regarding the completeness, accuracy, reliability, or suitability of the calculator for any specific purpose. By using this spreadsheet, you acknowledge and agree to the following:</a:t>
          </a:r>
        </a:p>
        <a:p>
          <a:r>
            <a:rPr lang="en-US" b="1"/>
            <a:t>No Guarantees</a:t>
          </a:r>
          <a:r>
            <a:rPr lang="en-US"/>
            <a:t>: The results generated by this calculator are not guaranteed to be accurate or valid.</a:t>
          </a:r>
        </a:p>
        <a:p>
          <a:r>
            <a:rPr lang="en-US" b="1"/>
            <a:t>User Responsibility</a:t>
          </a:r>
          <a:r>
            <a:rPr lang="en-US"/>
            <a:t>: It is your sole responsibility to verify the calculations and ensure that they meet your specific needs.</a:t>
          </a:r>
        </a:p>
        <a:p>
          <a:r>
            <a:rPr lang="en-US" b="1"/>
            <a:t>Held Harmless</a:t>
          </a:r>
          <a:r>
            <a:rPr lang="en-US"/>
            <a:t>: The creator of this spreadsheet is not liable for any errors, inaccuracies, or miscalculations, nor for any decisions or outcomes resulting from its use. You agree to hold the creator harmless from any claims, damages, or liabilities arising from the use or misuse of this tool.</a:t>
          </a:r>
        </a:p>
        <a:p>
          <a:r>
            <a:rPr lang="en-US"/>
            <a:t>If you do not agree to these terms, please refrain from using this spreadsheet. By proceeding, you accept full responsibility for any actions taken based on the information provided.</a:t>
          </a:r>
        </a:p>
        <a:p>
          <a:endParaRPr lang="en-US" sz="1100"/>
        </a:p>
      </xdr:txBody>
    </xdr:sp>
    <xdr:clientData/>
  </xdr:twoCellAnchor>
  <xdr:twoCellAnchor editAs="oneCell">
    <xdr:from>
      <xdr:col>27</xdr:col>
      <xdr:colOff>27506</xdr:colOff>
      <xdr:row>33</xdr:row>
      <xdr:rowOff>89647</xdr:rowOff>
    </xdr:from>
    <xdr:to>
      <xdr:col>28</xdr:col>
      <xdr:colOff>702914</xdr:colOff>
      <xdr:row>39</xdr:row>
      <xdr:rowOff>164650</xdr:rowOff>
    </xdr:to>
    <xdr:pic>
      <xdr:nvPicPr>
        <xdr:cNvPr id="6" name="Picture 5" descr="Hollywood Pro MLB Home Plate – Odeys">
          <a:hlinkClick xmlns:r="http://schemas.openxmlformats.org/officeDocument/2006/relationships" r:id="rId3"/>
          <a:extLst>
            <a:ext uri="{FF2B5EF4-FFF2-40B4-BE49-F238E27FC236}">
              <a16:creationId xmlns:a16="http://schemas.microsoft.com/office/drawing/2014/main" id="{CAAAA716-D424-4A2C-9FD2-EB78C3B91DB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436733" y="6532011"/>
          <a:ext cx="1506681" cy="12699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123264</xdr:colOff>
      <xdr:row>2</xdr:row>
      <xdr:rowOff>201704</xdr:rowOff>
    </xdr:from>
    <xdr:to>
      <xdr:col>25</xdr:col>
      <xdr:colOff>0</xdr:colOff>
      <xdr:row>35</xdr:row>
      <xdr:rowOff>134469</xdr:rowOff>
    </xdr:to>
    <xdr:graphicFrame macro="">
      <xdr:nvGraphicFramePr>
        <xdr:cNvPr id="2" name="Chart 1">
          <a:extLst>
            <a:ext uri="{FF2B5EF4-FFF2-40B4-BE49-F238E27FC236}">
              <a16:creationId xmlns:a16="http://schemas.microsoft.com/office/drawing/2014/main" id="{D9579664-5284-44B5-A7D7-88C14CF48C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526676</xdr:colOff>
      <xdr:row>3</xdr:row>
      <xdr:rowOff>112059</xdr:rowOff>
    </xdr:from>
    <xdr:to>
      <xdr:col>16</xdr:col>
      <xdr:colOff>459441</xdr:colOff>
      <xdr:row>6</xdr:row>
      <xdr:rowOff>140540</xdr:rowOff>
    </xdr:to>
    <xdr:pic>
      <xdr:nvPicPr>
        <xdr:cNvPr id="4" name="Picture 3" descr="National Hockey League - Wikipedia">
          <a:extLst>
            <a:ext uri="{FF2B5EF4-FFF2-40B4-BE49-F238E27FC236}">
              <a16:creationId xmlns:a16="http://schemas.microsoft.com/office/drawing/2014/main" id="{0B0825F4-9BBD-425D-ABBC-E3BA7C0EDF3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295529" y="515471"/>
          <a:ext cx="537883" cy="611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425824</xdr:colOff>
      <xdr:row>36</xdr:row>
      <xdr:rowOff>44823</xdr:rowOff>
    </xdr:from>
    <xdr:ext cx="14982265" cy="655885"/>
    <xdr:sp macro="" textlink="">
      <xdr:nvSpPr>
        <xdr:cNvPr id="3" name="Rectangle 2">
          <a:extLst>
            <a:ext uri="{FF2B5EF4-FFF2-40B4-BE49-F238E27FC236}">
              <a16:creationId xmlns:a16="http://schemas.microsoft.com/office/drawing/2014/main" id="{6B8F26EA-9040-45A6-B699-F69C7C513330}"/>
            </a:ext>
          </a:extLst>
        </xdr:cNvPr>
        <xdr:cNvSpPr/>
      </xdr:nvSpPr>
      <xdr:spPr>
        <a:xfrm>
          <a:off x="4772688" y="7076005"/>
          <a:ext cx="14982265" cy="655885"/>
        </a:xfrm>
        <a:prstGeom prst="rect">
          <a:avLst/>
        </a:prstGeom>
        <a:noFill/>
      </xdr:spPr>
      <xdr:txBody>
        <a:bodyPr wrap="square" lIns="91440" tIns="45720" rIns="91440" bIns="45720">
          <a:spAutoFit/>
        </a:bodyPr>
        <a:lstStyle/>
        <a:p>
          <a:pPr algn="ctr"/>
          <a:r>
            <a:rPr lang="en-US" sz="3600" b="1" cap="none" spc="0">
              <a:ln w="12700" cmpd="sng">
                <a:solidFill>
                  <a:sysClr val="windowText" lastClr="000000"/>
                </a:solidFill>
                <a:prstDash val="solid"/>
              </a:ln>
              <a:gradFill>
                <a:gsLst>
                  <a:gs pos="0">
                    <a:schemeClr val="accent4"/>
                  </a:gs>
                  <a:gs pos="4000">
                    <a:schemeClr val="accent4">
                      <a:lumMod val="60000"/>
                      <a:lumOff val="40000"/>
                    </a:schemeClr>
                  </a:gs>
                  <a:gs pos="87000">
                    <a:schemeClr val="accent4">
                      <a:lumMod val="20000"/>
                      <a:lumOff val="80000"/>
                    </a:schemeClr>
                  </a:gs>
                </a:gsLst>
                <a:lin ang="5400000"/>
              </a:gradFill>
              <a:effectLst/>
            </a:rPr>
            <a:t>NEAT</a:t>
          </a:r>
          <a:r>
            <a:rPr lang="en-US" sz="3600" b="1" cap="none" spc="0" baseline="0">
              <a:ln w="12700" cmpd="sng">
                <a:solidFill>
                  <a:sysClr val="windowText" lastClr="000000"/>
                </a:solidFill>
                <a:prstDash val="solid"/>
              </a:ln>
              <a:gradFill>
                <a:gsLst>
                  <a:gs pos="0">
                    <a:schemeClr val="accent4"/>
                  </a:gs>
                  <a:gs pos="4000">
                    <a:schemeClr val="accent4">
                      <a:lumMod val="60000"/>
                      <a:lumOff val="40000"/>
                    </a:schemeClr>
                  </a:gs>
                  <a:gs pos="87000">
                    <a:schemeClr val="accent4">
                      <a:lumMod val="20000"/>
                      <a:lumOff val="80000"/>
                    </a:schemeClr>
                  </a:gs>
                </a:gsLst>
                <a:lin ang="5400000"/>
              </a:gradFill>
              <a:effectLst/>
            </a:rPr>
            <a:t> RIPS SPORTS CARDS BREAK COST ANALYZER</a:t>
          </a:r>
        </a:p>
      </xdr:txBody>
    </xdr:sp>
    <xdr:clientData/>
  </xdr:oneCellAnchor>
  <xdr:twoCellAnchor>
    <xdr:from>
      <xdr:col>0</xdr:col>
      <xdr:colOff>176893</xdr:colOff>
      <xdr:row>42</xdr:row>
      <xdr:rowOff>13607</xdr:rowOff>
    </xdr:from>
    <xdr:to>
      <xdr:col>30</xdr:col>
      <xdr:colOff>176893</xdr:colOff>
      <xdr:row>49</xdr:row>
      <xdr:rowOff>0</xdr:rowOff>
    </xdr:to>
    <xdr:sp macro="" textlink="">
      <xdr:nvSpPr>
        <xdr:cNvPr id="5" name="TextBox 4">
          <a:extLst>
            <a:ext uri="{FF2B5EF4-FFF2-40B4-BE49-F238E27FC236}">
              <a16:creationId xmlns:a16="http://schemas.microsoft.com/office/drawing/2014/main" id="{C0AC8C13-5CC5-48E9-814B-185D0BAED550}"/>
            </a:ext>
          </a:extLst>
        </xdr:cNvPr>
        <xdr:cNvSpPr txBox="1"/>
      </xdr:nvSpPr>
      <xdr:spPr>
        <a:xfrm>
          <a:off x="176893" y="8109857"/>
          <a:ext cx="20955000" cy="1319893"/>
        </a:xfrm>
        <a:prstGeom prst="rect">
          <a:avLst/>
        </a:prstGeom>
        <a:solidFill>
          <a:schemeClr val="bg2">
            <a:lumMod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a:t>The Sports Card Break Calculator spreadsheet is provided "as-is" for informational and educational purposes only. While efforts have been made to ensure the functionality and accuracy of this tool, no guarantees, representations, or warranties of any kind, express or implied, are made regarding the completeness, accuracy, reliability, or suitability of the calculator for any specific purpose. By using this spreadsheet, you acknowledge and agree to the following:</a:t>
          </a:r>
        </a:p>
        <a:p>
          <a:r>
            <a:rPr lang="en-US" b="1"/>
            <a:t>No Guarantees</a:t>
          </a:r>
          <a:r>
            <a:rPr lang="en-US"/>
            <a:t>: The results generated by this calculator are not guaranteed to be accurate or valid.</a:t>
          </a:r>
        </a:p>
        <a:p>
          <a:r>
            <a:rPr lang="en-US" b="1"/>
            <a:t>User Responsibility</a:t>
          </a:r>
          <a:r>
            <a:rPr lang="en-US"/>
            <a:t>: It is your sole responsibility to verify the calculations and ensure that they meet your specific needs.</a:t>
          </a:r>
        </a:p>
        <a:p>
          <a:r>
            <a:rPr lang="en-US" b="1"/>
            <a:t>Held Harmless</a:t>
          </a:r>
          <a:r>
            <a:rPr lang="en-US"/>
            <a:t>: The creator of this spreadsheet is not liable for any errors, inaccuracies, or miscalculations, nor for any decisions or outcomes resulting from its use. You agree to hold the creator harmless from any claims, damages, or liabilities arising from the use or misuse of this tool.</a:t>
          </a:r>
        </a:p>
        <a:p>
          <a:r>
            <a:rPr lang="en-US"/>
            <a:t>If you do not agree to these terms, please refrain from using this spreadsheet. By proceeding, you accept full responsibility for any actions taken based on the information provided.</a:t>
          </a:r>
        </a:p>
        <a:p>
          <a:endParaRPr lang="en-US" sz="1100"/>
        </a:p>
      </xdr:txBody>
    </xdr:sp>
    <xdr:clientData/>
  </xdr:twoCellAnchor>
  <xdr:twoCellAnchor editAs="oneCell">
    <xdr:from>
      <xdr:col>27</xdr:col>
      <xdr:colOff>190500</xdr:colOff>
      <xdr:row>33</xdr:row>
      <xdr:rowOff>138545</xdr:rowOff>
    </xdr:from>
    <xdr:to>
      <xdr:col>28</xdr:col>
      <xdr:colOff>831272</xdr:colOff>
      <xdr:row>39</xdr:row>
      <xdr:rowOff>213548</xdr:rowOff>
    </xdr:to>
    <xdr:pic>
      <xdr:nvPicPr>
        <xdr:cNvPr id="6" name="Picture 5" descr="Hollywood Pro MLB Home Plate – Odeys">
          <a:hlinkClick xmlns:r="http://schemas.openxmlformats.org/officeDocument/2006/relationships" r:id="rId3"/>
          <a:extLst>
            <a:ext uri="{FF2B5EF4-FFF2-40B4-BE49-F238E27FC236}">
              <a16:creationId xmlns:a16="http://schemas.microsoft.com/office/drawing/2014/main" id="{D7214363-0FEC-4468-9432-CFCE9A68A1B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634364" y="6580909"/>
          <a:ext cx="1506681" cy="12699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19</xdr:col>
      <xdr:colOff>493058</xdr:colOff>
      <xdr:row>33</xdr:row>
      <xdr:rowOff>145677</xdr:rowOff>
    </xdr:from>
    <xdr:to>
      <xdr:col>21</xdr:col>
      <xdr:colOff>179295</xdr:colOff>
      <xdr:row>36</xdr:row>
      <xdr:rowOff>79293</xdr:rowOff>
    </xdr:to>
    <xdr:pic>
      <xdr:nvPicPr>
        <xdr:cNvPr id="3" name="Picture 2" descr="NBA Logo and Symbols Representing its Teams">
          <a:extLst>
            <a:ext uri="{FF2B5EF4-FFF2-40B4-BE49-F238E27FC236}">
              <a16:creationId xmlns:a16="http://schemas.microsoft.com/office/drawing/2014/main" id="{6631767C-6541-4632-A77B-3784DE45A36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3940" y="6454589"/>
          <a:ext cx="896471" cy="5275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493060</xdr:colOff>
      <xdr:row>33</xdr:row>
      <xdr:rowOff>112059</xdr:rowOff>
    </xdr:from>
    <xdr:to>
      <xdr:col>10</xdr:col>
      <xdr:colOff>327400</xdr:colOff>
      <xdr:row>36</xdr:row>
      <xdr:rowOff>123266</xdr:rowOff>
    </xdr:to>
    <xdr:pic>
      <xdr:nvPicPr>
        <xdr:cNvPr id="4" name="Picture 3" descr="National Football League - Wikipedia">
          <a:extLst>
            <a:ext uri="{FF2B5EF4-FFF2-40B4-BE49-F238E27FC236}">
              <a16:creationId xmlns:a16="http://schemas.microsoft.com/office/drawing/2014/main" id="{AA17D6CE-E248-47A0-A111-2F4FACB3B49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52766" y="6420971"/>
          <a:ext cx="439458" cy="605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291354</xdr:colOff>
      <xdr:row>34</xdr:row>
      <xdr:rowOff>11207</xdr:rowOff>
    </xdr:from>
    <xdr:to>
      <xdr:col>16</xdr:col>
      <xdr:colOff>119011</xdr:colOff>
      <xdr:row>36</xdr:row>
      <xdr:rowOff>168090</xdr:rowOff>
    </xdr:to>
    <xdr:pic>
      <xdr:nvPicPr>
        <xdr:cNvPr id="5" name="Picture 4" descr="Major League Baseball logo - Wikipedia">
          <a:extLst>
            <a:ext uri="{FF2B5EF4-FFF2-40B4-BE49-F238E27FC236}">
              <a16:creationId xmlns:a16="http://schemas.microsoft.com/office/drawing/2014/main" id="{4CA11C17-8F13-4912-841F-CECDE96959A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376648" y="6510619"/>
          <a:ext cx="1037892" cy="5602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515124</xdr:colOff>
      <xdr:row>2</xdr:row>
      <xdr:rowOff>4722</xdr:rowOff>
    </xdr:from>
    <xdr:to>
      <xdr:col>23</xdr:col>
      <xdr:colOff>483998</xdr:colOff>
      <xdr:row>36</xdr:row>
      <xdr:rowOff>188099</xdr:rowOff>
    </xdr:to>
    <xdr:pic>
      <xdr:nvPicPr>
        <xdr:cNvPr id="6" name="Picture 5">
          <a:extLst>
            <a:ext uri="{FF2B5EF4-FFF2-40B4-BE49-F238E27FC236}">
              <a16:creationId xmlns:a16="http://schemas.microsoft.com/office/drawing/2014/main" id="{5E03F0D0-4620-4517-8DA6-169F8C8C00DF}"/>
            </a:ext>
          </a:extLst>
        </xdr:cNvPr>
        <xdr:cNvPicPr>
          <a:picLocks noChangeAspect="1"/>
        </xdr:cNvPicPr>
      </xdr:nvPicPr>
      <xdr:blipFill>
        <a:blip xmlns:r="http://schemas.openxmlformats.org/officeDocument/2006/relationships" r:embed="rId4"/>
        <a:stretch>
          <a:fillRect/>
        </a:stretch>
      </xdr:blipFill>
      <xdr:spPr>
        <a:xfrm>
          <a:off x="6733588" y="412936"/>
          <a:ext cx="9956517" cy="6701199"/>
        </a:xfrm>
        <a:prstGeom prst="rect">
          <a:avLst/>
        </a:prstGeom>
      </xdr:spPr>
    </xdr:pic>
    <xdr:clientData/>
  </xdr:twoCellAnchor>
  <xdr:twoCellAnchor>
    <xdr:from>
      <xdr:col>0</xdr:col>
      <xdr:colOff>136071</xdr:colOff>
      <xdr:row>40</xdr:row>
      <xdr:rowOff>176893</xdr:rowOff>
    </xdr:from>
    <xdr:to>
      <xdr:col>30</xdr:col>
      <xdr:colOff>204107</xdr:colOff>
      <xdr:row>47</xdr:row>
      <xdr:rowOff>163286</xdr:rowOff>
    </xdr:to>
    <xdr:sp macro="" textlink="">
      <xdr:nvSpPr>
        <xdr:cNvPr id="2" name="TextBox 1">
          <a:extLst>
            <a:ext uri="{FF2B5EF4-FFF2-40B4-BE49-F238E27FC236}">
              <a16:creationId xmlns:a16="http://schemas.microsoft.com/office/drawing/2014/main" id="{7C3F2581-951A-40EF-95EE-0CA9578178D8}"/>
            </a:ext>
          </a:extLst>
        </xdr:cNvPr>
        <xdr:cNvSpPr txBox="1"/>
      </xdr:nvSpPr>
      <xdr:spPr>
        <a:xfrm>
          <a:off x="136071" y="7973786"/>
          <a:ext cx="20955000" cy="1319893"/>
        </a:xfrm>
        <a:prstGeom prst="rect">
          <a:avLst/>
        </a:prstGeom>
        <a:solidFill>
          <a:schemeClr val="bg2">
            <a:lumMod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a:t>The Sports Card Break Calculator spreadsheet is provided "as-is" for informational and educational purposes only. While efforts have been made to ensure the functionality and accuracy of this tool, no guarantees, representations, or warranties of any kind, express or implied, are made regarding the completeness, accuracy, reliability, or suitability of the calculator for any specific purpose. By using this spreadsheet, you acknowledge and agree to the following:</a:t>
          </a:r>
        </a:p>
        <a:p>
          <a:r>
            <a:rPr lang="en-US" b="1"/>
            <a:t>No Guarantees</a:t>
          </a:r>
          <a:r>
            <a:rPr lang="en-US"/>
            <a:t>: The results generated by this calculator are not guaranteed to be accurate or valid.</a:t>
          </a:r>
        </a:p>
        <a:p>
          <a:r>
            <a:rPr lang="en-US" b="1"/>
            <a:t>User Responsibility</a:t>
          </a:r>
          <a:r>
            <a:rPr lang="en-US"/>
            <a:t>: It is your sole responsibility to verify the calculations and ensure that they meet your specific needs.</a:t>
          </a:r>
        </a:p>
        <a:p>
          <a:r>
            <a:rPr lang="en-US" b="1"/>
            <a:t>Held Harmless</a:t>
          </a:r>
          <a:r>
            <a:rPr lang="en-US"/>
            <a:t>: The creator of this spreadsheet is not liable for any errors, inaccuracies, or miscalculations, nor for any decisions or outcomes resulting from its use. You agree to hold the creator harmless from any claims, damages, or liabilities arising from the use or misuse of this tool.</a:t>
          </a:r>
        </a:p>
        <a:p>
          <a:r>
            <a:rPr lang="en-US"/>
            <a:t>If you do not agree to these terms, please refrain from using this spreadsheet. By proceeding, you accept full responsibility for any actions taken based on the information provided.</a:t>
          </a:r>
        </a:p>
        <a:p>
          <a:endParaRPr lang="en-US" sz="1100"/>
        </a:p>
      </xdr:txBody>
    </xdr:sp>
    <xdr:clientData/>
  </xdr:twoCellAnchor>
  <xdr:twoCellAnchor editAs="oneCell">
    <xdr:from>
      <xdr:col>24</xdr:col>
      <xdr:colOff>311728</xdr:colOff>
      <xdr:row>33</xdr:row>
      <xdr:rowOff>155863</xdr:rowOff>
    </xdr:from>
    <xdr:to>
      <xdr:col>27</xdr:col>
      <xdr:colOff>-1</xdr:colOff>
      <xdr:row>39</xdr:row>
      <xdr:rowOff>161593</xdr:rowOff>
    </xdr:to>
    <xdr:pic>
      <xdr:nvPicPr>
        <xdr:cNvPr id="7" name="Picture 6" descr="Hollywood Pro MLB Home Plate – Odeys">
          <a:hlinkClick xmlns:r="http://schemas.openxmlformats.org/officeDocument/2006/relationships" r:id="rId5"/>
          <a:extLst>
            <a:ext uri="{FF2B5EF4-FFF2-40B4-BE49-F238E27FC236}">
              <a16:creationId xmlns:a16="http://schemas.microsoft.com/office/drawing/2014/main" id="{817672BC-9C77-432D-99B8-3A1EB02EF42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7404773" y="6494318"/>
          <a:ext cx="1506681" cy="12699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175933</xdr:colOff>
      <xdr:row>1</xdr:row>
      <xdr:rowOff>168089</xdr:rowOff>
    </xdr:from>
    <xdr:to>
      <xdr:col>5</xdr:col>
      <xdr:colOff>566457</xdr:colOff>
      <xdr:row>5</xdr:row>
      <xdr:rowOff>129686</xdr:rowOff>
    </xdr:to>
    <xdr:pic>
      <xdr:nvPicPr>
        <xdr:cNvPr id="3" name="Picture 2" descr="Neat Rips Sports Cards">
          <a:extLst>
            <a:ext uri="{FF2B5EF4-FFF2-40B4-BE49-F238E27FC236}">
              <a16:creationId xmlns:a16="http://schemas.microsoft.com/office/drawing/2014/main" id="{A8B06FE8-672A-47FB-8282-1841FFC5EB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37462" y="369795"/>
          <a:ext cx="1286995" cy="7235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516031</xdr:colOff>
      <xdr:row>1</xdr:row>
      <xdr:rowOff>112059</xdr:rowOff>
    </xdr:from>
    <xdr:to>
      <xdr:col>2</xdr:col>
      <xdr:colOff>1192307</xdr:colOff>
      <xdr:row>5</xdr:row>
      <xdr:rowOff>73656</xdr:rowOff>
    </xdr:to>
    <xdr:pic>
      <xdr:nvPicPr>
        <xdr:cNvPr id="4" name="Picture 3" descr="Neat Rips Sports Cards">
          <a:extLst>
            <a:ext uri="{FF2B5EF4-FFF2-40B4-BE49-F238E27FC236}">
              <a16:creationId xmlns:a16="http://schemas.microsoft.com/office/drawing/2014/main" id="{907CA2E6-24E5-4F06-B737-E4BEAD0425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1149" y="313765"/>
          <a:ext cx="1281393" cy="7235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2588559</xdr:colOff>
      <xdr:row>2</xdr:row>
      <xdr:rowOff>22412</xdr:rowOff>
    </xdr:from>
    <xdr:ext cx="14982265" cy="655885"/>
    <xdr:sp macro="" textlink="">
      <xdr:nvSpPr>
        <xdr:cNvPr id="5" name="Rectangle 4">
          <a:extLst>
            <a:ext uri="{FF2B5EF4-FFF2-40B4-BE49-F238E27FC236}">
              <a16:creationId xmlns:a16="http://schemas.microsoft.com/office/drawing/2014/main" id="{825D042D-17A8-47EB-92FF-DC42B5EB6377}"/>
            </a:ext>
          </a:extLst>
        </xdr:cNvPr>
        <xdr:cNvSpPr/>
      </xdr:nvSpPr>
      <xdr:spPr>
        <a:xfrm>
          <a:off x="5737412" y="414618"/>
          <a:ext cx="14982265" cy="655885"/>
        </a:xfrm>
        <a:prstGeom prst="rect">
          <a:avLst/>
        </a:prstGeom>
        <a:noFill/>
      </xdr:spPr>
      <xdr:txBody>
        <a:bodyPr wrap="square" lIns="91440" tIns="45720" rIns="91440" bIns="45720">
          <a:spAutoFit/>
        </a:bodyPr>
        <a:lstStyle/>
        <a:p>
          <a:pPr algn="ctr"/>
          <a:r>
            <a:rPr lang="en-US" sz="3600" b="1" cap="none" spc="0">
              <a:ln w="12700" cmpd="sng">
                <a:solidFill>
                  <a:sysClr val="windowText" lastClr="000000"/>
                </a:solidFill>
                <a:prstDash val="solid"/>
              </a:ln>
              <a:gradFill>
                <a:gsLst>
                  <a:gs pos="0">
                    <a:schemeClr val="accent4"/>
                  </a:gs>
                  <a:gs pos="4000">
                    <a:schemeClr val="accent4">
                      <a:lumMod val="60000"/>
                      <a:lumOff val="40000"/>
                    </a:schemeClr>
                  </a:gs>
                  <a:gs pos="87000">
                    <a:schemeClr val="accent4">
                      <a:lumMod val="20000"/>
                      <a:lumOff val="80000"/>
                    </a:schemeClr>
                  </a:gs>
                </a:gsLst>
                <a:lin ang="5400000"/>
              </a:gradFill>
              <a:effectLst/>
            </a:rPr>
            <a:t>NEAT</a:t>
          </a:r>
          <a:r>
            <a:rPr lang="en-US" sz="3600" b="1" cap="none" spc="0" baseline="0">
              <a:ln w="12700" cmpd="sng">
                <a:solidFill>
                  <a:sysClr val="windowText" lastClr="000000"/>
                </a:solidFill>
                <a:prstDash val="solid"/>
              </a:ln>
              <a:gradFill>
                <a:gsLst>
                  <a:gs pos="0">
                    <a:schemeClr val="accent4"/>
                  </a:gs>
                  <a:gs pos="4000">
                    <a:schemeClr val="accent4">
                      <a:lumMod val="60000"/>
                      <a:lumOff val="40000"/>
                    </a:schemeClr>
                  </a:gs>
                  <a:gs pos="87000">
                    <a:schemeClr val="accent4">
                      <a:lumMod val="20000"/>
                      <a:lumOff val="80000"/>
                    </a:schemeClr>
                  </a:gs>
                </a:gsLst>
                <a:lin ang="5400000"/>
              </a:gradFill>
              <a:effectLst/>
            </a:rPr>
            <a:t> RIPS SPORTS CARDS BREAK CALCULATOR</a:t>
          </a:r>
          <a:endParaRPr lang="en-US" sz="3600" b="1" cap="none" spc="0">
            <a:ln w="12700" cmpd="sng">
              <a:solidFill>
                <a:sysClr val="windowText" lastClr="000000"/>
              </a:solidFill>
              <a:prstDash val="solid"/>
            </a:ln>
            <a:gradFill>
              <a:gsLst>
                <a:gs pos="0">
                  <a:schemeClr val="accent4"/>
                </a:gs>
                <a:gs pos="4000">
                  <a:schemeClr val="accent4">
                    <a:lumMod val="60000"/>
                    <a:lumOff val="40000"/>
                  </a:schemeClr>
                </a:gs>
                <a:gs pos="87000">
                  <a:schemeClr val="accent4">
                    <a:lumMod val="20000"/>
                    <a:lumOff val="80000"/>
                  </a:schemeClr>
                </a:gs>
              </a:gsLst>
              <a:lin ang="5400000"/>
            </a:gradFill>
            <a:effectLst/>
          </a:endParaRPr>
        </a:p>
      </xdr:txBody>
    </xdr:sp>
    <xdr:clientData/>
  </xdr:oneCellAnchor>
  <xdr:twoCellAnchor editAs="oneCell">
    <xdr:from>
      <xdr:col>7</xdr:col>
      <xdr:colOff>89647</xdr:colOff>
      <xdr:row>7</xdr:row>
      <xdr:rowOff>20459</xdr:rowOff>
    </xdr:from>
    <xdr:to>
      <xdr:col>21</xdr:col>
      <xdr:colOff>474236</xdr:colOff>
      <xdr:row>42</xdr:row>
      <xdr:rowOff>11207</xdr:rowOff>
    </xdr:to>
    <xdr:pic>
      <xdr:nvPicPr>
        <xdr:cNvPr id="6" name="Picture 5">
          <a:extLst>
            <a:ext uri="{FF2B5EF4-FFF2-40B4-BE49-F238E27FC236}">
              <a16:creationId xmlns:a16="http://schemas.microsoft.com/office/drawing/2014/main" id="{7C0FB7DE-7E37-23D2-23BD-EB531E797064}"/>
            </a:ext>
          </a:extLst>
        </xdr:cNvPr>
        <xdr:cNvPicPr>
          <a:picLocks noChangeAspect="1"/>
        </xdr:cNvPicPr>
      </xdr:nvPicPr>
      <xdr:blipFill>
        <a:blip xmlns:r="http://schemas.openxmlformats.org/officeDocument/2006/relationships" r:embed="rId2"/>
        <a:stretch>
          <a:fillRect/>
        </a:stretch>
      </xdr:blipFill>
      <xdr:spPr>
        <a:xfrm>
          <a:off x="8157882" y="1387577"/>
          <a:ext cx="10369030" cy="7050454"/>
        </a:xfrm>
        <a:prstGeom prst="rect">
          <a:avLst/>
        </a:prstGeom>
      </xdr:spPr>
    </xdr:pic>
    <xdr:clientData/>
  </xdr:twoCellAnchor>
  <xdr:twoCellAnchor>
    <xdr:from>
      <xdr:col>0</xdr:col>
      <xdr:colOff>190499</xdr:colOff>
      <xdr:row>44</xdr:row>
      <xdr:rowOff>136072</xdr:rowOff>
    </xdr:from>
    <xdr:to>
      <xdr:col>25</xdr:col>
      <xdr:colOff>530678</xdr:colOff>
      <xdr:row>51</xdr:row>
      <xdr:rowOff>122465</xdr:rowOff>
    </xdr:to>
    <xdr:sp macro="" textlink="">
      <xdr:nvSpPr>
        <xdr:cNvPr id="2" name="TextBox 1">
          <a:extLst>
            <a:ext uri="{FF2B5EF4-FFF2-40B4-BE49-F238E27FC236}">
              <a16:creationId xmlns:a16="http://schemas.microsoft.com/office/drawing/2014/main" id="{4252B98F-598F-4231-B51D-F99A6DA88612}"/>
            </a:ext>
          </a:extLst>
        </xdr:cNvPr>
        <xdr:cNvSpPr txBox="1"/>
      </xdr:nvSpPr>
      <xdr:spPr>
        <a:xfrm>
          <a:off x="190499" y="9048751"/>
          <a:ext cx="20955000" cy="1319893"/>
        </a:xfrm>
        <a:prstGeom prst="rect">
          <a:avLst/>
        </a:prstGeom>
        <a:solidFill>
          <a:schemeClr val="bg2">
            <a:lumMod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a:t>The Sports Card Break Calculator spreadsheet is provided "as-is" for informational and educational purposes only. While efforts have been made to ensure the functionality and accuracy of this tool, no guarantees, representations, or warranties of any kind, express or implied, are made regarding the completeness, accuracy, reliability, or suitability of the calculator for any specific purpose. By using this spreadsheet, you acknowledge and agree to the following:</a:t>
          </a:r>
        </a:p>
        <a:p>
          <a:r>
            <a:rPr lang="en-US" b="1"/>
            <a:t>No Guarantees</a:t>
          </a:r>
          <a:r>
            <a:rPr lang="en-US"/>
            <a:t>: The results generated by this calculator are not guaranteed to be accurate or valid.</a:t>
          </a:r>
        </a:p>
        <a:p>
          <a:r>
            <a:rPr lang="en-US" b="1"/>
            <a:t>User Responsibility</a:t>
          </a:r>
          <a:r>
            <a:rPr lang="en-US"/>
            <a:t>: It is your sole responsibility to verify the calculations and ensure that they meet your specific needs.</a:t>
          </a:r>
        </a:p>
        <a:p>
          <a:r>
            <a:rPr lang="en-US" b="1"/>
            <a:t>Held Harmless</a:t>
          </a:r>
          <a:r>
            <a:rPr lang="en-US"/>
            <a:t>: The creator of this spreadsheet is not liable for any errors, inaccuracies, or miscalculations, nor for any decisions or outcomes resulting from its use. You agree to hold the creator harmless from any claims, damages, or liabilities arising from the use or misuse of this tool.</a:t>
          </a:r>
        </a:p>
        <a:p>
          <a:r>
            <a:rPr lang="en-US"/>
            <a:t>If you do not agree to these terms, please refrain from using this spreadsheet. By proceeding, you accept full responsibility for any actions taken based on the information provided.</a:t>
          </a:r>
        </a:p>
        <a:p>
          <a:endParaRPr lang="en-US" sz="1100"/>
        </a:p>
      </xdr:txBody>
    </xdr:sp>
    <xdr:clientData/>
  </xdr:twoCellAnchor>
  <xdr:twoCellAnchor editAs="oneCell">
    <xdr:from>
      <xdr:col>22</xdr:col>
      <xdr:colOff>346364</xdr:colOff>
      <xdr:row>36</xdr:row>
      <xdr:rowOff>138545</xdr:rowOff>
    </xdr:from>
    <xdr:to>
      <xdr:col>25</xdr:col>
      <xdr:colOff>34636</xdr:colOff>
      <xdr:row>42</xdr:row>
      <xdr:rowOff>161593</xdr:rowOff>
    </xdr:to>
    <xdr:pic>
      <xdr:nvPicPr>
        <xdr:cNvPr id="7" name="Picture 6" descr="Hollywood Pro MLB Home Plate – Odeys">
          <a:hlinkClick xmlns:r="http://schemas.openxmlformats.org/officeDocument/2006/relationships" r:id="rId3"/>
          <a:extLst>
            <a:ext uri="{FF2B5EF4-FFF2-40B4-BE49-F238E27FC236}">
              <a16:creationId xmlns:a16="http://schemas.microsoft.com/office/drawing/2014/main" id="{2821F6BF-90B9-459B-9B57-5356A1B8884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15364" y="7550727"/>
          <a:ext cx="1506681" cy="12699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12</xdr:col>
      <xdr:colOff>523875</xdr:colOff>
      <xdr:row>1</xdr:row>
      <xdr:rowOff>28575</xdr:rowOff>
    </xdr:from>
    <xdr:to>
      <xdr:col>27</xdr:col>
      <xdr:colOff>409215</xdr:colOff>
      <xdr:row>34</xdr:row>
      <xdr:rowOff>43143</xdr:rowOff>
    </xdr:to>
    <xdr:pic>
      <xdr:nvPicPr>
        <xdr:cNvPr id="2" name="Picture 1">
          <a:extLst>
            <a:ext uri="{FF2B5EF4-FFF2-40B4-BE49-F238E27FC236}">
              <a16:creationId xmlns:a16="http://schemas.microsoft.com/office/drawing/2014/main" id="{40D65BE0-3B52-4649-940B-FCA31B00E410}"/>
            </a:ext>
          </a:extLst>
        </xdr:cNvPr>
        <xdr:cNvPicPr>
          <a:picLocks noChangeAspect="1"/>
        </xdr:cNvPicPr>
      </xdr:nvPicPr>
      <xdr:blipFill>
        <a:blip xmlns:r="http://schemas.openxmlformats.org/officeDocument/2006/relationships" r:embed="rId1"/>
        <a:stretch>
          <a:fillRect/>
        </a:stretch>
      </xdr:blipFill>
      <xdr:spPr>
        <a:xfrm>
          <a:off x="7839075" y="219075"/>
          <a:ext cx="9029340" cy="6310593"/>
        </a:xfrm>
        <a:prstGeom prst="rect">
          <a:avLst/>
        </a:prstGeom>
        <a:scene3d>
          <a:camera prst="orthographicFront"/>
          <a:lightRig rig="threePt" dir="t"/>
        </a:scene3d>
        <a:sp3d>
          <a:bevelT/>
        </a:sp3d>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Q:\TRT\__.xlsm" TargetMode="External"/><Relationship Id="rId1" Type="http://schemas.openxmlformats.org/officeDocument/2006/relationships/externalLinkPath" Target="file:///Q:\TRT\__.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WS_Input"/>
      <sheetName val="Sheet_Data"/>
      <sheetName val="TRT_Formulas"/>
      <sheetName val="Facility_Courses FILTER"/>
      <sheetName val="Facility_Courses"/>
      <sheetName val="CMS_INPUT"/>
    </sheetNames>
    <sheetDataSet>
      <sheetData sheetId="0" refreshError="1"/>
      <sheetData sheetId="1">
        <row r="6">
          <cell r="I6" t="str">
            <v>September (2024)</v>
          </cell>
          <cell r="R6" t="str">
            <v>Not Applicable</v>
          </cell>
          <cell r="T6" t="str">
            <v>Not Applicable</v>
          </cell>
        </row>
        <row r="7">
          <cell r="A7" t="str">
            <v>SAIC Instructor</v>
          </cell>
          <cell r="C7" t="str">
            <v>Classroom</v>
          </cell>
          <cell r="I7" t="str">
            <v>October (2024)</v>
          </cell>
          <cell r="L7" t="str">
            <v>BFI</v>
          </cell>
          <cell r="R7" t="str">
            <v>Proficiency</v>
          </cell>
          <cell r="T7" t="str">
            <v>II</v>
          </cell>
        </row>
        <row r="8">
          <cell r="A8" t="str">
            <v>SAIC RPO</v>
          </cell>
          <cell r="C8" t="str">
            <v>Simulation</v>
          </cell>
          <cell r="I8" t="str">
            <v>November (2024)</v>
          </cell>
          <cell r="L8" t="str">
            <v>EUG</v>
          </cell>
          <cell r="R8" t="str">
            <v>Recertification</v>
          </cell>
          <cell r="T8" t="str">
            <v>III</v>
          </cell>
        </row>
        <row r="9">
          <cell r="A9" t="str">
            <v>Government Employee</v>
          </cell>
          <cell r="I9" t="str">
            <v>December (2024)</v>
          </cell>
          <cell r="L9" t="str">
            <v>GEG</v>
          </cell>
          <cell r="R9" t="str">
            <v>Remedial</v>
          </cell>
          <cell r="T9" t="str">
            <v>IV</v>
          </cell>
        </row>
        <row r="10">
          <cell r="I10" t="str">
            <v>January (2025)</v>
          </cell>
          <cell r="L10" t="str">
            <v>HIO</v>
          </cell>
          <cell r="R10" t="str">
            <v>Qualification</v>
          </cell>
          <cell r="T10" t="str">
            <v>V</v>
          </cell>
        </row>
        <row r="11">
          <cell r="I11" t="str">
            <v>February (2025)</v>
          </cell>
          <cell r="L11" t="str">
            <v>MWH</v>
          </cell>
          <cell r="T11" t="str">
            <v>VI</v>
          </cell>
        </row>
        <row r="12">
          <cell r="I12" t="str">
            <v>March (2025)</v>
          </cell>
          <cell r="L12" t="str">
            <v>PAE</v>
          </cell>
          <cell r="T12" t="str">
            <v>VII</v>
          </cell>
        </row>
        <row r="13">
          <cell r="I13" t="str">
            <v>April (2025)</v>
          </cell>
          <cell r="L13" t="str">
            <v>P80</v>
          </cell>
        </row>
        <row r="14">
          <cell r="L14" t="str">
            <v>PDX</v>
          </cell>
        </row>
        <row r="15">
          <cell r="L15" t="str">
            <v>PSC</v>
          </cell>
        </row>
        <row r="16">
          <cell r="L16" t="str">
            <v>S46</v>
          </cell>
        </row>
        <row r="17">
          <cell r="G17" t="str">
            <v>DEV</v>
          </cell>
          <cell r="L17" t="str">
            <v>SEA</v>
          </cell>
          <cell r="Q17" t="e">
            <v>#VALUE!</v>
          </cell>
          <cell r="R17" t="e">
            <v>#VALUE!</v>
          </cell>
          <cell r="S17" t="e">
            <v>#VALUE!</v>
          </cell>
          <cell r="T17" t="e">
            <v>#VALUE!</v>
          </cell>
          <cell r="U17" t="e">
            <v>#VALUE!</v>
          </cell>
          <cell r="V17" t="e">
            <v>#VALUE!</v>
          </cell>
        </row>
        <row r="18">
          <cell r="G18" t="str">
            <v>CPC-IT</v>
          </cell>
          <cell r="L18" t="str">
            <v>BOI</v>
          </cell>
        </row>
        <row r="19">
          <cell r="G19" t="str">
            <v>CPC</v>
          </cell>
          <cell r="L19" t="str">
            <v>TWF</v>
          </cell>
        </row>
        <row r="20">
          <cell r="G20" t="str">
            <v>FLM-IT</v>
          </cell>
        </row>
        <row r="21">
          <cell r="G21" t="str">
            <v>FLM</v>
          </cell>
        </row>
      </sheetData>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A899E-EA1C-4AD4-9539-FDB5F0913408}">
  <sheetPr codeName="Sheet1"/>
  <dimension ref="B1:V45"/>
  <sheetViews>
    <sheetView tabSelected="1" zoomScale="70" zoomScaleNormal="70" workbookViewId="0"/>
  </sheetViews>
  <sheetFormatPr defaultRowHeight="15" x14ac:dyDescent="0.25"/>
  <cols>
    <col min="3" max="3" width="37.28515625" customWidth="1"/>
    <col min="4" max="5" width="9.5703125" style="1" customWidth="1"/>
    <col min="6" max="6" width="12.140625" style="1" customWidth="1"/>
    <col min="7" max="7" width="8.85546875" customWidth="1"/>
    <col min="8" max="8" width="36.85546875" customWidth="1"/>
    <col min="9" max="10" width="8.85546875" customWidth="1"/>
    <col min="11" max="11" width="11.42578125" customWidth="1"/>
    <col min="13" max="13" width="36.42578125" customWidth="1"/>
    <col min="14" max="15" width="8.5703125" style="1" customWidth="1"/>
    <col min="16" max="16" width="12" style="1" customWidth="1"/>
    <col min="18" max="18" width="38" customWidth="1"/>
    <col min="19" max="19" width="9.5703125" customWidth="1"/>
    <col min="21" max="21" width="11.42578125" customWidth="1"/>
  </cols>
  <sheetData>
    <row r="1" spans="2:22" ht="15.75" thickBot="1" x14ac:dyDescent="0.3"/>
    <row r="2" spans="2:22" ht="48.75" customHeight="1" thickBot="1" x14ac:dyDescent="0.3">
      <c r="B2" s="155"/>
      <c r="C2" s="157"/>
      <c r="D2" s="157"/>
      <c r="E2" s="157"/>
      <c r="F2" s="157"/>
      <c r="G2" s="156"/>
      <c r="H2" s="157"/>
      <c r="I2" s="157"/>
      <c r="J2" s="157"/>
      <c r="K2" s="157"/>
      <c r="L2" s="156"/>
      <c r="M2" s="9"/>
      <c r="N2" s="27"/>
      <c r="O2" s="27"/>
      <c r="P2" s="27"/>
      <c r="Q2" s="156"/>
      <c r="R2" s="157"/>
      <c r="S2" s="157"/>
      <c r="T2" s="157"/>
      <c r="U2" s="157"/>
      <c r="V2" s="154"/>
    </row>
    <row r="3" spans="2:22" s="1" customFormat="1" ht="15.75" thickBot="1" x14ac:dyDescent="0.3">
      <c r="B3" s="145"/>
      <c r="C3" s="5" t="s">
        <v>92</v>
      </c>
      <c r="D3" s="5" t="s">
        <v>98</v>
      </c>
      <c r="E3" s="5" t="s">
        <v>99</v>
      </c>
      <c r="F3" s="13" t="s">
        <v>100</v>
      </c>
      <c r="G3" s="146"/>
      <c r="H3" s="5" t="s">
        <v>93</v>
      </c>
      <c r="I3" s="5" t="s">
        <v>98</v>
      </c>
      <c r="J3" s="5" t="s">
        <v>101</v>
      </c>
      <c r="K3" s="13" t="s">
        <v>100</v>
      </c>
      <c r="L3" s="146"/>
      <c r="M3" s="5" t="s">
        <v>94</v>
      </c>
      <c r="N3" s="5" t="s">
        <v>98</v>
      </c>
      <c r="O3" s="5" t="s">
        <v>99</v>
      </c>
      <c r="P3" s="13" t="s">
        <v>100</v>
      </c>
      <c r="Q3" s="146"/>
      <c r="R3" s="5" t="s">
        <v>116</v>
      </c>
      <c r="S3" s="5" t="s">
        <v>98</v>
      </c>
      <c r="T3" s="5" t="s">
        <v>99</v>
      </c>
      <c r="U3" s="13" t="s">
        <v>100</v>
      </c>
      <c r="V3" s="147"/>
    </row>
    <row r="4" spans="2:22" x14ac:dyDescent="0.25">
      <c r="B4" s="145"/>
      <c r="C4" s="19" t="s">
        <v>164</v>
      </c>
      <c r="D4" s="58">
        <v>1</v>
      </c>
      <c r="E4" s="59">
        <v>0</v>
      </c>
      <c r="F4" s="60">
        <f t="shared" ref="F4:F13" si="0">SUM(D4*E4)</f>
        <v>0</v>
      </c>
      <c r="G4" s="146"/>
      <c r="H4" s="19" t="s">
        <v>165</v>
      </c>
      <c r="I4" s="67">
        <v>1</v>
      </c>
      <c r="J4" s="68">
        <v>0</v>
      </c>
      <c r="K4" s="69">
        <f>SUM(I4*J4)</f>
        <v>0</v>
      </c>
      <c r="L4" s="146"/>
      <c r="M4" s="19" t="s">
        <v>165</v>
      </c>
      <c r="N4" s="58">
        <v>1</v>
      </c>
      <c r="O4" s="59">
        <v>0</v>
      </c>
      <c r="P4" s="69">
        <f>SUM(N4*O4)</f>
        <v>0</v>
      </c>
      <c r="Q4" s="146"/>
      <c r="R4" s="19" t="s">
        <v>164</v>
      </c>
      <c r="S4" s="58">
        <v>1</v>
      </c>
      <c r="T4" s="59">
        <v>0</v>
      </c>
      <c r="U4" s="74">
        <f>SUM(S4*T4)</f>
        <v>0</v>
      </c>
      <c r="V4" s="147"/>
    </row>
    <row r="5" spans="2:22" x14ac:dyDescent="0.25">
      <c r="B5" s="145"/>
      <c r="C5" s="20"/>
      <c r="D5" s="61"/>
      <c r="E5" s="62">
        <v>0</v>
      </c>
      <c r="F5" s="63">
        <f t="shared" si="0"/>
        <v>0</v>
      </c>
      <c r="G5" s="146"/>
      <c r="H5" s="20"/>
      <c r="I5" s="70"/>
      <c r="J5" s="71">
        <v>0</v>
      </c>
      <c r="K5" s="69">
        <v>0</v>
      </c>
      <c r="L5" s="146"/>
      <c r="M5" s="20"/>
      <c r="N5" s="61"/>
      <c r="O5" s="62">
        <v>0</v>
      </c>
      <c r="P5" s="69">
        <v>0</v>
      </c>
      <c r="Q5" s="146"/>
      <c r="R5" s="20"/>
      <c r="S5" s="61"/>
      <c r="T5" s="62">
        <v>0</v>
      </c>
      <c r="U5" s="75">
        <v>0</v>
      </c>
      <c r="V5" s="147"/>
    </row>
    <row r="6" spans="2:22" x14ac:dyDescent="0.25">
      <c r="B6" s="145"/>
      <c r="C6" s="20"/>
      <c r="D6" s="61"/>
      <c r="E6" s="62">
        <v>0</v>
      </c>
      <c r="F6" s="63">
        <f t="shared" si="0"/>
        <v>0</v>
      </c>
      <c r="G6" s="146"/>
      <c r="H6" s="20"/>
      <c r="I6" s="70"/>
      <c r="J6" s="71">
        <v>0</v>
      </c>
      <c r="K6" s="69">
        <v>0</v>
      </c>
      <c r="L6" s="146"/>
      <c r="M6" s="20"/>
      <c r="N6" s="61"/>
      <c r="O6" s="62">
        <v>0</v>
      </c>
      <c r="P6" s="69">
        <v>0</v>
      </c>
      <c r="Q6" s="146"/>
      <c r="R6" s="20"/>
      <c r="S6" s="61"/>
      <c r="T6" s="62">
        <v>0</v>
      </c>
      <c r="U6" s="75">
        <v>0</v>
      </c>
      <c r="V6" s="147"/>
    </row>
    <row r="7" spans="2:22" x14ac:dyDescent="0.25">
      <c r="B7" s="145"/>
      <c r="C7" s="20"/>
      <c r="D7" s="61"/>
      <c r="E7" s="62">
        <v>0</v>
      </c>
      <c r="F7" s="63">
        <f t="shared" si="0"/>
        <v>0</v>
      </c>
      <c r="G7" s="146"/>
      <c r="H7" s="20"/>
      <c r="I7" s="70"/>
      <c r="J7" s="71">
        <v>0</v>
      </c>
      <c r="K7" s="69">
        <v>0</v>
      </c>
      <c r="L7" s="146"/>
      <c r="M7" s="20"/>
      <c r="N7" s="61"/>
      <c r="O7" s="62">
        <v>0</v>
      </c>
      <c r="P7" s="69">
        <v>0</v>
      </c>
      <c r="Q7" s="146"/>
      <c r="R7" s="20"/>
      <c r="S7" s="61"/>
      <c r="T7" s="62">
        <v>0</v>
      </c>
      <c r="U7" s="75">
        <v>0</v>
      </c>
      <c r="V7" s="147"/>
    </row>
    <row r="8" spans="2:22" x14ac:dyDescent="0.25">
      <c r="B8" s="145"/>
      <c r="C8" s="20"/>
      <c r="D8" s="61"/>
      <c r="E8" s="62">
        <v>0</v>
      </c>
      <c r="F8" s="63">
        <f t="shared" si="0"/>
        <v>0</v>
      </c>
      <c r="G8" s="146"/>
      <c r="H8" s="20"/>
      <c r="I8" s="70"/>
      <c r="J8" s="71">
        <v>0</v>
      </c>
      <c r="K8" s="69">
        <v>0</v>
      </c>
      <c r="L8" s="146"/>
      <c r="M8" s="20"/>
      <c r="N8" s="61"/>
      <c r="O8" s="62">
        <v>0</v>
      </c>
      <c r="P8" s="69">
        <v>0</v>
      </c>
      <c r="Q8" s="146"/>
      <c r="R8" s="20"/>
      <c r="S8" s="61"/>
      <c r="T8" s="62">
        <v>0</v>
      </c>
      <c r="U8" s="75">
        <v>0</v>
      </c>
      <c r="V8" s="147"/>
    </row>
    <row r="9" spans="2:22" x14ac:dyDescent="0.25">
      <c r="B9" s="145"/>
      <c r="C9" s="20"/>
      <c r="D9" s="61"/>
      <c r="E9" s="62">
        <v>0</v>
      </c>
      <c r="F9" s="63">
        <f t="shared" si="0"/>
        <v>0</v>
      </c>
      <c r="G9" s="146"/>
      <c r="H9" s="20"/>
      <c r="I9" s="70"/>
      <c r="J9" s="71">
        <v>0</v>
      </c>
      <c r="K9" s="69">
        <v>0</v>
      </c>
      <c r="L9" s="146"/>
      <c r="M9" s="20"/>
      <c r="N9" s="61"/>
      <c r="O9" s="62">
        <v>0</v>
      </c>
      <c r="P9" s="69">
        <v>0</v>
      </c>
      <c r="Q9" s="146"/>
      <c r="R9" s="20"/>
      <c r="S9" s="61"/>
      <c r="T9" s="62">
        <v>0</v>
      </c>
      <c r="U9" s="75">
        <v>0</v>
      </c>
      <c r="V9" s="147"/>
    </row>
    <row r="10" spans="2:22" x14ac:dyDescent="0.25">
      <c r="B10" s="145"/>
      <c r="C10" s="20"/>
      <c r="D10" s="61"/>
      <c r="E10" s="62">
        <v>0</v>
      </c>
      <c r="F10" s="63">
        <f t="shared" si="0"/>
        <v>0</v>
      </c>
      <c r="G10" s="146"/>
      <c r="H10" s="20"/>
      <c r="I10" s="70"/>
      <c r="J10" s="71">
        <v>0</v>
      </c>
      <c r="K10" s="69">
        <v>0</v>
      </c>
      <c r="L10" s="146"/>
      <c r="M10" s="20"/>
      <c r="N10" s="61"/>
      <c r="O10" s="62">
        <v>0</v>
      </c>
      <c r="P10" s="69">
        <v>0</v>
      </c>
      <c r="Q10" s="146"/>
      <c r="R10" s="20"/>
      <c r="S10" s="61"/>
      <c r="T10" s="62">
        <v>0</v>
      </c>
      <c r="U10" s="75">
        <v>0</v>
      </c>
      <c r="V10" s="147"/>
    </row>
    <row r="11" spans="2:22" x14ac:dyDescent="0.25">
      <c r="B11" s="145"/>
      <c r="C11" s="20"/>
      <c r="D11" s="61"/>
      <c r="E11" s="62">
        <v>0</v>
      </c>
      <c r="F11" s="63">
        <f t="shared" si="0"/>
        <v>0</v>
      </c>
      <c r="G11" s="146"/>
      <c r="H11" s="20"/>
      <c r="I11" s="70"/>
      <c r="J11" s="71">
        <v>0</v>
      </c>
      <c r="K11" s="69">
        <v>0</v>
      </c>
      <c r="L11" s="146"/>
      <c r="M11" s="20"/>
      <c r="N11" s="61"/>
      <c r="O11" s="62">
        <v>0</v>
      </c>
      <c r="P11" s="69">
        <v>0</v>
      </c>
      <c r="Q11" s="146"/>
      <c r="R11" s="20"/>
      <c r="S11" s="61"/>
      <c r="T11" s="62">
        <v>0</v>
      </c>
      <c r="U11" s="75">
        <v>0</v>
      </c>
      <c r="V11" s="147"/>
    </row>
    <row r="12" spans="2:22" x14ac:dyDescent="0.25">
      <c r="B12" s="145"/>
      <c r="C12" s="20"/>
      <c r="D12" s="61"/>
      <c r="E12" s="62">
        <v>0</v>
      </c>
      <c r="F12" s="63">
        <f t="shared" si="0"/>
        <v>0</v>
      </c>
      <c r="G12" s="146"/>
      <c r="H12" s="20"/>
      <c r="I12" s="70"/>
      <c r="J12" s="71">
        <v>0</v>
      </c>
      <c r="K12" s="69">
        <v>0</v>
      </c>
      <c r="L12" s="146"/>
      <c r="M12" s="20"/>
      <c r="N12" s="61"/>
      <c r="O12" s="62">
        <v>0</v>
      </c>
      <c r="P12" s="69">
        <v>0</v>
      </c>
      <c r="Q12" s="146"/>
      <c r="R12" s="20"/>
      <c r="S12" s="61"/>
      <c r="T12" s="62">
        <v>0</v>
      </c>
      <c r="U12" s="75">
        <v>0</v>
      </c>
      <c r="V12" s="147"/>
    </row>
    <row r="13" spans="2:22" ht="15.75" thickBot="1" x14ac:dyDescent="0.3">
      <c r="B13" s="145"/>
      <c r="C13" s="21"/>
      <c r="D13" s="64"/>
      <c r="E13" s="65">
        <v>0</v>
      </c>
      <c r="F13" s="66">
        <f t="shared" si="0"/>
        <v>0</v>
      </c>
      <c r="G13" s="146"/>
      <c r="H13" s="21"/>
      <c r="I13" s="72"/>
      <c r="J13" s="73">
        <v>0</v>
      </c>
      <c r="K13" s="69">
        <v>0</v>
      </c>
      <c r="L13" s="146"/>
      <c r="M13" s="21"/>
      <c r="N13" s="64"/>
      <c r="O13" s="65">
        <v>0</v>
      </c>
      <c r="P13" s="69">
        <v>0</v>
      </c>
      <c r="Q13" s="146"/>
      <c r="R13" s="21"/>
      <c r="S13" s="64"/>
      <c r="T13" s="65">
        <v>0</v>
      </c>
      <c r="U13" s="76">
        <v>0</v>
      </c>
      <c r="V13" s="147"/>
    </row>
    <row r="14" spans="2:22" x14ac:dyDescent="0.25">
      <c r="B14" s="145"/>
      <c r="C14" s="8" t="s">
        <v>2</v>
      </c>
      <c r="D14" s="27"/>
      <c r="E14" s="24"/>
      <c r="F14" s="163">
        <f>SUM(F4:F13)</f>
        <v>0</v>
      </c>
      <c r="G14" s="146"/>
      <c r="H14" s="8" t="s">
        <v>2</v>
      </c>
      <c r="I14" s="10"/>
      <c r="J14" s="17"/>
      <c r="K14" s="161">
        <f>SUM(K4:K13)</f>
        <v>0</v>
      </c>
      <c r="L14" s="146"/>
      <c r="M14" s="8" t="s">
        <v>2</v>
      </c>
      <c r="N14" s="24"/>
      <c r="O14" s="29"/>
      <c r="P14" s="161">
        <f>SUM(P4:P13)</f>
        <v>0</v>
      </c>
      <c r="Q14" s="146"/>
      <c r="R14" s="8" t="s">
        <v>2</v>
      </c>
      <c r="S14" s="24"/>
      <c r="T14" s="29"/>
      <c r="U14" s="161">
        <f>SUM(U4:U13)</f>
        <v>0</v>
      </c>
      <c r="V14" s="147"/>
    </row>
    <row r="15" spans="2:22" ht="15.75" thickBot="1" x14ac:dyDescent="0.3">
      <c r="B15" s="145"/>
      <c r="C15" s="6"/>
      <c r="D15" s="28"/>
      <c r="E15" s="25"/>
      <c r="F15" s="161"/>
      <c r="G15" s="146"/>
      <c r="H15" s="6"/>
      <c r="I15" s="7"/>
      <c r="J15" s="16"/>
      <c r="K15" s="162"/>
      <c r="L15" s="146"/>
      <c r="M15" s="11"/>
      <c r="N15" s="26"/>
      <c r="O15" s="30"/>
      <c r="P15" s="162"/>
      <c r="Q15" s="146"/>
      <c r="R15" s="11"/>
      <c r="S15" s="26"/>
      <c r="T15" s="30"/>
      <c r="U15" s="162"/>
      <c r="V15" s="147"/>
    </row>
    <row r="16" spans="2:22" x14ac:dyDescent="0.25">
      <c r="B16" s="145"/>
      <c r="C16" s="8" t="s">
        <v>167</v>
      </c>
      <c r="D16" s="24"/>
      <c r="E16" s="24"/>
      <c r="F16" s="163">
        <f>SUM(F14 *0.2)</f>
        <v>0</v>
      </c>
      <c r="G16" s="146"/>
      <c r="H16" s="8" t="s">
        <v>167</v>
      </c>
      <c r="I16" s="10"/>
      <c r="J16" s="14"/>
      <c r="K16" s="163">
        <f>SUM(K14 *0.2)</f>
        <v>0</v>
      </c>
      <c r="L16" s="146"/>
      <c r="M16" s="23" t="s">
        <v>167</v>
      </c>
      <c r="N16" s="28"/>
      <c r="O16" s="31"/>
      <c r="P16" s="163">
        <f>SUM(P14 *0.2)</f>
        <v>0</v>
      </c>
      <c r="Q16" s="146"/>
      <c r="R16" s="23" t="s">
        <v>167</v>
      </c>
      <c r="S16" s="28"/>
      <c r="T16" s="31"/>
      <c r="U16" s="163">
        <f>SUM(U14 *0.2)</f>
        <v>0</v>
      </c>
      <c r="V16" s="147"/>
    </row>
    <row r="17" spans="2:22" ht="15.75" thickBot="1" x14ac:dyDescent="0.3">
      <c r="B17" s="145"/>
      <c r="C17" s="11"/>
      <c r="D17" s="26"/>
      <c r="E17" s="26"/>
      <c r="F17" s="162"/>
      <c r="G17" s="146"/>
      <c r="H17" s="11"/>
      <c r="I17" s="12"/>
      <c r="J17" s="15"/>
      <c r="K17" s="162"/>
      <c r="L17" s="146"/>
      <c r="M17" s="11"/>
      <c r="N17" s="26"/>
      <c r="O17" s="30"/>
      <c r="P17" s="162"/>
      <c r="Q17" s="146"/>
      <c r="R17" s="11"/>
      <c r="S17" s="26"/>
      <c r="T17" s="30"/>
      <c r="U17" s="162"/>
      <c r="V17" s="147"/>
    </row>
    <row r="18" spans="2:22" ht="15.75" thickBot="1" x14ac:dyDescent="0.3">
      <c r="B18" s="145"/>
      <c r="C18" s="97" t="s">
        <v>166</v>
      </c>
      <c r="D18" s="98">
        <v>32</v>
      </c>
      <c r="E18" s="99">
        <v>7</v>
      </c>
      <c r="F18" s="84">
        <f>SUM(D18*E18)</f>
        <v>224</v>
      </c>
      <c r="G18" s="146"/>
      <c r="H18" s="97" t="s">
        <v>166</v>
      </c>
      <c r="I18" s="98">
        <v>32</v>
      </c>
      <c r="J18" s="99">
        <v>7</v>
      </c>
      <c r="K18" s="84">
        <f>SUM(I18*J18)</f>
        <v>224</v>
      </c>
      <c r="L18" s="146"/>
      <c r="M18" s="97" t="s">
        <v>166</v>
      </c>
      <c r="N18" s="98">
        <v>32</v>
      </c>
      <c r="O18" s="99">
        <v>7</v>
      </c>
      <c r="P18" s="84">
        <f>SUM(N18*O18)</f>
        <v>224</v>
      </c>
      <c r="Q18" s="146"/>
      <c r="R18" s="97" t="s">
        <v>166</v>
      </c>
      <c r="S18" s="98">
        <v>32</v>
      </c>
      <c r="T18" s="99">
        <v>7</v>
      </c>
      <c r="U18" s="84">
        <f>SUM(S18*T18)</f>
        <v>224</v>
      </c>
      <c r="V18" s="147"/>
    </row>
    <row r="19" spans="2:22" ht="15.75" thickBot="1" x14ac:dyDescent="0.3">
      <c r="B19" s="145"/>
      <c r="C19" s="151" t="s">
        <v>149</v>
      </c>
      <c r="D19" s="152"/>
      <c r="E19" s="153"/>
      <c r="F19" s="78">
        <v>0</v>
      </c>
      <c r="G19" s="146"/>
      <c r="H19" s="151" t="s">
        <v>149</v>
      </c>
      <c r="I19" s="152"/>
      <c r="J19" s="153"/>
      <c r="K19" s="78">
        <v>0</v>
      </c>
      <c r="L19" s="146"/>
      <c r="M19" s="151" t="s">
        <v>149</v>
      </c>
      <c r="N19" s="152"/>
      <c r="O19" s="153"/>
      <c r="P19" s="79">
        <v>0</v>
      </c>
      <c r="Q19" s="146"/>
      <c r="R19" s="151" t="s">
        <v>149</v>
      </c>
      <c r="S19" s="152"/>
      <c r="T19" s="153"/>
      <c r="U19" s="79">
        <v>0</v>
      </c>
      <c r="V19" s="147"/>
    </row>
    <row r="20" spans="2:22" ht="15.75" thickBot="1" x14ac:dyDescent="0.3">
      <c r="B20" s="145"/>
      <c r="C20" s="158" t="s">
        <v>40</v>
      </c>
      <c r="D20" s="159"/>
      <c r="E20" s="160"/>
      <c r="F20" s="141">
        <f>SUM(F14,F16,F17, F18,-F19)</f>
        <v>224</v>
      </c>
      <c r="G20" s="146"/>
      <c r="H20" s="158" t="s">
        <v>40</v>
      </c>
      <c r="I20" s="159"/>
      <c r="J20" s="160"/>
      <c r="K20" s="142">
        <f>SUM(K14,K16,K17, K18,-K19)</f>
        <v>224</v>
      </c>
      <c r="L20" s="146"/>
      <c r="M20" s="158" t="s">
        <v>40</v>
      </c>
      <c r="N20" s="159"/>
      <c r="O20" s="160"/>
      <c r="P20" s="143">
        <f>SUM(P14,P16,P17, P18,-P19)</f>
        <v>224</v>
      </c>
      <c r="Q20" s="146"/>
      <c r="R20" s="158" t="s">
        <v>40</v>
      </c>
      <c r="S20" s="159"/>
      <c r="T20" s="160"/>
      <c r="U20" s="143">
        <f>SUM(U14,U16,U17,U18,-U19)</f>
        <v>224</v>
      </c>
      <c r="V20" s="147"/>
    </row>
    <row r="21" spans="2:22" x14ac:dyDescent="0.25">
      <c r="B21" s="145"/>
      <c r="C21" s="146"/>
      <c r="D21" s="146"/>
      <c r="E21" s="146"/>
      <c r="F21" s="146"/>
      <c r="G21" s="146"/>
      <c r="H21" s="146"/>
      <c r="I21" s="146"/>
      <c r="J21" s="146"/>
      <c r="K21" s="146"/>
      <c r="L21" s="146"/>
      <c r="M21" s="146"/>
      <c r="N21" s="146"/>
      <c r="O21" s="146"/>
      <c r="P21" s="146"/>
      <c r="Q21" s="146"/>
      <c r="R21" s="146"/>
      <c r="S21" s="146"/>
      <c r="T21" s="146"/>
      <c r="U21" s="146"/>
      <c r="V21" s="147"/>
    </row>
    <row r="22" spans="2:22" x14ac:dyDescent="0.25">
      <c r="B22" s="145"/>
      <c r="C22" s="146"/>
      <c r="D22" s="146"/>
      <c r="E22" s="146"/>
      <c r="F22" s="146"/>
      <c r="G22" s="146"/>
      <c r="H22" s="146"/>
      <c r="I22" s="146"/>
      <c r="J22" s="146"/>
      <c r="K22" s="146"/>
      <c r="L22" s="146"/>
      <c r="M22" s="146"/>
      <c r="N22" s="146"/>
      <c r="O22" s="146"/>
      <c r="P22" s="146"/>
      <c r="Q22" s="146"/>
      <c r="R22" s="146"/>
      <c r="S22" s="146"/>
      <c r="T22" s="146"/>
      <c r="U22" s="146"/>
      <c r="V22" s="147"/>
    </row>
    <row r="23" spans="2:22" x14ac:dyDescent="0.25">
      <c r="B23" s="145"/>
      <c r="C23" s="146"/>
      <c r="D23" s="146"/>
      <c r="E23" s="146"/>
      <c r="F23" s="146"/>
      <c r="G23" s="146"/>
      <c r="H23" s="146"/>
      <c r="I23" s="146"/>
      <c r="J23" s="146"/>
      <c r="K23" s="146"/>
      <c r="L23" s="146"/>
      <c r="M23" s="146"/>
      <c r="N23" s="146"/>
      <c r="O23" s="146"/>
      <c r="P23" s="146"/>
      <c r="Q23" s="146"/>
      <c r="R23" s="146"/>
      <c r="S23" s="146"/>
      <c r="T23" s="146"/>
      <c r="U23" s="146"/>
      <c r="V23" s="147"/>
    </row>
    <row r="24" spans="2:22" x14ac:dyDescent="0.25">
      <c r="B24" s="145"/>
      <c r="C24" s="146"/>
      <c r="D24" s="146"/>
      <c r="E24" s="146"/>
      <c r="F24" s="146"/>
      <c r="G24" s="146"/>
      <c r="H24" s="146"/>
      <c r="I24" s="146"/>
      <c r="J24" s="146"/>
      <c r="K24" s="146"/>
      <c r="L24" s="146"/>
      <c r="M24" s="146"/>
      <c r="N24" s="146"/>
      <c r="O24" s="146"/>
      <c r="P24" s="146"/>
      <c r="Q24" s="146"/>
      <c r="R24" s="146"/>
      <c r="S24" s="146"/>
      <c r="T24" s="146"/>
      <c r="U24" s="146"/>
      <c r="V24" s="147"/>
    </row>
    <row r="25" spans="2:22" x14ac:dyDescent="0.25">
      <c r="B25" s="145"/>
      <c r="C25" s="146"/>
      <c r="D25" s="146"/>
      <c r="E25" s="146"/>
      <c r="F25" s="146"/>
      <c r="G25" s="146"/>
      <c r="H25" s="146"/>
      <c r="I25" s="146"/>
      <c r="J25" s="146"/>
      <c r="K25" s="146"/>
      <c r="L25" s="146"/>
      <c r="M25" s="146"/>
      <c r="N25" s="146"/>
      <c r="O25" s="146"/>
      <c r="P25" s="146"/>
      <c r="Q25" s="146"/>
      <c r="R25" s="146"/>
      <c r="S25" s="146"/>
      <c r="T25" s="146"/>
      <c r="U25" s="146"/>
      <c r="V25" s="147"/>
    </row>
    <row r="26" spans="2:22" x14ac:dyDescent="0.25">
      <c r="B26" s="145"/>
      <c r="C26" s="146"/>
      <c r="D26" s="146"/>
      <c r="E26" s="146"/>
      <c r="F26" s="146"/>
      <c r="G26" s="146"/>
      <c r="H26" s="146"/>
      <c r="I26" s="146"/>
      <c r="J26" s="146"/>
      <c r="K26" s="146"/>
      <c r="L26" s="146"/>
      <c r="M26" s="146"/>
      <c r="N26" s="146"/>
      <c r="O26" s="146"/>
      <c r="P26" s="146"/>
      <c r="Q26" s="146"/>
      <c r="R26" s="146"/>
      <c r="S26" s="146"/>
      <c r="T26" s="146"/>
      <c r="U26" s="146"/>
      <c r="V26" s="147"/>
    </row>
    <row r="27" spans="2:22" x14ac:dyDescent="0.25">
      <c r="B27" s="145"/>
      <c r="C27" s="146"/>
      <c r="D27" s="146"/>
      <c r="E27" s="146"/>
      <c r="F27" s="146"/>
      <c r="G27" s="146"/>
      <c r="H27" s="146"/>
      <c r="I27" s="146"/>
      <c r="J27" s="146"/>
      <c r="K27" s="146"/>
      <c r="L27" s="146"/>
      <c r="M27" s="146"/>
      <c r="N27" s="146"/>
      <c r="O27" s="146"/>
      <c r="P27" s="146"/>
      <c r="Q27" s="146"/>
      <c r="R27" s="146"/>
      <c r="S27" s="146"/>
      <c r="T27" s="146"/>
      <c r="U27" s="146"/>
      <c r="V27" s="147"/>
    </row>
    <row r="28" spans="2:22" x14ac:dyDescent="0.25">
      <c r="B28" s="145"/>
      <c r="C28" s="146"/>
      <c r="D28" s="146"/>
      <c r="E28" s="146"/>
      <c r="F28" s="146"/>
      <c r="G28" s="146"/>
      <c r="H28" s="146"/>
      <c r="I28" s="146"/>
      <c r="J28" s="146"/>
      <c r="K28" s="146"/>
      <c r="L28" s="146"/>
      <c r="M28" s="146"/>
      <c r="N28" s="146"/>
      <c r="O28" s="146"/>
      <c r="P28" s="146"/>
      <c r="Q28" s="146"/>
      <c r="R28" s="146"/>
      <c r="S28" s="146"/>
      <c r="T28" s="146"/>
      <c r="U28" s="146"/>
      <c r="V28" s="147"/>
    </row>
    <row r="29" spans="2:22" x14ac:dyDescent="0.25">
      <c r="B29" s="145"/>
      <c r="C29" s="146"/>
      <c r="D29" s="146"/>
      <c r="E29" s="146"/>
      <c r="F29" s="146"/>
      <c r="G29" s="146"/>
      <c r="H29" s="146"/>
      <c r="I29" s="146"/>
      <c r="J29" s="146"/>
      <c r="K29" s="146"/>
      <c r="L29" s="146"/>
      <c r="M29" s="146"/>
      <c r="N29" s="146"/>
      <c r="O29" s="146"/>
      <c r="P29" s="146"/>
      <c r="Q29" s="146"/>
      <c r="R29" s="146"/>
      <c r="S29" s="146"/>
      <c r="T29" s="146"/>
      <c r="U29" s="146"/>
      <c r="V29" s="147"/>
    </row>
    <row r="30" spans="2:22" ht="15.75" thickBot="1" x14ac:dyDescent="0.3">
      <c r="B30" s="148"/>
      <c r="C30" s="149"/>
      <c r="D30" s="149"/>
      <c r="E30" s="149"/>
      <c r="F30" s="149"/>
      <c r="G30" s="149"/>
      <c r="H30" s="149"/>
      <c r="I30" s="149"/>
      <c r="J30" s="149"/>
      <c r="K30" s="149"/>
      <c r="L30" s="149"/>
      <c r="M30" s="149"/>
      <c r="N30" s="149"/>
      <c r="O30" s="149"/>
      <c r="P30" s="149"/>
      <c r="Q30" s="149"/>
      <c r="R30" s="149"/>
      <c r="S30" s="149"/>
      <c r="T30" s="149"/>
      <c r="U30" s="149"/>
      <c r="V30" s="150"/>
    </row>
    <row r="31" spans="2:22" ht="15.75" thickBot="1" x14ac:dyDescent="0.3">
      <c r="S31" s="4"/>
      <c r="T31" s="4"/>
    </row>
    <row r="32" spans="2:22" x14ac:dyDescent="0.25">
      <c r="B32" s="102"/>
      <c r="C32" s="103"/>
      <c r="D32" s="104"/>
      <c r="E32" s="104"/>
      <c r="F32" s="104"/>
      <c r="G32" s="103"/>
      <c r="H32" s="103"/>
      <c r="I32" s="103"/>
      <c r="J32" s="103"/>
      <c r="K32" s="103"/>
      <c r="L32" s="103"/>
      <c r="M32" s="103"/>
      <c r="N32" s="104"/>
      <c r="O32" s="104"/>
      <c r="P32" s="104"/>
      <c r="Q32" s="103"/>
      <c r="R32" s="103"/>
      <c r="S32" s="103"/>
      <c r="T32" s="103"/>
      <c r="U32" s="103"/>
      <c r="V32" s="105"/>
    </row>
    <row r="33" spans="2:22" x14ac:dyDescent="0.25">
      <c r="B33" s="6"/>
      <c r="C33" s="7"/>
      <c r="D33" s="25"/>
      <c r="E33" s="25"/>
      <c r="F33" s="25"/>
      <c r="G33" s="7"/>
      <c r="H33" s="7"/>
      <c r="I33" s="7"/>
      <c r="J33" s="7"/>
      <c r="K33" s="7"/>
      <c r="L33" s="7"/>
      <c r="M33" s="7"/>
      <c r="N33" s="25"/>
      <c r="O33" s="25"/>
      <c r="P33" s="25"/>
      <c r="Q33" s="7"/>
      <c r="R33" s="7"/>
      <c r="S33" s="7"/>
      <c r="T33" s="7"/>
      <c r="U33" s="7"/>
      <c r="V33" s="16"/>
    </row>
    <row r="34" spans="2:22" x14ac:dyDescent="0.25">
      <c r="B34" s="6"/>
      <c r="C34" s="7"/>
      <c r="D34" s="25"/>
      <c r="E34" s="25"/>
      <c r="F34" s="25"/>
      <c r="G34" s="7"/>
      <c r="H34" s="7"/>
      <c r="I34" s="7"/>
      <c r="J34" s="7"/>
      <c r="K34" s="7"/>
      <c r="L34" s="7"/>
      <c r="M34" s="7"/>
      <c r="N34" s="25"/>
      <c r="O34" s="25"/>
      <c r="P34" s="25"/>
      <c r="Q34" s="7"/>
      <c r="R34" s="7"/>
      <c r="S34" s="7"/>
      <c r="T34" s="7"/>
      <c r="U34" s="7"/>
      <c r="V34" s="16"/>
    </row>
    <row r="35" spans="2:22" x14ac:dyDescent="0.25">
      <c r="B35" s="6"/>
      <c r="C35" s="7"/>
      <c r="D35" s="25"/>
      <c r="E35" s="25"/>
      <c r="F35" s="25"/>
      <c r="G35" s="7"/>
      <c r="H35" s="7"/>
      <c r="I35" s="7"/>
      <c r="J35" s="7"/>
      <c r="K35" s="7"/>
      <c r="L35" s="7"/>
      <c r="M35" s="7"/>
      <c r="N35" s="25"/>
      <c r="O35" s="25"/>
      <c r="P35" s="25"/>
      <c r="Q35" s="7"/>
      <c r="R35" s="7"/>
      <c r="S35" s="7"/>
      <c r="T35" s="7"/>
      <c r="U35" s="7"/>
      <c r="V35" s="16"/>
    </row>
    <row r="36" spans="2:22" x14ac:dyDescent="0.25">
      <c r="B36" s="6"/>
      <c r="C36" s="7"/>
      <c r="D36" s="25"/>
      <c r="E36" s="25"/>
      <c r="F36" s="25"/>
      <c r="G36" s="7"/>
      <c r="H36" s="7"/>
      <c r="I36" s="7"/>
      <c r="J36" s="7"/>
      <c r="K36" s="7"/>
      <c r="L36" s="7"/>
      <c r="M36" s="7"/>
      <c r="N36" s="25"/>
      <c r="O36" s="25"/>
      <c r="P36" s="25"/>
      <c r="Q36" s="7"/>
      <c r="R36" s="7"/>
      <c r="S36" s="7"/>
      <c r="T36" s="7"/>
      <c r="U36" s="7"/>
      <c r="V36" s="16"/>
    </row>
    <row r="37" spans="2:22" x14ac:dyDescent="0.25">
      <c r="B37" s="6"/>
      <c r="C37" s="7"/>
      <c r="D37" s="25"/>
      <c r="E37" s="25"/>
      <c r="F37" s="25"/>
      <c r="G37" s="7"/>
      <c r="H37" s="7"/>
      <c r="I37" s="7"/>
      <c r="J37" s="7"/>
      <c r="K37" s="7"/>
      <c r="L37" s="7"/>
      <c r="M37" s="7"/>
      <c r="N37" s="25"/>
      <c r="O37" s="25"/>
      <c r="P37" s="25"/>
      <c r="Q37" s="7"/>
      <c r="R37" s="7"/>
      <c r="S37" s="7"/>
      <c r="T37" s="7"/>
      <c r="U37" s="7"/>
      <c r="V37" s="16"/>
    </row>
    <row r="38" spans="2:22" ht="15.75" thickBot="1" x14ac:dyDescent="0.3">
      <c r="B38" s="11"/>
      <c r="C38" s="12"/>
      <c r="D38" s="26"/>
      <c r="E38" s="26"/>
      <c r="F38" s="26"/>
      <c r="G38" s="12"/>
      <c r="H38" s="12"/>
      <c r="I38" s="12"/>
      <c r="J38" s="12"/>
      <c r="K38" s="12"/>
      <c r="L38" s="12"/>
      <c r="M38" s="12"/>
      <c r="N38" s="26"/>
      <c r="O38" s="26"/>
      <c r="P38" s="26"/>
      <c r="Q38" s="12"/>
      <c r="R38" s="12"/>
      <c r="S38" s="12"/>
      <c r="T38" s="12"/>
      <c r="U38" s="12"/>
      <c r="V38" s="15"/>
    </row>
    <row r="39" spans="2:22" x14ac:dyDescent="0.25">
      <c r="S39" s="4"/>
      <c r="T39" s="4"/>
    </row>
    <row r="40" spans="2:22" x14ac:dyDescent="0.25">
      <c r="S40" s="4"/>
      <c r="T40" s="4"/>
    </row>
    <row r="41" spans="2:22" x14ac:dyDescent="0.25">
      <c r="S41" s="4"/>
      <c r="T41" s="4"/>
    </row>
    <row r="42" spans="2:22" x14ac:dyDescent="0.25">
      <c r="S42" s="4"/>
      <c r="T42" s="4"/>
    </row>
    <row r="43" spans="2:22" x14ac:dyDescent="0.25">
      <c r="S43" s="4"/>
      <c r="T43" s="4"/>
    </row>
    <row r="44" spans="2:22" x14ac:dyDescent="0.25">
      <c r="S44" s="4"/>
      <c r="T44" s="4"/>
    </row>
    <row r="45" spans="2:22" x14ac:dyDescent="0.25">
      <c r="S45" s="4"/>
      <c r="T45" s="4"/>
    </row>
  </sheetData>
  <mergeCells count="25">
    <mergeCell ref="F14:F15"/>
    <mergeCell ref="F16:F17"/>
    <mergeCell ref="R2:U2"/>
    <mergeCell ref="U16:U17"/>
    <mergeCell ref="R20:T20"/>
    <mergeCell ref="P14:P15"/>
    <mergeCell ref="P16:P17"/>
    <mergeCell ref="K14:K15"/>
    <mergeCell ref="K16:K17"/>
    <mergeCell ref="B21:V30"/>
    <mergeCell ref="H19:J19"/>
    <mergeCell ref="C19:E19"/>
    <mergeCell ref="M19:O19"/>
    <mergeCell ref="R19:T19"/>
    <mergeCell ref="V2:V20"/>
    <mergeCell ref="B2:B20"/>
    <mergeCell ref="G2:G20"/>
    <mergeCell ref="C2:F2"/>
    <mergeCell ref="H2:K2"/>
    <mergeCell ref="L2:L20"/>
    <mergeCell ref="Q2:Q20"/>
    <mergeCell ref="H20:J20"/>
    <mergeCell ref="C20:E20"/>
    <mergeCell ref="M20:O20"/>
    <mergeCell ref="U14:U15"/>
  </mergeCells>
  <dataValidations count="4">
    <dataValidation allowBlank="1" showInputMessage="1" showErrorMessage="1" prompt="Enter Product type here" sqref="C4" xr:uid="{1F88D961-B126-4A7E-A940-E2AF990DE607}"/>
    <dataValidation allowBlank="1" showInputMessage="1" showErrorMessage="1" prompt="Product Quantity" sqref="D4" xr:uid="{B9643961-3BB5-4397-B03D-1929A51AA054}"/>
    <dataValidation allowBlank="1" showInputMessage="1" showErrorMessage="1" prompt="Price per unit" sqref="E4" xr:uid="{6D2B8DD5-800A-4BB2-A128-473466DCD54E}"/>
    <dataValidation allowBlank="1" showInputMessage="1" showErrorMessage="1" prompt="Current Margin is set at +20%" sqref="C16" xr:uid="{409C50B1-14B2-4B08-B4D4-D0BBD62839BD}"/>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257E6-B311-487B-85DC-8CF709B48322}">
  <sheetPr codeName="Sheet2"/>
  <dimension ref="B2:AC42"/>
  <sheetViews>
    <sheetView zoomScale="55" zoomScaleNormal="55" workbookViewId="0"/>
  </sheetViews>
  <sheetFormatPr defaultRowHeight="15" x14ac:dyDescent="0.25"/>
  <cols>
    <col min="3" max="3" width="31.42578125" customWidth="1"/>
    <col min="4" max="4" width="16.85546875" style="1" customWidth="1"/>
    <col min="5" max="5" width="9.140625" style="1"/>
    <col min="7" max="7" width="10.140625" customWidth="1"/>
    <col min="25" max="25" width="9.140625" customWidth="1"/>
    <col min="28" max="28" width="10.28515625" style="1" customWidth="1"/>
    <col min="29" max="29" width="16.140625" style="1" customWidth="1"/>
  </cols>
  <sheetData>
    <row r="2" spans="2:29" ht="15.75" thickBot="1" x14ac:dyDescent="0.3"/>
    <row r="3" spans="2:29" ht="15.75" customHeight="1" thickBot="1" x14ac:dyDescent="0.3">
      <c r="B3" s="102"/>
      <c r="C3" s="103"/>
      <c r="D3" s="104"/>
      <c r="E3" s="104"/>
      <c r="F3" s="103"/>
      <c r="G3" s="103"/>
      <c r="H3" s="103"/>
      <c r="I3" s="103"/>
      <c r="J3" s="103"/>
      <c r="K3" s="103"/>
      <c r="L3" s="103"/>
      <c r="M3" s="103"/>
      <c r="N3" s="103"/>
      <c r="O3" s="103"/>
      <c r="P3" s="103"/>
      <c r="Q3" s="103"/>
      <c r="R3" s="103"/>
      <c r="S3" s="103"/>
      <c r="T3" s="103"/>
      <c r="U3" s="103"/>
      <c r="V3" s="103"/>
      <c r="W3" s="103"/>
      <c r="X3" s="103"/>
      <c r="Y3" s="103"/>
      <c r="Z3" s="105"/>
      <c r="AB3" s="122"/>
      <c r="AC3" s="122"/>
    </row>
    <row r="4" spans="2:29" ht="15.75" thickBot="1" x14ac:dyDescent="0.3">
      <c r="B4" s="6"/>
      <c r="C4" s="45" t="s">
        <v>3</v>
      </c>
      <c r="D4" s="13" t="s">
        <v>0</v>
      </c>
      <c r="E4" s="13" t="s">
        <v>1</v>
      </c>
      <c r="F4" s="45" t="s">
        <v>37</v>
      </c>
      <c r="G4" s="45" t="s">
        <v>38</v>
      </c>
      <c r="H4" s="7"/>
      <c r="I4" s="7"/>
      <c r="J4" s="7"/>
      <c r="K4" s="7"/>
      <c r="L4" s="7"/>
      <c r="M4" s="7"/>
      <c r="N4" s="7"/>
      <c r="O4" s="7"/>
      <c r="P4" s="7"/>
      <c r="Q4" s="7"/>
      <c r="R4" s="7"/>
      <c r="S4" s="7"/>
      <c r="T4" s="7"/>
      <c r="U4" s="7"/>
      <c r="V4" s="7"/>
      <c r="W4" s="7"/>
      <c r="X4" s="7"/>
      <c r="Y4" s="7"/>
      <c r="Z4" s="16"/>
      <c r="AB4" s="121"/>
      <c r="AC4" s="121"/>
    </row>
    <row r="5" spans="2:29" x14ac:dyDescent="0.25">
      <c r="B5" s="6"/>
      <c r="C5" s="38" t="s">
        <v>8</v>
      </c>
      <c r="D5" s="46">
        <v>0.02</v>
      </c>
      <c r="E5" s="47">
        <f>NFL!D5 * Pricing!F20</f>
        <v>4.4800000000000004</v>
      </c>
      <c r="F5" s="48">
        <f t="shared" ref="F5:F36" si="0">CEILING(E5, 1) - 0</f>
        <v>5</v>
      </c>
      <c r="G5" s="49">
        <f t="shared" ref="G5:G36" si="1">SUM(F5-E5)</f>
        <v>0.51999999999999957</v>
      </c>
      <c r="H5" s="7"/>
      <c r="I5" s="7"/>
      <c r="J5" s="7"/>
      <c r="K5" s="7"/>
      <c r="L5" s="7"/>
      <c r="M5" s="7"/>
      <c r="N5" s="7"/>
      <c r="O5" s="7"/>
      <c r="P5" s="7"/>
      <c r="Q5" s="7"/>
      <c r="R5" s="7"/>
      <c r="S5" s="7"/>
      <c r="T5" s="7"/>
      <c r="U5" s="7"/>
      <c r="V5" s="7"/>
      <c r="W5" s="7"/>
      <c r="X5" s="7"/>
      <c r="Y5" s="7"/>
      <c r="Z5" s="16"/>
      <c r="AB5" s="121"/>
      <c r="AC5" s="121"/>
    </row>
    <row r="6" spans="2:29" x14ac:dyDescent="0.25">
      <c r="B6" s="6"/>
      <c r="C6" s="40" t="s">
        <v>9</v>
      </c>
      <c r="D6" s="50">
        <v>7.0000000000000007E-2</v>
      </c>
      <c r="E6" s="51">
        <f>NFL!D6 * Pricing!F20</f>
        <v>15.680000000000001</v>
      </c>
      <c r="F6" s="52">
        <f t="shared" si="0"/>
        <v>16</v>
      </c>
      <c r="G6" s="53">
        <f t="shared" si="1"/>
        <v>0.31999999999999851</v>
      </c>
      <c r="H6" s="7"/>
      <c r="I6" s="7"/>
      <c r="J6" s="7"/>
      <c r="K6" s="7"/>
      <c r="L6" s="7"/>
      <c r="M6" s="7"/>
      <c r="N6" s="7"/>
      <c r="O6" s="7"/>
      <c r="P6" s="7"/>
      <c r="Q6" s="7"/>
      <c r="R6" s="7"/>
      <c r="S6" s="7"/>
      <c r="T6" s="7"/>
      <c r="U6" s="7"/>
      <c r="V6" s="7"/>
      <c r="W6" s="7"/>
      <c r="X6" s="7"/>
      <c r="Y6" s="7"/>
      <c r="Z6" s="16"/>
      <c r="AB6" s="121"/>
      <c r="AC6" s="121"/>
    </row>
    <row r="7" spans="2:29" ht="15.75" thickBot="1" x14ac:dyDescent="0.3">
      <c r="B7" s="6"/>
      <c r="C7" s="40" t="s">
        <v>10</v>
      </c>
      <c r="D7" s="50">
        <v>0.04</v>
      </c>
      <c r="E7" s="51">
        <f>NFL!D7 * Pricing!F20</f>
        <v>8.9600000000000009</v>
      </c>
      <c r="F7" s="52">
        <f t="shared" si="0"/>
        <v>9</v>
      </c>
      <c r="G7" s="53">
        <f t="shared" si="1"/>
        <v>3.9999999999999147E-2</v>
      </c>
      <c r="H7" s="7"/>
      <c r="I7" s="7"/>
      <c r="J7" s="7"/>
      <c r="K7" s="7"/>
      <c r="L7" s="7"/>
      <c r="M7" s="7"/>
      <c r="N7" s="7"/>
      <c r="O7" s="7"/>
      <c r="P7" s="7"/>
      <c r="Q7" s="7"/>
      <c r="R7" s="7"/>
      <c r="S7" s="7"/>
      <c r="T7" s="7"/>
      <c r="U7" s="7"/>
      <c r="V7" s="7"/>
      <c r="W7" s="7"/>
      <c r="X7" s="7"/>
      <c r="Y7" s="7"/>
      <c r="Z7" s="16"/>
      <c r="AB7" s="121"/>
      <c r="AC7" s="121"/>
    </row>
    <row r="8" spans="2:29" x14ac:dyDescent="0.25">
      <c r="B8" s="6"/>
      <c r="C8" s="40" t="s">
        <v>11</v>
      </c>
      <c r="D8" s="50">
        <v>0.03</v>
      </c>
      <c r="E8" s="51">
        <f>NFL!D8 * Pricing!F20</f>
        <v>6.72</v>
      </c>
      <c r="F8" s="52">
        <f t="shared" si="0"/>
        <v>7</v>
      </c>
      <c r="G8" s="53">
        <f t="shared" si="1"/>
        <v>0.28000000000000025</v>
      </c>
      <c r="H8" s="7"/>
      <c r="I8" s="7"/>
      <c r="J8" s="7"/>
      <c r="K8" s="7"/>
      <c r="L8" s="7"/>
      <c r="M8" s="7"/>
      <c r="N8" s="7"/>
      <c r="O8" s="7"/>
      <c r="P8" s="7"/>
      <c r="Q8" s="7"/>
      <c r="R8" s="7"/>
      <c r="S8" s="7"/>
      <c r="T8" s="7"/>
      <c r="U8" s="7"/>
      <c r="V8" s="7"/>
      <c r="W8" s="7"/>
      <c r="X8" s="7"/>
      <c r="Y8" s="7"/>
      <c r="Z8" s="16"/>
      <c r="AB8" s="123"/>
      <c r="AC8" s="124"/>
    </row>
    <row r="9" spans="2:29" ht="16.5" customHeight="1" x14ac:dyDescent="0.25">
      <c r="B9" s="6"/>
      <c r="C9" s="40" t="s">
        <v>12</v>
      </c>
      <c r="D9" s="50">
        <v>0.01</v>
      </c>
      <c r="E9" s="51">
        <f>NFL!D9 * Pricing!F20</f>
        <v>2.2400000000000002</v>
      </c>
      <c r="F9" s="52">
        <f t="shared" si="0"/>
        <v>3</v>
      </c>
      <c r="G9" s="53">
        <f t="shared" si="1"/>
        <v>0.75999999999999979</v>
      </c>
      <c r="H9" s="7"/>
      <c r="I9" s="7"/>
      <c r="J9" s="7"/>
      <c r="K9" s="7"/>
      <c r="L9" s="7"/>
      <c r="M9" s="7"/>
      <c r="N9" s="7"/>
      <c r="O9" s="7"/>
      <c r="P9" s="7"/>
      <c r="Q9" s="7"/>
      <c r="R9" s="7"/>
      <c r="S9" s="7"/>
      <c r="T9" s="7"/>
      <c r="U9" s="7"/>
      <c r="V9" s="7"/>
      <c r="W9" s="7"/>
      <c r="X9" s="7"/>
      <c r="Y9" s="7"/>
      <c r="Z9" s="16"/>
      <c r="AB9" s="173" t="s">
        <v>164</v>
      </c>
      <c r="AC9" s="174"/>
    </row>
    <row r="10" spans="2:29" ht="14.25" customHeight="1" x14ac:dyDescent="0.25">
      <c r="B10" s="6"/>
      <c r="C10" s="40" t="s">
        <v>13</v>
      </c>
      <c r="D10" s="50">
        <v>0.05</v>
      </c>
      <c r="E10" s="51">
        <f>NFL!D10 * Pricing!F20</f>
        <v>11.200000000000001</v>
      </c>
      <c r="F10" s="52">
        <f t="shared" si="0"/>
        <v>12</v>
      </c>
      <c r="G10" s="53">
        <f t="shared" si="1"/>
        <v>0.79999999999999893</v>
      </c>
      <c r="H10" s="7"/>
      <c r="I10" s="7"/>
      <c r="J10" s="7"/>
      <c r="K10" s="7"/>
      <c r="L10" s="7"/>
      <c r="M10" s="7"/>
      <c r="N10" s="7"/>
      <c r="O10" s="7"/>
      <c r="P10" s="7"/>
      <c r="Q10" s="7"/>
      <c r="R10" s="7"/>
      <c r="S10" s="7"/>
      <c r="T10" s="7"/>
      <c r="U10" s="7"/>
      <c r="V10" s="7"/>
      <c r="W10" s="7"/>
      <c r="X10" s="7"/>
      <c r="Y10" s="7"/>
      <c r="Z10" s="16"/>
      <c r="AB10" s="125" t="s">
        <v>178</v>
      </c>
      <c r="AC10" s="126" t="s">
        <v>0</v>
      </c>
    </row>
    <row r="11" spans="2:29" x14ac:dyDescent="0.25">
      <c r="B11" s="6"/>
      <c r="C11" s="40" t="s">
        <v>14</v>
      </c>
      <c r="D11" s="50">
        <v>0.01</v>
      </c>
      <c r="E11" s="51">
        <f>NFL!D11 * Pricing!F20</f>
        <v>2.2400000000000002</v>
      </c>
      <c r="F11" s="52">
        <f t="shared" si="0"/>
        <v>3</v>
      </c>
      <c r="G11" s="53">
        <f t="shared" si="1"/>
        <v>0.75999999999999979</v>
      </c>
      <c r="H11" s="7"/>
      <c r="I11" s="7"/>
      <c r="J11" s="7"/>
      <c r="K11" s="7"/>
      <c r="L11" s="7"/>
      <c r="M11" s="7"/>
      <c r="N11" s="7"/>
      <c r="O11" s="7"/>
      <c r="P11" s="7"/>
      <c r="Q11" s="7"/>
      <c r="R11" s="7"/>
      <c r="S11" s="7"/>
      <c r="T11" s="7"/>
      <c r="U11" s="7"/>
      <c r="V11" s="7"/>
      <c r="W11" s="7"/>
      <c r="X11" s="7"/>
      <c r="Y11" s="7"/>
      <c r="Z11" s="16"/>
      <c r="AB11" s="127" t="s">
        <v>169</v>
      </c>
      <c r="AC11" s="128" t="s">
        <v>170</v>
      </c>
    </row>
    <row r="12" spans="2:29" x14ac:dyDescent="0.25">
      <c r="B12" s="6"/>
      <c r="C12" s="40" t="s">
        <v>15</v>
      </c>
      <c r="D12" s="50">
        <v>0.01</v>
      </c>
      <c r="E12" s="51">
        <f>NFL!D12 * Pricing!F20</f>
        <v>2.2400000000000002</v>
      </c>
      <c r="F12" s="52">
        <f t="shared" si="0"/>
        <v>3</v>
      </c>
      <c r="G12" s="53">
        <f t="shared" si="1"/>
        <v>0.75999999999999979</v>
      </c>
      <c r="H12" s="7"/>
      <c r="I12" s="7"/>
      <c r="J12" s="7"/>
      <c r="K12" s="7"/>
      <c r="L12" s="7"/>
      <c r="M12" s="7"/>
      <c r="N12" s="7"/>
      <c r="O12" s="7"/>
      <c r="P12" s="7"/>
      <c r="Q12" s="7"/>
      <c r="R12" s="7"/>
      <c r="S12" s="7"/>
      <c r="T12" s="7"/>
      <c r="U12" s="7"/>
      <c r="V12" s="7"/>
      <c r="W12" s="7"/>
      <c r="X12" s="7"/>
      <c r="Y12" s="7"/>
      <c r="Z12" s="16"/>
      <c r="AB12" s="127" t="s">
        <v>171</v>
      </c>
      <c r="AC12" s="128" t="s">
        <v>172</v>
      </c>
    </row>
    <row r="13" spans="2:29" x14ac:dyDescent="0.25">
      <c r="B13" s="6"/>
      <c r="C13" s="40" t="s">
        <v>16</v>
      </c>
      <c r="D13" s="50">
        <v>0.01</v>
      </c>
      <c r="E13" s="51">
        <f>NFL!D13 * Pricing!F20</f>
        <v>2.2400000000000002</v>
      </c>
      <c r="F13" s="52">
        <f t="shared" si="0"/>
        <v>3</v>
      </c>
      <c r="G13" s="53">
        <f t="shared" si="1"/>
        <v>0.75999999999999979</v>
      </c>
      <c r="H13" s="7"/>
      <c r="I13" s="7"/>
      <c r="J13" s="7"/>
      <c r="K13" s="7"/>
      <c r="L13" s="7"/>
      <c r="M13" s="7"/>
      <c r="N13" s="7"/>
      <c r="O13" s="7"/>
      <c r="P13" s="7"/>
      <c r="Q13" s="7"/>
      <c r="R13" s="7"/>
      <c r="S13" s="7"/>
      <c r="T13" s="7"/>
      <c r="U13" s="7"/>
      <c r="V13" s="7"/>
      <c r="W13" s="7"/>
      <c r="X13" s="7"/>
      <c r="Y13" s="7"/>
      <c r="Z13" s="16"/>
      <c r="AB13" s="127" t="s">
        <v>173</v>
      </c>
      <c r="AC13" s="128" t="s">
        <v>174</v>
      </c>
    </row>
    <row r="14" spans="2:29" x14ac:dyDescent="0.25">
      <c r="B14" s="6"/>
      <c r="C14" s="40" t="s">
        <v>17</v>
      </c>
      <c r="D14" s="50">
        <v>7.0000000000000007E-2</v>
      </c>
      <c r="E14" s="51">
        <f>NFL!D14 * Pricing!F20</f>
        <v>15.680000000000001</v>
      </c>
      <c r="F14" s="52">
        <f t="shared" si="0"/>
        <v>16</v>
      </c>
      <c r="G14" s="53">
        <f t="shared" si="1"/>
        <v>0.31999999999999851</v>
      </c>
      <c r="H14" s="7"/>
      <c r="I14" s="7"/>
      <c r="J14" s="7"/>
      <c r="K14" s="7"/>
      <c r="L14" s="7"/>
      <c r="M14" s="7"/>
      <c r="N14" s="7"/>
      <c r="O14" s="7"/>
      <c r="P14" s="7"/>
      <c r="Q14" s="7"/>
      <c r="R14" s="7"/>
      <c r="S14" s="7"/>
      <c r="T14" s="7"/>
      <c r="U14" s="7"/>
      <c r="V14" s="7"/>
      <c r="W14" s="7"/>
      <c r="X14" s="7"/>
      <c r="Y14" s="7"/>
      <c r="Z14" s="16"/>
      <c r="AB14" s="127" t="s">
        <v>175</v>
      </c>
      <c r="AC14" s="128" t="s">
        <v>176</v>
      </c>
    </row>
    <row r="15" spans="2:29" x14ac:dyDescent="0.25">
      <c r="B15" s="6"/>
      <c r="C15" s="40" t="s">
        <v>18</v>
      </c>
      <c r="D15" s="50">
        <v>0.03</v>
      </c>
      <c r="E15" s="51">
        <f>NFL!D15 * Pricing!F20</f>
        <v>6.72</v>
      </c>
      <c r="F15" s="52">
        <f t="shared" si="0"/>
        <v>7</v>
      </c>
      <c r="G15" s="53">
        <f t="shared" si="1"/>
        <v>0.28000000000000025</v>
      </c>
      <c r="H15" s="7"/>
      <c r="I15" s="7"/>
      <c r="J15" s="7"/>
      <c r="K15" s="7"/>
      <c r="L15" s="7"/>
      <c r="M15" s="7"/>
      <c r="N15" s="7"/>
      <c r="O15" s="7"/>
      <c r="P15" s="7"/>
      <c r="Q15" s="7"/>
      <c r="R15" s="7"/>
      <c r="S15" s="7"/>
      <c r="T15" s="7"/>
      <c r="U15" s="7"/>
      <c r="V15" s="7"/>
      <c r="W15" s="7"/>
      <c r="X15" s="7"/>
      <c r="Y15" s="7"/>
      <c r="Z15" s="16"/>
      <c r="AB15" s="127">
        <v>11</v>
      </c>
      <c r="AC15" s="129">
        <v>0.03</v>
      </c>
    </row>
    <row r="16" spans="2:29" x14ac:dyDescent="0.25">
      <c r="B16" s="6"/>
      <c r="C16" s="40" t="s">
        <v>19</v>
      </c>
      <c r="D16" s="50">
        <v>0.03</v>
      </c>
      <c r="E16" s="51">
        <f>NFL!D16* Pricing!F20</f>
        <v>6.72</v>
      </c>
      <c r="F16" s="52">
        <f t="shared" si="0"/>
        <v>7</v>
      </c>
      <c r="G16" s="53">
        <f t="shared" si="1"/>
        <v>0.28000000000000025</v>
      </c>
      <c r="H16" s="7"/>
      <c r="I16" s="7"/>
      <c r="J16" s="7"/>
      <c r="K16" s="7"/>
      <c r="L16" s="7"/>
      <c r="M16" s="7"/>
      <c r="N16" s="7"/>
      <c r="O16" s="7"/>
      <c r="P16" s="7"/>
      <c r="Q16" s="7"/>
      <c r="R16" s="7"/>
      <c r="S16" s="7"/>
      <c r="T16" s="7"/>
      <c r="U16" s="7"/>
      <c r="V16" s="7"/>
      <c r="W16" s="7"/>
      <c r="X16" s="7"/>
      <c r="Y16" s="7"/>
      <c r="Z16" s="16"/>
      <c r="AB16" s="127">
        <v>12</v>
      </c>
      <c r="AC16" s="129">
        <v>0.03</v>
      </c>
    </row>
    <row r="17" spans="2:29" x14ac:dyDescent="0.25">
      <c r="B17" s="6"/>
      <c r="C17" s="40" t="s">
        <v>20</v>
      </c>
      <c r="D17" s="50">
        <v>7.0000000000000007E-2</v>
      </c>
      <c r="E17" s="51">
        <f>NFL!D17 * Pricing!F20</f>
        <v>15.680000000000001</v>
      </c>
      <c r="F17" s="52">
        <f t="shared" si="0"/>
        <v>16</v>
      </c>
      <c r="G17" s="53">
        <f t="shared" si="1"/>
        <v>0.31999999999999851</v>
      </c>
      <c r="H17" s="7"/>
      <c r="I17" s="7"/>
      <c r="J17" s="7"/>
      <c r="K17" s="7"/>
      <c r="L17" s="7"/>
      <c r="M17" s="7"/>
      <c r="N17" s="7"/>
      <c r="O17" s="7"/>
      <c r="P17" s="7"/>
      <c r="Q17" s="7"/>
      <c r="R17" s="7"/>
      <c r="S17" s="7"/>
      <c r="T17" s="7"/>
      <c r="U17" s="7"/>
      <c r="V17" s="7"/>
      <c r="W17" s="7"/>
      <c r="X17" s="7"/>
      <c r="Y17" s="7"/>
      <c r="Z17" s="16"/>
      <c r="AB17" s="127">
        <v>13</v>
      </c>
      <c r="AC17" s="129">
        <v>0.03</v>
      </c>
    </row>
    <row r="18" spans="2:29" x14ac:dyDescent="0.25">
      <c r="B18" s="6"/>
      <c r="C18" s="40" t="s">
        <v>21</v>
      </c>
      <c r="D18" s="50">
        <v>0.03</v>
      </c>
      <c r="E18" s="51">
        <f>NFL!D18 * Pricing!F20</f>
        <v>6.72</v>
      </c>
      <c r="F18" s="52">
        <f t="shared" si="0"/>
        <v>7</v>
      </c>
      <c r="G18" s="53">
        <f t="shared" si="1"/>
        <v>0.28000000000000025</v>
      </c>
      <c r="H18" s="7"/>
      <c r="I18" s="7"/>
      <c r="J18" s="7"/>
      <c r="K18" s="7"/>
      <c r="L18" s="7"/>
      <c r="M18" s="7"/>
      <c r="N18" s="7"/>
      <c r="O18" s="7"/>
      <c r="P18" s="7"/>
      <c r="Q18" s="7"/>
      <c r="R18" s="7"/>
      <c r="S18" s="7"/>
      <c r="T18" s="7"/>
      <c r="U18" s="7"/>
      <c r="V18" s="7"/>
      <c r="W18" s="7"/>
      <c r="X18" s="7"/>
      <c r="Y18" s="7"/>
      <c r="Z18" s="16"/>
      <c r="AB18" s="127">
        <v>14</v>
      </c>
      <c r="AC18" s="129">
        <v>0.03</v>
      </c>
    </row>
    <row r="19" spans="2:29" x14ac:dyDescent="0.25">
      <c r="B19" s="6"/>
      <c r="C19" s="40" t="s">
        <v>22</v>
      </c>
      <c r="D19" s="50">
        <v>0.01</v>
      </c>
      <c r="E19" s="51">
        <f>NFL!D19 * Pricing!F20</f>
        <v>2.2400000000000002</v>
      </c>
      <c r="F19" s="52">
        <f t="shared" si="0"/>
        <v>3</v>
      </c>
      <c r="G19" s="53">
        <f t="shared" si="1"/>
        <v>0.75999999999999979</v>
      </c>
      <c r="H19" s="7"/>
      <c r="I19" s="7"/>
      <c r="J19" s="7"/>
      <c r="K19" s="7"/>
      <c r="L19" s="7"/>
      <c r="M19" s="7"/>
      <c r="N19" s="7"/>
      <c r="O19" s="7"/>
      <c r="P19" s="7"/>
      <c r="Q19" s="7"/>
      <c r="R19" s="7"/>
      <c r="S19" s="7"/>
      <c r="T19" s="7"/>
      <c r="U19" s="7"/>
      <c r="V19" s="7"/>
      <c r="W19" s="7"/>
      <c r="X19" s="7"/>
      <c r="Y19" s="7"/>
      <c r="Z19" s="16"/>
      <c r="AB19" s="127">
        <v>15</v>
      </c>
      <c r="AC19" s="129">
        <v>0.02</v>
      </c>
    </row>
    <row r="20" spans="2:29" x14ac:dyDescent="0.25">
      <c r="B20" s="6"/>
      <c r="C20" s="40" t="s">
        <v>23</v>
      </c>
      <c r="D20" s="50">
        <v>0.05</v>
      </c>
      <c r="E20" s="51">
        <f>NFL!D20 * Pricing!F20</f>
        <v>11.200000000000001</v>
      </c>
      <c r="F20" s="52">
        <f t="shared" si="0"/>
        <v>12</v>
      </c>
      <c r="G20" s="53">
        <f t="shared" si="1"/>
        <v>0.79999999999999893</v>
      </c>
      <c r="H20" s="7"/>
      <c r="I20" s="7"/>
      <c r="J20" s="7"/>
      <c r="K20" s="7"/>
      <c r="L20" s="7"/>
      <c r="M20" s="7"/>
      <c r="N20" s="7"/>
      <c r="O20" s="7"/>
      <c r="P20" s="7"/>
      <c r="Q20" s="7"/>
      <c r="R20" s="7"/>
      <c r="S20" s="7"/>
      <c r="T20" s="7"/>
      <c r="U20" s="7"/>
      <c r="V20" s="7"/>
      <c r="W20" s="7"/>
      <c r="X20" s="7"/>
      <c r="Y20" s="7"/>
      <c r="Z20" s="16"/>
      <c r="AB20" s="127">
        <v>16</v>
      </c>
      <c r="AC20" s="129">
        <v>0.02</v>
      </c>
    </row>
    <row r="21" spans="2:29" x14ac:dyDescent="0.25">
      <c r="B21" s="6"/>
      <c r="C21" s="40" t="s">
        <v>24</v>
      </c>
      <c r="D21" s="50">
        <v>0.01</v>
      </c>
      <c r="E21" s="51">
        <f>NFL!D21 * Pricing!F20</f>
        <v>2.2400000000000002</v>
      </c>
      <c r="F21" s="52">
        <f t="shared" si="0"/>
        <v>3</v>
      </c>
      <c r="G21" s="53">
        <f t="shared" si="1"/>
        <v>0.75999999999999979</v>
      </c>
      <c r="H21" s="7"/>
      <c r="I21" s="7"/>
      <c r="J21" s="7"/>
      <c r="K21" s="7"/>
      <c r="L21" s="7"/>
      <c r="M21" s="7"/>
      <c r="N21" s="7"/>
      <c r="O21" s="7"/>
      <c r="P21" s="7"/>
      <c r="Q21" s="7"/>
      <c r="R21" s="7"/>
      <c r="S21" s="7"/>
      <c r="T21" s="7"/>
      <c r="U21" s="7"/>
      <c r="V21" s="7"/>
      <c r="W21" s="7"/>
      <c r="X21" s="7"/>
      <c r="Y21" s="7"/>
      <c r="Z21" s="16"/>
      <c r="AB21" s="127">
        <v>17</v>
      </c>
      <c r="AC21" s="129">
        <v>0.02</v>
      </c>
    </row>
    <row r="22" spans="2:29" x14ac:dyDescent="0.25">
      <c r="B22" s="6"/>
      <c r="C22" s="40" t="s">
        <v>4</v>
      </c>
      <c r="D22" s="50">
        <v>0.03</v>
      </c>
      <c r="E22" s="51">
        <f>NFL!D22 * Pricing!F20</f>
        <v>6.72</v>
      </c>
      <c r="F22" s="52">
        <f t="shared" si="0"/>
        <v>7</v>
      </c>
      <c r="G22" s="53">
        <f t="shared" si="1"/>
        <v>0.28000000000000025</v>
      </c>
      <c r="H22" s="7"/>
      <c r="I22" s="7"/>
      <c r="J22" s="7"/>
      <c r="K22" s="7"/>
      <c r="L22" s="7"/>
      <c r="M22" s="7"/>
      <c r="N22" s="7"/>
      <c r="O22" s="7"/>
      <c r="P22" s="7"/>
      <c r="Q22" s="7"/>
      <c r="R22" s="7"/>
      <c r="S22" s="7"/>
      <c r="T22" s="7"/>
      <c r="U22" s="7"/>
      <c r="V22" s="7"/>
      <c r="W22" s="7"/>
      <c r="X22" s="7"/>
      <c r="Y22" s="7"/>
      <c r="Z22" s="16"/>
      <c r="AB22" s="127">
        <v>18</v>
      </c>
      <c r="AC22" s="129">
        <v>0.02</v>
      </c>
    </row>
    <row r="23" spans="2:29" x14ac:dyDescent="0.25">
      <c r="B23" s="6"/>
      <c r="C23" s="40" t="s">
        <v>5</v>
      </c>
      <c r="D23" s="50">
        <v>0.01</v>
      </c>
      <c r="E23" s="51">
        <f>NFL!D23 * Pricing!F20</f>
        <v>2.2400000000000002</v>
      </c>
      <c r="F23" s="52">
        <f t="shared" si="0"/>
        <v>3</v>
      </c>
      <c r="G23" s="53">
        <f t="shared" si="1"/>
        <v>0.75999999999999979</v>
      </c>
      <c r="H23" s="7"/>
      <c r="I23" s="7"/>
      <c r="J23" s="7"/>
      <c r="K23" s="7"/>
      <c r="L23" s="7"/>
      <c r="M23" s="7"/>
      <c r="N23" s="7"/>
      <c r="O23" s="7"/>
      <c r="P23" s="7"/>
      <c r="Q23" s="7"/>
      <c r="R23" s="7"/>
      <c r="S23" s="7"/>
      <c r="T23" s="7"/>
      <c r="U23" s="7"/>
      <c r="V23" s="7"/>
      <c r="W23" s="7"/>
      <c r="X23" s="7"/>
      <c r="Y23" s="7"/>
      <c r="Z23" s="16"/>
      <c r="AB23" s="127">
        <v>19</v>
      </c>
      <c r="AC23" s="129">
        <v>0.02</v>
      </c>
    </row>
    <row r="24" spans="2:29" x14ac:dyDescent="0.25">
      <c r="B24" s="6"/>
      <c r="C24" s="40" t="s">
        <v>6</v>
      </c>
      <c r="D24" s="50">
        <v>0.02</v>
      </c>
      <c r="E24" s="51">
        <f>NFL!D24 * Pricing!F20</f>
        <v>4.4800000000000004</v>
      </c>
      <c r="F24" s="52">
        <f t="shared" si="0"/>
        <v>5</v>
      </c>
      <c r="G24" s="53">
        <f t="shared" si="1"/>
        <v>0.51999999999999957</v>
      </c>
      <c r="H24" s="7"/>
      <c r="I24" s="7"/>
      <c r="J24" s="7"/>
      <c r="K24" s="7"/>
      <c r="L24" s="7"/>
      <c r="M24" s="7"/>
      <c r="N24" s="7"/>
      <c r="O24" s="7"/>
      <c r="P24" s="7"/>
      <c r="Q24" s="7"/>
      <c r="R24" s="7"/>
      <c r="S24" s="7"/>
      <c r="T24" s="7"/>
      <c r="U24" s="7"/>
      <c r="V24" s="7"/>
      <c r="W24" s="7"/>
      <c r="X24" s="7"/>
      <c r="Y24" s="7"/>
      <c r="Z24" s="16"/>
      <c r="AB24" s="127">
        <v>20</v>
      </c>
      <c r="AC24" s="129">
        <v>0.02</v>
      </c>
    </row>
    <row r="25" spans="2:29" x14ac:dyDescent="0.25">
      <c r="B25" s="6"/>
      <c r="C25" s="40" t="s">
        <v>7</v>
      </c>
      <c r="D25" s="50">
        <v>0.1</v>
      </c>
      <c r="E25" s="51">
        <f>NFL!D25 * Pricing!F20</f>
        <v>22.400000000000002</v>
      </c>
      <c r="F25" s="52">
        <f t="shared" si="0"/>
        <v>23</v>
      </c>
      <c r="G25" s="53">
        <f t="shared" si="1"/>
        <v>0.59999999999999787</v>
      </c>
      <c r="H25" s="7"/>
      <c r="I25" s="7"/>
      <c r="J25" s="7"/>
      <c r="K25" s="7"/>
      <c r="L25" s="7"/>
      <c r="M25" s="7"/>
      <c r="N25" s="7"/>
      <c r="O25" s="7"/>
      <c r="P25" s="7"/>
      <c r="Q25" s="7"/>
      <c r="R25" s="7"/>
      <c r="S25" s="7"/>
      <c r="T25" s="7"/>
      <c r="U25" s="7"/>
      <c r="V25" s="7"/>
      <c r="W25" s="7"/>
      <c r="X25" s="7"/>
      <c r="Y25" s="7"/>
      <c r="Z25" s="16"/>
      <c r="AB25" s="127">
        <v>21</v>
      </c>
      <c r="AC25" s="129">
        <v>0.02</v>
      </c>
    </row>
    <row r="26" spans="2:29" x14ac:dyDescent="0.25">
      <c r="B26" s="6"/>
      <c r="C26" s="40" t="s">
        <v>25</v>
      </c>
      <c r="D26" s="50">
        <v>0.03</v>
      </c>
      <c r="E26" s="51">
        <f>NFL!D26 * Pricing!F20</f>
        <v>6.72</v>
      </c>
      <c r="F26" s="52">
        <f t="shared" si="0"/>
        <v>7</v>
      </c>
      <c r="G26" s="53">
        <f t="shared" si="1"/>
        <v>0.28000000000000025</v>
      </c>
      <c r="H26" s="7"/>
      <c r="I26" s="7"/>
      <c r="J26" s="7"/>
      <c r="K26" s="7"/>
      <c r="L26" s="7"/>
      <c r="M26" s="7"/>
      <c r="N26" s="7"/>
      <c r="O26" s="7"/>
      <c r="P26" s="7"/>
      <c r="Q26" s="7"/>
      <c r="R26" s="7"/>
      <c r="S26" s="7"/>
      <c r="T26" s="7"/>
      <c r="U26" s="7"/>
      <c r="V26" s="7"/>
      <c r="W26" s="7"/>
      <c r="X26" s="7"/>
      <c r="Y26" s="7"/>
      <c r="Z26" s="16"/>
      <c r="AB26" s="127">
        <v>22</v>
      </c>
      <c r="AC26" s="129">
        <v>0.02</v>
      </c>
    </row>
    <row r="27" spans="2:29" x14ac:dyDescent="0.25">
      <c r="B27" s="6"/>
      <c r="C27" s="40" t="s">
        <v>26</v>
      </c>
      <c r="D27" s="50">
        <v>0.01</v>
      </c>
      <c r="E27" s="51">
        <f>NFL!D27 * Pricing!F20</f>
        <v>2.2400000000000002</v>
      </c>
      <c r="F27" s="52">
        <f t="shared" si="0"/>
        <v>3</v>
      </c>
      <c r="G27" s="53">
        <f t="shared" si="1"/>
        <v>0.75999999999999979</v>
      </c>
      <c r="H27" s="7"/>
      <c r="I27" s="7"/>
      <c r="J27" s="7"/>
      <c r="K27" s="7"/>
      <c r="L27" s="7"/>
      <c r="M27" s="7"/>
      <c r="N27" s="7"/>
      <c r="O27" s="7"/>
      <c r="P27" s="7"/>
      <c r="Q27" s="7"/>
      <c r="R27" s="7"/>
      <c r="S27" s="7"/>
      <c r="T27" s="7"/>
      <c r="U27" s="7"/>
      <c r="V27" s="7"/>
      <c r="W27" s="7"/>
      <c r="X27" s="7"/>
      <c r="Y27" s="7"/>
      <c r="Z27" s="16"/>
      <c r="AB27" s="127"/>
      <c r="AC27" s="129"/>
    </row>
    <row r="28" spans="2:29" ht="15.75" thickBot="1" x14ac:dyDescent="0.3">
      <c r="B28" s="6"/>
      <c r="C28" s="40" t="s">
        <v>27</v>
      </c>
      <c r="D28" s="50">
        <v>0.01</v>
      </c>
      <c r="E28" s="51">
        <f>NFL!D28 * Pricing!F20</f>
        <v>2.2400000000000002</v>
      </c>
      <c r="F28" s="52">
        <f t="shared" si="0"/>
        <v>3</v>
      </c>
      <c r="G28" s="53">
        <f t="shared" si="1"/>
        <v>0.75999999999999979</v>
      </c>
      <c r="H28" s="7"/>
      <c r="I28" s="7"/>
      <c r="J28" s="7"/>
      <c r="K28" s="7"/>
      <c r="L28" s="7"/>
      <c r="M28" s="7"/>
      <c r="N28" s="7"/>
      <c r="O28" s="7"/>
      <c r="P28" s="7"/>
      <c r="Q28" s="7"/>
      <c r="R28" s="7"/>
      <c r="S28" s="7"/>
      <c r="T28" s="7"/>
      <c r="U28" s="7"/>
      <c r="V28" s="7"/>
      <c r="W28" s="7"/>
      <c r="X28" s="7"/>
      <c r="Y28" s="7"/>
      <c r="Z28" s="16"/>
      <c r="AB28" s="130" t="s">
        <v>179</v>
      </c>
      <c r="AC28" s="131" t="s">
        <v>177</v>
      </c>
    </row>
    <row r="29" spans="2:29" x14ac:dyDescent="0.25">
      <c r="B29" s="6"/>
      <c r="C29" s="40" t="s">
        <v>28</v>
      </c>
      <c r="D29" s="50">
        <v>0.01</v>
      </c>
      <c r="E29" s="51">
        <f>NFL!D29 * Pricing!F20</f>
        <v>2.2400000000000002</v>
      </c>
      <c r="F29" s="52">
        <f t="shared" si="0"/>
        <v>3</v>
      </c>
      <c r="G29" s="53">
        <f t="shared" si="1"/>
        <v>0.75999999999999979</v>
      </c>
      <c r="H29" s="7"/>
      <c r="I29" s="7"/>
      <c r="J29" s="7"/>
      <c r="K29" s="7"/>
      <c r="L29" s="7"/>
      <c r="M29" s="7"/>
      <c r="N29" s="7"/>
      <c r="O29" s="7"/>
      <c r="P29" s="7"/>
      <c r="Q29" s="7"/>
      <c r="R29" s="7"/>
      <c r="S29" s="7"/>
      <c r="T29" s="7"/>
      <c r="U29" s="7"/>
      <c r="V29" s="7"/>
      <c r="W29" s="7"/>
      <c r="X29" s="7"/>
      <c r="Y29" s="7"/>
      <c r="Z29" s="16"/>
      <c r="AB29" s="127"/>
      <c r="AC29" s="129"/>
    </row>
    <row r="30" spans="2:29" x14ac:dyDescent="0.25">
      <c r="B30" s="6"/>
      <c r="C30" s="40" t="s">
        <v>29</v>
      </c>
      <c r="D30" s="50">
        <v>0.05</v>
      </c>
      <c r="E30" s="51">
        <f>NFL!D10 * Pricing!F20</f>
        <v>11.200000000000001</v>
      </c>
      <c r="F30" s="52">
        <f t="shared" si="0"/>
        <v>12</v>
      </c>
      <c r="G30" s="53">
        <f t="shared" si="1"/>
        <v>0.79999999999999893</v>
      </c>
      <c r="H30" s="7"/>
      <c r="I30" s="7"/>
      <c r="J30" s="7"/>
      <c r="K30" s="7"/>
      <c r="L30" s="7"/>
      <c r="M30" s="7"/>
      <c r="N30" s="7"/>
      <c r="O30" s="7"/>
      <c r="P30" s="7"/>
      <c r="Q30" s="7"/>
      <c r="R30" s="7"/>
      <c r="S30" s="7"/>
      <c r="T30" s="7"/>
      <c r="U30" s="7"/>
      <c r="V30" s="7"/>
      <c r="W30" s="7"/>
      <c r="X30" s="7"/>
      <c r="Y30" s="7"/>
      <c r="Z30" s="16"/>
      <c r="AB30" s="127"/>
      <c r="AC30" s="129"/>
    </row>
    <row r="31" spans="2:29" x14ac:dyDescent="0.25">
      <c r="B31" s="6"/>
      <c r="C31" s="40" t="s">
        <v>30</v>
      </c>
      <c r="D31" s="50">
        <v>0.01</v>
      </c>
      <c r="E31" s="51">
        <f>NFL!D31 * Pricing!F20</f>
        <v>2.2400000000000002</v>
      </c>
      <c r="F31" s="52">
        <f t="shared" si="0"/>
        <v>3</v>
      </c>
      <c r="G31" s="53">
        <f t="shared" si="1"/>
        <v>0.75999999999999979</v>
      </c>
      <c r="H31" s="7"/>
      <c r="I31" s="7"/>
      <c r="J31" s="7"/>
      <c r="K31" s="7"/>
      <c r="L31" s="7"/>
      <c r="M31" s="7"/>
      <c r="N31" s="7"/>
      <c r="O31" s="7"/>
      <c r="P31" s="7"/>
      <c r="Q31" s="7"/>
      <c r="R31" s="7"/>
      <c r="S31" s="7"/>
      <c r="T31" s="7"/>
      <c r="U31" s="7"/>
      <c r="V31" s="7"/>
      <c r="W31" s="7"/>
      <c r="X31" s="7"/>
      <c r="Y31" s="7"/>
      <c r="Z31" s="16"/>
      <c r="AB31" s="127"/>
      <c r="AC31" s="129"/>
    </row>
    <row r="32" spans="2:29" ht="15.75" thickBot="1" x14ac:dyDescent="0.3">
      <c r="B32" s="6"/>
      <c r="C32" s="40" t="s">
        <v>31</v>
      </c>
      <c r="D32" s="50">
        <v>0.04</v>
      </c>
      <c r="E32" s="51">
        <f>NFL!D32 * Pricing!F20</f>
        <v>8.9600000000000009</v>
      </c>
      <c r="F32" s="52">
        <f t="shared" si="0"/>
        <v>9</v>
      </c>
      <c r="G32" s="53">
        <f t="shared" si="1"/>
        <v>3.9999999999999147E-2</v>
      </c>
      <c r="H32" s="7"/>
      <c r="I32" s="7"/>
      <c r="J32" s="7"/>
      <c r="K32" s="7"/>
      <c r="L32" s="7"/>
      <c r="M32" s="7"/>
      <c r="N32" s="7"/>
      <c r="O32" s="7"/>
      <c r="P32" s="7"/>
      <c r="Q32" s="7"/>
      <c r="R32" s="7"/>
      <c r="S32" s="7"/>
      <c r="T32" s="7"/>
      <c r="U32" s="7"/>
      <c r="V32" s="7"/>
      <c r="W32" s="7"/>
      <c r="X32" s="7"/>
      <c r="Y32" s="7"/>
      <c r="Z32" s="16"/>
      <c r="AB32" s="130"/>
      <c r="AC32" s="131"/>
    </row>
    <row r="33" spans="2:27" x14ac:dyDescent="0.25">
      <c r="B33" s="6"/>
      <c r="C33" s="40" t="s">
        <v>32</v>
      </c>
      <c r="D33" s="50">
        <v>0.01</v>
      </c>
      <c r="E33" s="51">
        <f>NFL!D33 * Pricing!F20</f>
        <v>2.2400000000000002</v>
      </c>
      <c r="F33" s="52">
        <f t="shared" si="0"/>
        <v>3</v>
      </c>
      <c r="G33" s="53">
        <f t="shared" si="1"/>
        <v>0.75999999999999979</v>
      </c>
      <c r="H33" s="7"/>
      <c r="I33" s="7"/>
      <c r="J33" s="7"/>
      <c r="K33" s="7"/>
      <c r="L33" s="7"/>
      <c r="M33" s="7"/>
      <c r="N33" s="7"/>
      <c r="O33" s="7"/>
      <c r="P33" s="7"/>
      <c r="Q33" s="7"/>
      <c r="R33" s="7"/>
      <c r="S33" s="7"/>
      <c r="T33" s="7"/>
      <c r="U33" s="7"/>
      <c r="V33" s="7"/>
      <c r="W33" s="7"/>
      <c r="X33" s="7"/>
      <c r="Y33" s="7"/>
      <c r="Z33" s="16"/>
    </row>
    <row r="34" spans="2:27" x14ac:dyDescent="0.25">
      <c r="B34" s="6"/>
      <c r="C34" s="40" t="s">
        <v>33</v>
      </c>
      <c r="D34" s="50">
        <v>0.01</v>
      </c>
      <c r="E34" s="51">
        <f>NFL!D34 * Pricing!F20</f>
        <v>2.2400000000000002</v>
      </c>
      <c r="F34" s="52">
        <f t="shared" si="0"/>
        <v>3</v>
      </c>
      <c r="G34" s="53">
        <f t="shared" si="1"/>
        <v>0.75999999999999979</v>
      </c>
      <c r="H34" s="7"/>
      <c r="I34" s="7"/>
      <c r="J34" s="7"/>
      <c r="K34" s="7"/>
      <c r="L34" s="7"/>
      <c r="M34" s="7"/>
      <c r="N34" s="7"/>
      <c r="O34" s="7"/>
      <c r="P34" s="7"/>
      <c r="Q34" s="7"/>
      <c r="R34" s="7"/>
      <c r="S34" s="7"/>
      <c r="T34" s="7"/>
      <c r="U34" s="7"/>
      <c r="V34" s="7"/>
      <c r="W34" s="7"/>
      <c r="X34" s="7"/>
      <c r="Y34" s="7"/>
      <c r="Z34" s="16"/>
    </row>
    <row r="35" spans="2:27" x14ac:dyDescent="0.25">
      <c r="B35" s="6"/>
      <c r="C35" s="40" t="s">
        <v>34</v>
      </c>
      <c r="D35" s="50">
        <v>0.01</v>
      </c>
      <c r="E35" s="51">
        <f>NFL!D35 * Pricing!F20</f>
        <v>2.2400000000000002</v>
      </c>
      <c r="F35" s="52">
        <f t="shared" si="0"/>
        <v>3</v>
      </c>
      <c r="G35" s="53">
        <f t="shared" si="1"/>
        <v>0.75999999999999979</v>
      </c>
      <c r="H35" s="7"/>
      <c r="I35" s="7"/>
      <c r="J35" s="7"/>
      <c r="K35" s="7"/>
      <c r="L35" s="7"/>
      <c r="M35" s="7"/>
      <c r="N35" s="7"/>
      <c r="O35" s="7"/>
      <c r="P35" s="7"/>
      <c r="Q35" s="7"/>
      <c r="R35" s="7"/>
      <c r="S35" s="7"/>
      <c r="T35" s="7"/>
      <c r="U35" s="7"/>
      <c r="V35" s="7"/>
      <c r="W35" s="7"/>
      <c r="X35" s="7"/>
      <c r="Y35" s="7"/>
      <c r="Z35" s="16"/>
    </row>
    <row r="36" spans="2:27" ht="15.75" thickBot="1" x14ac:dyDescent="0.3">
      <c r="B36" s="6"/>
      <c r="C36" s="43" t="s">
        <v>35</v>
      </c>
      <c r="D36" s="54">
        <v>0.1</v>
      </c>
      <c r="E36" s="55">
        <f>NFL!D36 * Pricing!F20</f>
        <v>22.400000000000002</v>
      </c>
      <c r="F36" s="56">
        <f t="shared" si="0"/>
        <v>23</v>
      </c>
      <c r="G36" s="57">
        <f t="shared" si="1"/>
        <v>0.59999999999999787</v>
      </c>
      <c r="H36" s="7"/>
      <c r="I36" s="7"/>
      <c r="J36" s="7"/>
      <c r="K36" s="7"/>
      <c r="L36" s="7"/>
      <c r="M36" s="7"/>
      <c r="N36" s="7"/>
      <c r="O36" s="7"/>
      <c r="P36" s="7"/>
      <c r="Q36" s="7"/>
      <c r="R36" s="7"/>
      <c r="S36" s="7"/>
      <c r="T36" s="7"/>
      <c r="U36" s="7"/>
      <c r="V36" s="7"/>
      <c r="W36" s="7"/>
      <c r="X36" s="7"/>
      <c r="Y36" s="7"/>
      <c r="Z36" s="16"/>
      <c r="AA36" s="4"/>
    </row>
    <row r="37" spans="2:27" ht="15.75" thickBot="1" x14ac:dyDescent="0.3">
      <c r="B37" s="6"/>
      <c r="C37" s="7"/>
      <c r="D37" s="25"/>
      <c r="E37" s="106"/>
      <c r="F37" s="7"/>
      <c r="G37" s="7"/>
      <c r="H37" s="7"/>
      <c r="I37" s="7"/>
      <c r="J37" s="7"/>
      <c r="K37" s="7"/>
      <c r="L37" s="7"/>
      <c r="M37" s="7"/>
      <c r="N37" s="7"/>
      <c r="O37" s="7"/>
      <c r="P37" s="7"/>
      <c r="Q37" s="7"/>
      <c r="R37" s="7"/>
      <c r="S37" s="7"/>
      <c r="T37" s="7"/>
      <c r="U37" s="7"/>
      <c r="V37" s="7"/>
      <c r="W37" s="7"/>
      <c r="X37" s="7"/>
      <c r="Y37" s="7"/>
      <c r="Z37" s="16"/>
      <c r="AA37" s="4"/>
    </row>
    <row r="38" spans="2:27" ht="15.75" thickBot="1" x14ac:dyDescent="0.3">
      <c r="B38" s="6"/>
      <c r="C38" s="22" t="s">
        <v>36</v>
      </c>
      <c r="D38" s="35">
        <f>SUM(D5:D37)</f>
        <v>1.0000000000000004</v>
      </c>
      <c r="E38" s="36">
        <f>SUM(E5:E37)</f>
        <v>224.00000000000009</v>
      </c>
      <c r="F38" s="120">
        <f>SUM(F5:F36)</f>
        <v>242</v>
      </c>
      <c r="G38" s="37">
        <f>SUM(G5:G36)</f>
        <v>17.999999999999982</v>
      </c>
      <c r="H38" s="7"/>
      <c r="I38" s="164"/>
      <c r="J38" s="165"/>
      <c r="K38" s="165"/>
      <c r="L38" s="165"/>
      <c r="M38" s="165"/>
      <c r="N38" s="165"/>
      <c r="O38" s="165"/>
      <c r="P38" s="165"/>
      <c r="Q38" s="165"/>
      <c r="R38" s="165"/>
      <c r="S38" s="165"/>
      <c r="T38" s="165"/>
      <c r="U38" s="165"/>
      <c r="V38" s="165"/>
      <c r="W38" s="165"/>
      <c r="X38" s="165"/>
      <c r="Y38" s="166"/>
      <c r="Z38" s="16"/>
      <c r="AA38" s="4"/>
    </row>
    <row r="39" spans="2:27" x14ac:dyDescent="0.25">
      <c r="B39" s="6"/>
      <c r="C39" s="7"/>
      <c r="D39" s="25"/>
      <c r="E39" s="25"/>
      <c r="F39" s="7"/>
      <c r="G39" s="7"/>
      <c r="H39" s="7"/>
      <c r="I39" s="167"/>
      <c r="J39" s="168"/>
      <c r="K39" s="168"/>
      <c r="L39" s="168"/>
      <c r="M39" s="168"/>
      <c r="N39" s="168"/>
      <c r="O39" s="168"/>
      <c r="P39" s="168"/>
      <c r="Q39" s="168"/>
      <c r="R39" s="168"/>
      <c r="S39" s="168"/>
      <c r="T39" s="168"/>
      <c r="U39" s="168"/>
      <c r="V39" s="168"/>
      <c r="W39" s="168"/>
      <c r="X39" s="168"/>
      <c r="Y39" s="169"/>
      <c r="Z39" s="16"/>
      <c r="AA39" s="4"/>
    </row>
    <row r="40" spans="2:27" ht="21" x14ac:dyDescent="0.35">
      <c r="B40" s="6"/>
      <c r="C40" s="132" t="s">
        <v>39</v>
      </c>
      <c r="D40" s="133">
        <f>SUM(E38+G38)</f>
        <v>242.00000000000006</v>
      </c>
      <c r="E40" s="25"/>
      <c r="F40" s="7"/>
      <c r="G40" s="7"/>
      <c r="H40" s="7"/>
      <c r="I40" s="167"/>
      <c r="J40" s="168"/>
      <c r="K40" s="168"/>
      <c r="L40" s="168"/>
      <c r="M40" s="168"/>
      <c r="N40" s="168"/>
      <c r="O40" s="168"/>
      <c r="P40" s="168"/>
      <c r="Q40" s="168"/>
      <c r="R40" s="168"/>
      <c r="S40" s="168"/>
      <c r="T40" s="168"/>
      <c r="U40" s="168"/>
      <c r="V40" s="168"/>
      <c r="W40" s="168"/>
      <c r="X40" s="168"/>
      <c r="Y40" s="169"/>
      <c r="Z40" s="16"/>
      <c r="AA40" s="4"/>
    </row>
    <row r="41" spans="2:27" ht="15.75" thickBot="1" x14ac:dyDescent="0.3">
      <c r="B41" s="6"/>
      <c r="C41" s="7"/>
      <c r="D41" s="106"/>
      <c r="E41" s="25"/>
      <c r="F41" s="7"/>
      <c r="G41" s="7"/>
      <c r="H41" s="7"/>
      <c r="I41" s="170"/>
      <c r="J41" s="171"/>
      <c r="K41" s="171"/>
      <c r="L41" s="171"/>
      <c r="M41" s="171"/>
      <c r="N41" s="171"/>
      <c r="O41" s="171"/>
      <c r="P41" s="171"/>
      <c r="Q41" s="171"/>
      <c r="R41" s="171"/>
      <c r="S41" s="171"/>
      <c r="T41" s="171"/>
      <c r="U41" s="171"/>
      <c r="V41" s="171"/>
      <c r="W41" s="171"/>
      <c r="X41" s="171"/>
      <c r="Y41" s="172"/>
      <c r="Z41" s="16"/>
      <c r="AA41" s="4"/>
    </row>
    <row r="42" spans="2:27" ht="15.75" thickBot="1" x14ac:dyDescent="0.3">
      <c r="B42" s="107"/>
      <c r="C42" s="12" t="s">
        <v>168</v>
      </c>
      <c r="D42" s="26"/>
      <c r="E42" s="26"/>
      <c r="F42" s="12"/>
      <c r="G42" s="12"/>
      <c r="H42" s="12"/>
      <c r="I42" s="12"/>
      <c r="J42" s="12"/>
      <c r="K42" s="12"/>
      <c r="L42" s="12"/>
      <c r="M42" s="12"/>
      <c r="N42" s="12"/>
      <c r="O42" s="12"/>
      <c r="P42" s="12"/>
      <c r="Q42" s="12"/>
      <c r="R42" s="12"/>
      <c r="S42" s="12"/>
      <c r="T42" s="12"/>
      <c r="U42" s="12"/>
      <c r="V42" s="12"/>
      <c r="W42" s="12"/>
      <c r="X42" s="12"/>
      <c r="Y42" s="12"/>
      <c r="Z42" s="15"/>
      <c r="AA42" s="4"/>
    </row>
  </sheetData>
  <mergeCells count="2">
    <mergeCell ref="I38:Y41"/>
    <mergeCell ref="AB9:AC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28D57-A982-4074-9D6F-1CB87D0CC993}">
  <sheetPr codeName="Sheet3"/>
  <dimension ref="B2:AC42"/>
  <sheetViews>
    <sheetView zoomScale="55" zoomScaleNormal="55" workbookViewId="0"/>
  </sheetViews>
  <sheetFormatPr defaultRowHeight="15" x14ac:dyDescent="0.25"/>
  <cols>
    <col min="3" max="3" width="31.42578125" customWidth="1"/>
    <col min="4" max="4" width="17.42578125" customWidth="1"/>
    <col min="5" max="5" width="9.42578125" customWidth="1"/>
    <col min="7" max="7" width="10.85546875" customWidth="1"/>
    <col min="26" max="26" width="9.140625" customWidth="1"/>
    <col min="28" max="28" width="12.85546875" customWidth="1"/>
    <col min="29" max="29" width="11.42578125" customWidth="1"/>
  </cols>
  <sheetData>
    <row r="2" spans="2:29" ht="15.75" thickBot="1" x14ac:dyDescent="0.3"/>
    <row r="3" spans="2:29" ht="15.75" thickBot="1" x14ac:dyDescent="0.3">
      <c r="B3" s="102"/>
      <c r="C3" s="103"/>
      <c r="D3" s="103"/>
      <c r="E3" s="103"/>
      <c r="F3" s="103"/>
      <c r="G3" s="103"/>
      <c r="H3" s="103"/>
      <c r="I3" s="103"/>
      <c r="J3" s="103"/>
      <c r="K3" s="103"/>
      <c r="L3" s="103"/>
      <c r="M3" s="103"/>
      <c r="N3" s="103"/>
      <c r="O3" s="103"/>
      <c r="P3" s="103"/>
      <c r="Q3" s="103"/>
      <c r="R3" s="103"/>
      <c r="S3" s="103"/>
      <c r="T3" s="103"/>
      <c r="U3" s="103"/>
      <c r="V3" s="103"/>
      <c r="W3" s="103"/>
      <c r="X3" s="103"/>
      <c r="Y3" s="103"/>
      <c r="Z3" s="105"/>
    </row>
    <row r="4" spans="2:29" ht="15.75" thickBot="1" x14ac:dyDescent="0.3">
      <c r="B4" s="6"/>
      <c r="C4" s="45" t="s">
        <v>41</v>
      </c>
      <c r="D4" s="13" t="s">
        <v>0</v>
      </c>
      <c r="E4" s="13" t="s">
        <v>1</v>
      </c>
      <c r="F4" s="45" t="s">
        <v>37</v>
      </c>
      <c r="G4" s="45" t="s">
        <v>38</v>
      </c>
      <c r="H4" s="7"/>
      <c r="I4" s="7"/>
      <c r="J4" s="7"/>
      <c r="K4" s="7"/>
      <c r="L4" s="7"/>
      <c r="M4" s="7"/>
      <c r="N4" s="7"/>
      <c r="O4" s="7"/>
      <c r="P4" s="7"/>
      <c r="Q4" s="7"/>
      <c r="R4" s="7"/>
      <c r="S4" s="7"/>
      <c r="T4" s="7"/>
      <c r="U4" s="7"/>
      <c r="V4" s="7"/>
      <c r="W4" s="7"/>
      <c r="X4" s="7"/>
      <c r="Y4" s="7"/>
      <c r="Z4" s="16"/>
    </row>
    <row r="5" spans="2:29" x14ac:dyDescent="0.25">
      <c r="B5" s="6"/>
      <c r="C5" s="38" t="s">
        <v>42</v>
      </c>
      <c r="D5" s="46">
        <v>0.03</v>
      </c>
      <c r="E5" s="47">
        <f>MLB!D5 * Pricing!K20</f>
        <v>6.72</v>
      </c>
      <c r="F5" s="48">
        <f t="shared" ref="F5:F36" si="0">CEILING(E5, 1) - 0</f>
        <v>7</v>
      </c>
      <c r="G5" s="49">
        <f t="shared" ref="G5:G36" si="1">SUM(F5-E5)</f>
        <v>0.28000000000000025</v>
      </c>
      <c r="H5" s="7"/>
      <c r="I5" s="7"/>
      <c r="J5" s="7"/>
      <c r="K5" s="7"/>
      <c r="L5" s="7"/>
      <c r="M5" s="7"/>
      <c r="N5" s="7"/>
      <c r="O5" s="7"/>
      <c r="P5" s="7"/>
      <c r="Q5" s="7"/>
      <c r="R5" s="7"/>
      <c r="S5" s="7"/>
      <c r="T5" s="7"/>
      <c r="U5" s="7"/>
      <c r="V5" s="7"/>
      <c r="W5" s="7"/>
      <c r="X5" s="7"/>
      <c r="Y5" s="7"/>
      <c r="Z5" s="16"/>
    </row>
    <row r="6" spans="2:29" x14ac:dyDescent="0.25">
      <c r="B6" s="6"/>
      <c r="C6" s="40" t="s">
        <v>43</v>
      </c>
      <c r="D6" s="50">
        <v>0.03</v>
      </c>
      <c r="E6" s="51">
        <f>MLB!D6 * Pricing!K20</f>
        <v>6.72</v>
      </c>
      <c r="F6" s="52">
        <f t="shared" si="0"/>
        <v>7</v>
      </c>
      <c r="G6" s="53">
        <f t="shared" si="1"/>
        <v>0.28000000000000025</v>
      </c>
      <c r="H6" s="7"/>
      <c r="I6" s="7"/>
      <c r="J6" s="7"/>
      <c r="K6" s="7"/>
      <c r="L6" s="7"/>
      <c r="M6" s="7"/>
      <c r="N6" s="7"/>
      <c r="O6" s="7"/>
      <c r="P6" s="7"/>
      <c r="Q6" s="7"/>
      <c r="R6" s="7"/>
      <c r="S6" s="7"/>
      <c r="T6" s="7"/>
      <c r="U6" s="7"/>
      <c r="V6" s="7"/>
      <c r="W6" s="7"/>
      <c r="X6" s="7"/>
      <c r="Y6" s="7"/>
      <c r="Z6" s="16"/>
    </row>
    <row r="7" spans="2:29" ht="15.75" thickBot="1" x14ac:dyDescent="0.3">
      <c r="B7" s="6"/>
      <c r="C7" s="40" t="s">
        <v>44</v>
      </c>
      <c r="D7" s="50">
        <v>0.04</v>
      </c>
      <c r="E7" s="51">
        <f>MLB!D7 * Pricing!K20</f>
        <v>8.9600000000000009</v>
      </c>
      <c r="F7" s="52">
        <f t="shared" si="0"/>
        <v>9</v>
      </c>
      <c r="G7" s="53">
        <f t="shared" si="1"/>
        <v>3.9999999999999147E-2</v>
      </c>
      <c r="H7" s="7"/>
      <c r="I7" s="7"/>
      <c r="J7" s="7"/>
      <c r="K7" s="7"/>
      <c r="L7" s="7"/>
      <c r="M7" s="7"/>
      <c r="N7" s="7"/>
      <c r="O7" s="7"/>
      <c r="P7" s="7"/>
      <c r="Q7" s="7"/>
      <c r="R7" s="7"/>
      <c r="S7" s="7"/>
      <c r="T7" s="7"/>
      <c r="U7" s="7"/>
      <c r="V7" s="7"/>
      <c r="W7" s="7"/>
      <c r="X7" s="7"/>
      <c r="Y7" s="7"/>
      <c r="Z7" s="16"/>
    </row>
    <row r="8" spans="2:29" x14ac:dyDescent="0.25">
      <c r="B8" s="6"/>
      <c r="C8" s="40" t="s">
        <v>66</v>
      </c>
      <c r="D8" s="50">
        <v>0.04</v>
      </c>
      <c r="E8" s="51">
        <f>MLB!D8 * Pricing!K20</f>
        <v>8.9600000000000009</v>
      </c>
      <c r="F8" s="52">
        <f t="shared" si="0"/>
        <v>9</v>
      </c>
      <c r="G8" s="53">
        <f t="shared" si="1"/>
        <v>3.9999999999999147E-2</v>
      </c>
      <c r="H8" s="7"/>
      <c r="I8" s="7"/>
      <c r="J8" s="7"/>
      <c r="K8" s="7"/>
      <c r="L8" s="7"/>
      <c r="M8" s="7"/>
      <c r="N8" s="7"/>
      <c r="O8" s="7"/>
      <c r="P8" s="7"/>
      <c r="Q8" s="7"/>
      <c r="R8" s="7"/>
      <c r="S8" s="7"/>
      <c r="T8" s="7"/>
      <c r="U8" s="7"/>
      <c r="V8" s="7"/>
      <c r="W8" s="7"/>
      <c r="X8" s="7"/>
      <c r="Y8" s="7"/>
      <c r="Z8" s="16"/>
      <c r="AB8" s="123"/>
      <c r="AC8" s="124"/>
    </row>
    <row r="9" spans="2:29" ht="21" x14ac:dyDescent="0.25">
      <c r="B9" s="6"/>
      <c r="C9" s="42" t="s">
        <v>104</v>
      </c>
      <c r="D9" s="50">
        <v>0</v>
      </c>
      <c r="E9" s="51">
        <f>MLB!D9 * Pricing!K20</f>
        <v>0</v>
      </c>
      <c r="F9" s="52">
        <f t="shared" si="0"/>
        <v>0</v>
      </c>
      <c r="G9" s="53">
        <f t="shared" si="1"/>
        <v>0</v>
      </c>
      <c r="H9" s="7"/>
      <c r="I9" s="7"/>
      <c r="J9" s="7"/>
      <c r="K9" s="7"/>
      <c r="L9" s="7"/>
      <c r="M9" s="7"/>
      <c r="N9" s="7"/>
      <c r="O9" s="7"/>
      <c r="P9" s="7"/>
      <c r="Q9" s="7"/>
      <c r="R9" s="7"/>
      <c r="S9" s="7"/>
      <c r="T9" s="7"/>
      <c r="U9" s="7"/>
      <c r="V9" s="7"/>
      <c r="W9" s="7"/>
      <c r="X9" s="7"/>
      <c r="Y9" s="7"/>
      <c r="Z9" s="16"/>
      <c r="AB9" s="173" t="s">
        <v>164</v>
      </c>
      <c r="AC9" s="174"/>
    </row>
    <row r="10" spans="2:29" ht="15" customHeight="1" x14ac:dyDescent="0.25">
      <c r="B10" s="6"/>
      <c r="C10" s="40" t="s">
        <v>46</v>
      </c>
      <c r="D10" s="50">
        <v>0.02</v>
      </c>
      <c r="E10" s="51">
        <f>MLB!D10 * Pricing!K20</f>
        <v>4.4800000000000004</v>
      </c>
      <c r="F10" s="52">
        <f t="shared" si="0"/>
        <v>5</v>
      </c>
      <c r="G10" s="53">
        <f t="shared" si="1"/>
        <v>0.51999999999999957</v>
      </c>
      <c r="H10" s="7"/>
      <c r="I10" s="7"/>
      <c r="J10" s="7"/>
      <c r="K10" s="7"/>
      <c r="L10" s="7"/>
      <c r="M10" s="7"/>
      <c r="N10" s="7"/>
      <c r="O10" s="7"/>
      <c r="P10" s="7"/>
      <c r="Q10" s="7"/>
      <c r="R10" s="7"/>
      <c r="S10" s="7"/>
      <c r="T10" s="7"/>
      <c r="U10" s="7"/>
      <c r="V10" s="7"/>
      <c r="W10" s="7"/>
      <c r="X10" s="7"/>
      <c r="Y10" s="7"/>
      <c r="Z10" s="16"/>
      <c r="AB10" s="134" t="s">
        <v>178</v>
      </c>
      <c r="AC10" s="135" t="s">
        <v>0</v>
      </c>
    </row>
    <row r="11" spans="2:29" x14ac:dyDescent="0.25">
      <c r="B11" s="6"/>
      <c r="C11" s="40" t="s">
        <v>48</v>
      </c>
      <c r="D11" s="50">
        <v>0.01</v>
      </c>
      <c r="E11" s="51">
        <f>MLB!D11 * Pricing!K20</f>
        <v>2.2400000000000002</v>
      </c>
      <c r="F11" s="52">
        <f t="shared" si="0"/>
        <v>3</v>
      </c>
      <c r="G11" s="53">
        <f t="shared" si="1"/>
        <v>0.75999999999999979</v>
      </c>
      <c r="H11" s="7"/>
      <c r="I11" s="7"/>
      <c r="J11" s="7"/>
      <c r="K11" s="7"/>
      <c r="L11" s="7"/>
      <c r="M11" s="7"/>
      <c r="N11" s="7"/>
      <c r="O11" s="7"/>
      <c r="P11" s="7"/>
      <c r="Q11" s="7"/>
      <c r="R11" s="7"/>
      <c r="S11" s="7"/>
      <c r="T11" s="7"/>
      <c r="U11" s="7"/>
      <c r="V11" s="7"/>
      <c r="W11" s="7"/>
      <c r="X11" s="7"/>
      <c r="Y11" s="7"/>
      <c r="Z11" s="16"/>
      <c r="AB11" s="127" t="s">
        <v>169</v>
      </c>
      <c r="AC11" s="128" t="s">
        <v>170</v>
      </c>
    </row>
    <row r="12" spans="2:29" x14ac:dyDescent="0.25">
      <c r="B12" s="6"/>
      <c r="C12" s="40" t="s">
        <v>49</v>
      </c>
      <c r="D12" s="50">
        <v>0.03</v>
      </c>
      <c r="E12" s="51">
        <f>MLB!D12 * Pricing!K20</f>
        <v>6.72</v>
      </c>
      <c r="F12" s="52">
        <f t="shared" si="0"/>
        <v>7</v>
      </c>
      <c r="G12" s="53">
        <f t="shared" si="1"/>
        <v>0.28000000000000025</v>
      </c>
      <c r="H12" s="7"/>
      <c r="I12" s="7"/>
      <c r="J12" s="7"/>
      <c r="K12" s="7"/>
      <c r="L12" s="7"/>
      <c r="M12" s="7"/>
      <c r="N12" s="7"/>
      <c r="O12" s="7"/>
      <c r="P12" s="7"/>
      <c r="Q12" s="7"/>
      <c r="R12" s="7"/>
      <c r="S12" s="7"/>
      <c r="T12" s="7"/>
      <c r="U12" s="7"/>
      <c r="V12" s="7"/>
      <c r="W12" s="7"/>
      <c r="X12" s="7"/>
      <c r="Y12" s="7"/>
      <c r="Z12" s="16"/>
      <c r="AB12" s="127" t="s">
        <v>171</v>
      </c>
      <c r="AC12" s="128" t="s">
        <v>172</v>
      </c>
    </row>
    <row r="13" spans="2:29" x14ac:dyDescent="0.25">
      <c r="B13" s="6"/>
      <c r="C13" s="40" t="s">
        <v>65</v>
      </c>
      <c r="D13" s="50">
        <v>0.04</v>
      </c>
      <c r="E13" s="51">
        <f>MLB!D13 * Pricing!K20</f>
        <v>8.9600000000000009</v>
      </c>
      <c r="F13" s="52">
        <f t="shared" si="0"/>
        <v>9</v>
      </c>
      <c r="G13" s="53">
        <f t="shared" si="1"/>
        <v>3.9999999999999147E-2</v>
      </c>
      <c r="H13" s="7"/>
      <c r="I13" s="7"/>
      <c r="J13" s="7"/>
      <c r="K13" s="7"/>
      <c r="L13" s="7"/>
      <c r="M13" s="7"/>
      <c r="N13" s="7"/>
      <c r="O13" s="7"/>
      <c r="P13" s="7"/>
      <c r="Q13" s="7"/>
      <c r="R13" s="7"/>
      <c r="S13" s="7"/>
      <c r="T13" s="7"/>
      <c r="U13" s="7"/>
      <c r="V13" s="7"/>
      <c r="W13" s="7"/>
      <c r="X13" s="7"/>
      <c r="Y13" s="7"/>
      <c r="Z13" s="16"/>
      <c r="AB13" s="127" t="s">
        <v>173</v>
      </c>
      <c r="AC13" s="128" t="s">
        <v>174</v>
      </c>
    </row>
    <row r="14" spans="2:29" x14ac:dyDescent="0.25">
      <c r="B14" s="6"/>
      <c r="C14" s="40" t="s">
        <v>50</v>
      </c>
      <c r="D14" s="50">
        <v>0.01</v>
      </c>
      <c r="E14" s="51">
        <f>MLB!D14 * Pricing!K20</f>
        <v>2.2400000000000002</v>
      </c>
      <c r="F14" s="52">
        <f t="shared" si="0"/>
        <v>3</v>
      </c>
      <c r="G14" s="53">
        <f t="shared" si="1"/>
        <v>0.75999999999999979</v>
      </c>
      <c r="H14" s="7"/>
      <c r="I14" s="7"/>
      <c r="J14" s="7"/>
      <c r="K14" s="7"/>
      <c r="L14" s="7"/>
      <c r="M14" s="7"/>
      <c r="N14" s="7"/>
      <c r="O14" s="7"/>
      <c r="P14" s="7"/>
      <c r="Q14" s="7"/>
      <c r="R14" s="7"/>
      <c r="S14" s="7"/>
      <c r="T14" s="7"/>
      <c r="U14" s="7"/>
      <c r="V14" s="7"/>
      <c r="W14" s="7"/>
      <c r="X14" s="7"/>
      <c r="Y14" s="7"/>
      <c r="Z14" s="16"/>
      <c r="AB14" s="127" t="s">
        <v>175</v>
      </c>
      <c r="AC14" s="128" t="s">
        <v>176</v>
      </c>
    </row>
    <row r="15" spans="2:29" x14ac:dyDescent="0.25">
      <c r="B15" s="6"/>
      <c r="C15" s="40" t="s">
        <v>51</v>
      </c>
      <c r="D15" s="50">
        <v>0.03</v>
      </c>
      <c r="E15" s="51">
        <f>MLB!D15 * Pricing!K20</f>
        <v>6.72</v>
      </c>
      <c r="F15" s="52">
        <f t="shared" si="0"/>
        <v>7</v>
      </c>
      <c r="G15" s="53">
        <f t="shared" si="1"/>
        <v>0.28000000000000025</v>
      </c>
      <c r="H15" s="7"/>
      <c r="I15" s="7"/>
      <c r="J15" s="7"/>
      <c r="K15" s="7"/>
      <c r="L15" s="7"/>
      <c r="M15" s="7"/>
      <c r="N15" s="7"/>
      <c r="O15" s="7"/>
      <c r="P15" s="7"/>
      <c r="Q15" s="7"/>
      <c r="R15" s="7"/>
      <c r="S15" s="7"/>
      <c r="T15" s="7"/>
      <c r="U15" s="7"/>
      <c r="V15" s="7"/>
      <c r="W15" s="7"/>
      <c r="X15" s="7"/>
      <c r="Y15" s="7"/>
      <c r="Z15" s="16"/>
      <c r="AB15" s="127">
        <v>11</v>
      </c>
      <c r="AC15" s="129">
        <v>0.03</v>
      </c>
    </row>
    <row r="16" spans="2:29" x14ac:dyDescent="0.25">
      <c r="B16" s="6"/>
      <c r="C16" s="40" t="s">
        <v>55</v>
      </c>
      <c r="D16" s="50">
        <v>0.04</v>
      </c>
      <c r="E16" s="51">
        <f>MLB!D16* Pricing!K20</f>
        <v>8.9600000000000009</v>
      </c>
      <c r="F16" s="52">
        <f t="shared" si="0"/>
        <v>9</v>
      </c>
      <c r="G16" s="53">
        <f t="shared" si="1"/>
        <v>3.9999999999999147E-2</v>
      </c>
      <c r="H16" s="7"/>
      <c r="I16" s="7"/>
      <c r="J16" s="7"/>
      <c r="K16" s="7"/>
      <c r="L16" s="7"/>
      <c r="M16" s="7"/>
      <c r="N16" s="7"/>
      <c r="O16" s="7"/>
      <c r="P16" s="7"/>
      <c r="Q16" s="7"/>
      <c r="R16" s="7"/>
      <c r="S16" s="7"/>
      <c r="T16" s="7"/>
      <c r="U16" s="7"/>
      <c r="V16" s="7"/>
      <c r="W16" s="7"/>
      <c r="X16" s="7"/>
      <c r="Y16" s="7"/>
      <c r="Z16" s="16"/>
      <c r="AB16" s="127">
        <v>12</v>
      </c>
      <c r="AC16" s="129">
        <v>0.03</v>
      </c>
    </row>
    <row r="17" spans="2:29" x14ac:dyDescent="0.25">
      <c r="B17" s="6"/>
      <c r="C17" s="40" t="s">
        <v>52</v>
      </c>
      <c r="D17" s="50">
        <v>0.06</v>
      </c>
      <c r="E17" s="51">
        <f>MLB!D17 * Pricing!K20</f>
        <v>13.44</v>
      </c>
      <c r="F17" s="52">
        <f t="shared" si="0"/>
        <v>14</v>
      </c>
      <c r="G17" s="53">
        <f t="shared" si="1"/>
        <v>0.5600000000000005</v>
      </c>
      <c r="H17" s="7"/>
      <c r="I17" s="7"/>
      <c r="J17" s="7"/>
      <c r="K17" s="7"/>
      <c r="L17" s="7"/>
      <c r="M17" s="7"/>
      <c r="N17" s="7"/>
      <c r="O17" s="7"/>
      <c r="P17" s="7"/>
      <c r="Q17" s="7"/>
      <c r="R17" s="7"/>
      <c r="S17" s="7"/>
      <c r="T17" s="7"/>
      <c r="U17" s="7"/>
      <c r="V17" s="7"/>
      <c r="W17" s="7"/>
      <c r="X17" s="7"/>
      <c r="Y17" s="7"/>
      <c r="Z17" s="16"/>
      <c r="AB17" s="127">
        <v>13</v>
      </c>
      <c r="AC17" s="129">
        <v>0.03</v>
      </c>
    </row>
    <row r="18" spans="2:29" x14ac:dyDescent="0.25">
      <c r="B18" s="6"/>
      <c r="C18" s="40" t="s">
        <v>47</v>
      </c>
      <c r="D18" s="50">
        <v>0.01</v>
      </c>
      <c r="E18" s="51">
        <f>MLB!D18 * Pricing!K20</f>
        <v>2.2400000000000002</v>
      </c>
      <c r="F18" s="52">
        <f t="shared" si="0"/>
        <v>3</v>
      </c>
      <c r="G18" s="53">
        <f t="shared" si="1"/>
        <v>0.75999999999999979</v>
      </c>
      <c r="H18" s="7"/>
      <c r="I18" s="7"/>
      <c r="J18" s="7"/>
      <c r="K18" s="7"/>
      <c r="L18" s="7"/>
      <c r="M18" s="7"/>
      <c r="N18" s="7"/>
      <c r="O18" s="7"/>
      <c r="P18" s="7"/>
      <c r="Q18" s="7"/>
      <c r="R18" s="7"/>
      <c r="S18" s="7"/>
      <c r="T18" s="7"/>
      <c r="U18" s="7"/>
      <c r="V18" s="7"/>
      <c r="W18" s="7"/>
      <c r="X18" s="7"/>
      <c r="Y18" s="7"/>
      <c r="Z18" s="16"/>
      <c r="AB18" s="127">
        <v>14</v>
      </c>
      <c r="AC18" s="129">
        <v>0.03</v>
      </c>
    </row>
    <row r="19" spans="2:29" x14ac:dyDescent="0.25">
      <c r="B19" s="6"/>
      <c r="C19" s="40" t="s">
        <v>59</v>
      </c>
      <c r="D19" s="50">
        <v>0.02</v>
      </c>
      <c r="E19" s="51">
        <f>MLB!D19 * Pricing!K20</f>
        <v>4.4800000000000004</v>
      </c>
      <c r="F19" s="52">
        <f t="shared" si="0"/>
        <v>5</v>
      </c>
      <c r="G19" s="53">
        <f t="shared" si="1"/>
        <v>0.51999999999999957</v>
      </c>
      <c r="H19" s="7"/>
      <c r="I19" s="7"/>
      <c r="J19" s="7"/>
      <c r="K19" s="7"/>
      <c r="L19" s="7"/>
      <c r="M19" s="7"/>
      <c r="N19" s="7"/>
      <c r="O19" s="7"/>
      <c r="P19" s="7"/>
      <c r="Q19" s="7"/>
      <c r="R19" s="7"/>
      <c r="S19" s="7"/>
      <c r="T19" s="7"/>
      <c r="U19" s="7"/>
      <c r="V19" s="7"/>
      <c r="W19" s="7"/>
      <c r="X19" s="7"/>
      <c r="Y19" s="7"/>
      <c r="Z19" s="16"/>
      <c r="AB19" s="127">
        <v>15</v>
      </c>
      <c r="AC19" s="129">
        <v>0.02</v>
      </c>
    </row>
    <row r="20" spans="2:29" x14ac:dyDescent="0.25">
      <c r="B20" s="6"/>
      <c r="C20" s="40" t="s">
        <v>53</v>
      </c>
      <c r="D20" s="50">
        <v>0.01</v>
      </c>
      <c r="E20" s="51">
        <f>MLB!D20 * Pricing!EK20</f>
        <v>0</v>
      </c>
      <c r="F20" s="52">
        <f t="shared" si="0"/>
        <v>0</v>
      </c>
      <c r="G20" s="53">
        <f t="shared" si="1"/>
        <v>0</v>
      </c>
      <c r="H20" s="7"/>
      <c r="I20" s="7"/>
      <c r="J20" s="7"/>
      <c r="K20" s="7"/>
      <c r="L20" s="7"/>
      <c r="M20" s="7"/>
      <c r="N20" s="7"/>
      <c r="O20" s="7"/>
      <c r="P20" s="7"/>
      <c r="Q20" s="7"/>
      <c r="R20" s="7"/>
      <c r="S20" s="7"/>
      <c r="T20" s="7"/>
      <c r="U20" s="7"/>
      <c r="V20" s="7"/>
      <c r="W20" s="7"/>
      <c r="X20" s="7"/>
      <c r="Y20" s="7"/>
      <c r="Z20" s="16"/>
      <c r="AB20" s="127">
        <v>16</v>
      </c>
      <c r="AC20" s="129">
        <v>0.02</v>
      </c>
    </row>
    <row r="21" spans="2:29" x14ac:dyDescent="0.25">
      <c r="B21" s="6"/>
      <c r="C21" s="40" t="s">
        <v>60</v>
      </c>
      <c r="D21" s="50">
        <v>0.01</v>
      </c>
      <c r="E21" s="51">
        <f>MLB!D21 * Pricing!K20</f>
        <v>2.2400000000000002</v>
      </c>
      <c r="F21" s="52">
        <f t="shared" si="0"/>
        <v>3</v>
      </c>
      <c r="G21" s="53">
        <f t="shared" si="1"/>
        <v>0.75999999999999979</v>
      </c>
      <c r="H21" s="7"/>
      <c r="I21" s="7"/>
      <c r="J21" s="7"/>
      <c r="K21" s="7"/>
      <c r="L21" s="7"/>
      <c r="M21" s="7"/>
      <c r="N21" s="7"/>
      <c r="O21" s="7"/>
      <c r="P21" s="7"/>
      <c r="Q21" s="7"/>
      <c r="R21" s="7"/>
      <c r="S21" s="7"/>
      <c r="T21" s="7"/>
      <c r="U21" s="7"/>
      <c r="V21" s="7"/>
      <c r="W21" s="7"/>
      <c r="X21" s="7"/>
      <c r="Y21" s="7"/>
      <c r="Z21" s="16"/>
      <c r="AB21" s="127">
        <v>17</v>
      </c>
      <c r="AC21" s="129">
        <v>0.02</v>
      </c>
    </row>
    <row r="22" spans="2:29" x14ac:dyDescent="0.25">
      <c r="B22" s="6"/>
      <c r="C22" s="40" t="s">
        <v>102</v>
      </c>
      <c r="D22" s="50">
        <v>0.1</v>
      </c>
      <c r="E22" s="51">
        <f>MLB!D22 * Pricing!K20</f>
        <v>22.400000000000002</v>
      </c>
      <c r="F22" s="52">
        <f t="shared" si="0"/>
        <v>23</v>
      </c>
      <c r="G22" s="53">
        <f t="shared" si="1"/>
        <v>0.59999999999999787</v>
      </c>
      <c r="H22" s="7"/>
      <c r="I22" s="7"/>
      <c r="J22" s="7"/>
      <c r="K22" s="7"/>
      <c r="L22" s="7"/>
      <c r="M22" s="7"/>
      <c r="N22" s="7"/>
      <c r="O22" s="7"/>
      <c r="P22" s="7"/>
      <c r="Q22" s="7"/>
      <c r="R22" s="7"/>
      <c r="S22" s="7"/>
      <c r="T22" s="7"/>
      <c r="U22" s="7"/>
      <c r="V22" s="7"/>
      <c r="W22" s="7"/>
      <c r="X22" s="7"/>
      <c r="Y22" s="7"/>
      <c r="Z22" s="16"/>
      <c r="AB22" s="127">
        <v>18</v>
      </c>
      <c r="AC22" s="129">
        <v>0.02</v>
      </c>
    </row>
    <row r="23" spans="2:29" x14ac:dyDescent="0.25">
      <c r="B23" s="6"/>
      <c r="C23" s="40" t="s">
        <v>103</v>
      </c>
      <c r="D23" s="50">
        <v>0.02</v>
      </c>
      <c r="E23" s="51">
        <f>MLB!D23 * Pricing!K20</f>
        <v>4.4800000000000004</v>
      </c>
      <c r="F23" s="52">
        <f t="shared" si="0"/>
        <v>5</v>
      </c>
      <c r="G23" s="53">
        <f t="shared" si="1"/>
        <v>0.51999999999999957</v>
      </c>
      <c r="H23" s="7"/>
      <c r="I23" s="7"/>
      <c r="J23" s="7"/>
      <c r="K23" s="7"/>
      <c r="L23" s="7"/>
      <c r="M23" s="7"/>
      <c r="N23" s="7"/>
      <c r="O23" s="7"/>
      <c r="P23" s="7"/>
      <c r="Q23" s="7"/>
      <c r="R23" s="7"/>
      <c r="S23" s="7"/>
      <c r="T23" s="7"/>
      <c r="U23" s="7"/>
      <c r="V23" s="7"/>
      <c r="W23" s="7"/>
      <c r="X23" s="7"/>
      <c r="Y23" s="7"/>
      <c r="Z23" s="16"/>
      <c r="AB23" s="127">
        <v>19</v>
      </c>
      <c r="AC23" s="129">
        <v>0.02</v>
      </c>
    </row>
    <row r="24" spans="2:29" x14ac:dyDescent="0.25">
      <c r="B24" s="6"/>
      <c r="C24" s="40" t="s">
        <v>54</v>
      </c>
      <c r="D24" s="50">
        <v>0.02</v>
      </c>
      <c r="E24" s="51">
        <f>MLB!D24 * Pricing!K20</f>
        <v>4.4800000000000004</v>
      </c>
      <c r="F24" s="52">
        <f t="shared" si="0"/>
        <v>5</v>
      </c>
      <c r="G24" s="53">
        <f t="shared" si="1"/>
        <v>0.51999999999999957</v>
      </c>
      <c r="H24" s="7"/>
      <c r="I24" s="7"/>
      <c r="J24" s="7"/>
      <c r="K24" s="7"/>
      <c r="L24" s="7"/>
      <c r="M24" s="7"/>
      <c r="N24" s="7"/>
      <c r="O24" s="7"/>
      <c r="P24" s="7"/>
      <c r="Q24" s="7"/>
      <c r="R24" s="7"/>
      <c r="S24" s="7"/>
      <c r="T24" s="7"/>
      <c r="U24" s="7"/>
      <c r="V24" s="7"/>
      <c r="W24" s="7"/>
      <c r="X24" s="7"/>
      <c r="Y24" s="7"/>
      <c r="Z24" s="16"/>
      <c r="AB24" s="127">
        <v>20</v>
      </c>
      <c r="AC24" s="129">
        <v>0.02</v>
      </c>
    </row>
    <row r="25" spans="2:29" x14ac:dyDescent="0.25">
      <c r="B25" s="6"/>
      <c r="C25" s="40" t="s">
        <v>105</v>
      </c>
      <c r="D25" s="50">
        <v>0.03</v>
      </c>
      <c r="E25" s="51">
        <f>MLB!D25 * Pricing!K20</f>
        <v>6.72</v>
      </c>
      <c r="F25" s="52">
        <f t="shared" si="0"/>
        <v>7</v>
      </c>
      <c r="G25" s="53">
        <f t="shared" si="1"/>
        <v>0.28000000000000025</v>
      </c>
      <c r="H25" s="7"/>
      <c r="I25" s="7"/>
      <c r="J25" s="7"/>
      <c r="K25" s="7"/>
      <c r="L25" s="7"/>
      <c r="M25" s="7"/>
      <c r="N25" s="7"/>
      <c r="O25" s="7"/>
      <c r="P25" s="7"/>
      <c r="Q25" s="7"/>
      <c r="R25" s="7"/>
      <c r="S25" s="7"/>
      <c r="T25" s="7"/>
      <c r="U25" s="7"/>
      <c r="V25" s="7"/>
      <c r="W25" s="7"/>
      <c r="X25" s="7"/>
      <c r="Y25" s="7"/>
      <c r="Z25" s="16"/>
      <c r="AB25" s="127">
        <v>21</v>
      </c>
      <c r="AC25" s="129">
        <v>0.02</v>
      </c>
    </row>
    <row r="26" spans="2:29" x14ac:dyDescent="0.25">
      <c r="B26" s="6"/>
      <c r="C26" s="40" t="s">
        <v>45</v>
      </c>
      <c r="D26" s="50">
        <v>0.06</v>
      </c>
      <c r="E26" s="51">
        <f>MLB!D26 * Pricing!K20</f>
        <v>13.44</v>
      </c>
      <c r="F26" s="52">
        <f t="shared" si="0"/>
        <v>14</v>
      </c>
      <c r="G26" s="53">
        <f t="shared" si="1"/>
        <v>0.5600000000000005</v>
      </c>
      <c r="H26" s="7"/>
      <c r="I26" s="7"/>
      <c r="J26" s="7"/>
      <c r="K26" s="7"/>
      <c r="L26" s="7"/>
      <c r="M26" s="7"/>
      <c r="N26" s="7"/>
      <c r="O26" s="7"/>
      <c r="P26" s="7"/>
      <c r="Q26" s="7"/>
      <c r="R26" s="7"/>
      <c r="S26" s="7"/>
      <c r="T26" s="7"/>
      <c r="U26" s="7"/>
      <c r="V26" s="7"/>
      <c r="W26" s="7"/>
      <c r="X26" s="7"/>
      <c r="Y26" s="7"/>
      <c r="Z26" s="16"/>
      <c r="AB26" s="127">
        <v>22</v>
      </c>
      <c r="AC26" s="129">
        <v>0.02</v>
      </c>
    </row>
    <row r="27" spans="2:29" x14ac:dyDescent="0.25">
      <c r="B27" s="6"/>
      <c r="C27" s="42" t="s">
        <v>106</v>
      </c>
      <c r="D27" s="50">
        <v>0</v>
      </c>
      <c r="E27" s="51">
        <f>MLB!D27 * Pricing!K20</f>
        <v>0</v>
      </c>
      <c r="F27" s="52">
        <f t="shared" si="0"/>
        <v>0</v>
      </c>
      <c r="G27" s="53">
        <f t="shared" si="1"/>
        <v>0</v>
      </c>
      <c r="H27" s="7"/>
      <c r="I27" s="7"/>
      <c r="J27" s="7"/>
      <c r="K27" s="7"/>
      <c r="L27" s="7"/>
      <c r="M27" s="7"/>
      <c r="N27" s="7"/>
      <c r="O27" s="7"/>
      <c r="P27" s="7"/>
      <c r="Q27" s="7"/>
      <c r="R27" s="7"/>
      <c r="S27" s="7"/>
      <c r="T27" s="7"/>
      <c r="U27" s="7"/>
      <c r="V27" s="7"/>
      <c r="W27" s="7"/>
      <c r="X27" s="7"/>
      <c r="Y27" s="7"/>
      <c r="Z27" s="16"/>
      <c r="AB27" s="127"/>
      <c r="AC27" s="129"/>
    </row>
    <row r="28" spans="2:29" ht="15.75" thickBot="1" x14ac:dyDescent="0.3">
      <c r="B28" s="6"/>
      <c r="C28" s="40" t="s">
        <v>57</v>
      </c>
      <c r="D28" s="50">
        <v>0.1</v>
      </c>
      <c r="E28" s="51">
        <f>MLB!D28 * Pricing!K20</f>
        <v>22.400000000000002</v>
      </c>
      <c r="F28" s="52">
        <f t="shared" si="0"/>
        <v>23</v>
      </c>
      <c r="G28" s="53">
        <f t="shared" si="1"/>
        <v>0.59999999999999787</v>
      </c>
      <c r="H28" s="7"/>
      <c r="I28" s="7"/>
      <c r="J28" s="7"/>
      <c r="K28" s="7"/>
      <c r="L28" s="7"/>
      <c r="M28" s="7"/>
      <c r="N28" s="7"/>
      <c r="O28" s="7"/>
      <c r="P28" s="7"/>
      <c r="Q28" s="7"/>
      <c r="R28" s="7"/>
      <c r="S28" s="7"/>
      <c r="T28" s="7"/>
      <c r="U28" s="7"/>
      <c r="V28" s="7"/>
      <c r="W28" s="7"/>
      <c r="X28" s="7"/>
      <c r="Y28" s="7"/>
      <c r="Z28" s="16"/>
      <c r="AB28" s="130" t="s">
        <v>179</v>
      </c>
      <c r="AC28" s="131" t="s">
        <v>177</v>
      </c>
    </row>
    <row r="29" spans="2:29" x14ac:dyDescent="0.25">
      <c r="B29" s="6"/>
      <c r="C29" s="40" t="s">
        <v>56</v>
      </c>
      <c r="D29" s="50">
        <v>0.03</v>
      </c>
      <c r="E29" s="51">
        <f>MLB!D29 * Pricing!K20</f>
        <v>6.72</v>
      </c>
      <c r="F29" s="52">
        <f t="shared" si="0"/>
        <v>7</v>
      </c>
      <c r="G29" s="53">
        <f t="shared" si="1"/>
        <v>0.28000000000000025</v>
      </c>
      <c r="H29" s="7"/>
      <c r="I29" s="7"/>
      <c r="J29" s="7"/>
      <c r="K29" s="7"/>
      <c r="L29" s="7"/>
      <c r="M29" s="7"/>
      <c r="N29" s="7"/>
      <c r="O29" s="7"/>
      <c r="P29" s="7"/>
      <c r="Q29" s="7"/>
      <c r="R29" s="7"/>
      <c r="S29" s="7"/>
      <c r="T29" s="7"/>
      <c r="U29" s="7"/>
      <c r="V29" s="7"/>
      <c r="W29" s="7"/>
      <c r="X29" s="7"/>
      <c r="Y29" s="7"/>
      <c r="Z29" s="16"/>
      <c r="AB29" s="127"/>
      <c r="AC29" s="129"/>
    </row>
    <row r="30" spans="2:29" x14ac:dyDescent="0.25">
      <c r="B30" s="6"/>
      <c r="C30" s="40" t="s">
        <v>107</v>
      </c>
      <c r="D30" s="50">
        <v>0.04</v>
      </c>
      <c r="E30" s="51">
        <f>MLB!D10 * Pricing!K20</f>
        <v>4.4800000000000004</v>
      </c>
      <c r="F30" s="52">
        <f t="shared" si="0"/>
        <v>5</v>
      </c>
      <c r="G30" s="53">
        <f t="shared" si="1"/>
        <v>0.51999999999999957</v>
      </c>
      <c r="H30" s="7"/>
      <c r="I30" s="7"/>
      <c r="J30" s="7"/>
      <c r="K30" s="7"/>
      <c r="L30" s="7"/>
      <c r="M30" s="7"/>
      <c r="N30" s="7"/>
      <c r="O30" s="7"/>
      <c r="P30" s="7"/>
      <c r="Q30" s="7"/>
      <c r="R30" s="7"/>
      <c r="S30" s="7"/>
      <c r="T30" s="7"/>
      <c r="U30" s="7"/>
      <c r="V30" s="7"/>
      <c r="W30" s="7"/>
      <c r="X30" s="7"/>
      <c r="Y30" s="7"/>
      <c r="Z30" s="16"/>
      <c r="AB30" s="127"/>
      <c r="AC30" s="129"/>
    </row>
    <row r="31" spans="2:29" x14ac:dyDescent="0.25">
      <c r="B31" s="6"/>
      <c r="C31" s="40" t="s">
        <v>58</v>
      </c>
      <c r="D31" s="50">
        <v>0.06</v>
      </c>
      <c r="E31" s="51">
        <f>MLB!D31 * Pricing!K20</f>
        <v>13.44</v>
      </c>
      <c r="F31" s="52">
        <f t="shared" si="0"/>
        <v>14</v>
      </c>
      <c r="G31" s="53">
        <f t="shared" si="1"/>
        <v>0.5600000000000005</v>
      </c>
      <c r="H31" s="7"/>
      <c r="I31" s="7"/>
      <c r="J31" s="7"/>
      <c r="K31" s="7"/>
      <c r="L31" s="7"/>
      <c r="M31" s="7"/>
      <c r="N31" s="7"/>
      <c r="O31" s="7"/>
      <c r="P31" s="7"/>
      <c r="Q31" s="7"/>
      <c r="R31" s="7"/>
      <c r="S31" s="7"/>
      <c r="T31" s="7"/>
      <c r="U31" s="7"/>
      <c r="V31" s="7"/>
      <c r="W31" s="7"/>
      <c r="X31" s="7"/>
      <c r="Y31" s="7"/>
      <c r="Z31" s="16"/>
      <c r="AB31" s="127"/>
      <c r="AC31" s="129"/>
    </row>
    <row r="32" spans="2:29" ht="15.75" thickBot="1" x14ac:dyDescent="0.3">
      <c r="B32" s="6"/>
      <c r="C32" s="40" t="s">
        <v>61</v>
      </c>
      <c r="D32" s="50">
        <v>0.03</v>
      </c>
      <c r="E32" s="51">
        <f>MLB!D32 * Pricing!K20</f>
        <v>6.72</v>
      </c>
      <c r="F32" s="52">
        <f t="shared" si="0"/>
        <v>7</v>
      </c>
      <c r="G32" s="53">
        <f t="shared" si="1"/>
        <v>0.28000000000000025</v>
      </c>
      <c r="H32" s="7"/>
      <c r="I32" s="7"/>
      <c r="J32" s="7"/>
      <c r="K32" s="7"/>
      <c r="L32" s="7"/>
      <c r="M32" s="7"/>
      <c r="N32" s="7"/>
      <c r="O32" s="7"/>
      <c r="P32" s="7"/>
      <c r="Q32" s="7"/>
      <c r="R32" s="7"/>
      <c r="S32" s="7"/>
      <c r="T32" s="7"/>
      <c r="U32" s="7"/>
      <c r="V32" s="7"/>
      <c r="W32" s="7"/>
      <c r="X32" s="7"/>
      <c r="Y32" s="7"/>
      <c r="Z32" s="16"/>
      <c r="AB32" s="130"/>
      <c r="AC32" s="131"/>
    </row>
    <row r="33" spans="2:26" x14ac:dyDescent="0.25">
      <c r="B33" s="6"/>
      <c r="C33" s="40" t="s">
        <v>62</v>
      </c>
      <c r="D33" s="50">
        <v>0.03</v>
      </c>
      <c r="E33" s="51">
        <f>MLB!D33 * Pricing!K20</f>
        <v>6.72</v>
      </c>
      <c r="F33" s="52">
        <f t="shared" si="0"/>
        <v>7</v>
      </c>
      <c r="G33" s="53">
        <f t="shared" si="1"/>
        <v>0.28000000000000025</v>
      </c>
      <c r="H33" s="7"/>
      <c r="I33" s="7"/>
      <c r="J33" s="7"/>
      <c r="K33" s="7"/>
      <c r="L33" s="7"/>
      <c r="M33" s="7"/>
      <c r="N33" s="7"/>
      <c r="O33" s="7"/>
      <c r="P33" s="7"/>
      <c r="Q33" s="7"/>
      <c r="R33" s="7"/>
      <c r="S33" s="7"/>
      <c r="T33" s="7"/>
      <c r="U33" s="7"/>
      <c r="V33" s="7"/>
      <c r="W33" s="7"/>
      <c r="X33" s="7"/>
      <c r="Y33" s="7"/>
      <c r="Z33" s="16"/>
    </row>
    <row r="34" spans="2:26" x14ac:dyDescent="0.25">
      <c r="B34" s="6"/>
      <c r="C34" s="40" t="s">
        <v>64</v>
      </c>
      <c r="D34" s="50">
        <v>0.02</v>
      </c>
      <c r="E34" s="51">
        <f>MLB!D34 * Pricing!K20</f>
        <v>4.4800000000000004</v>
      </c>
      <c r="F34" s="52">
        <f t="shared" si="0"/>
        <v>5</v>
      </c>
      <c r="G34" s="53">
        <f t="shared" si="1"/>
        <v>0.51999999999999957</v>
      </c>
      <c r="H34" s="7"/>
      <c r="I34" s="7"/>
      <c r="J34" s="7"/>
      <c r="K34" s="7"/>
      <c r="L34" s="7"/>
      <c r="M34" s="7"/>
      <c r="N34" s="7"/>
      <c r="O34" s="7"/>
      <c r="P34" s="7"/>
      <c r="Q34" s="7"/>
      <c r="R34" s="7"/>
      <c r="S34" s="7"/>
      <c r="T34" s="7"/>
      <c r="U34" s="7"/>
      <c r="V34" s="7"/>
      <c r="W34" s="7"/>
      <c r="X34" s="7"/>
      <c r="Y34" s="7"/>
      <c r="Z34" s="16"/>
    </row>
    <row r="35" spans="2:26" x14ac:dyDescent="0.25">
      <c r="B35" s="6"/>
      <c r="C35" s="40" t="s">
        <v>63</v>
      </c>
      <c r="D35" s="50">
        <v>0.02</v>
      </c>
      <c r="E35" s="51">
        <f>MLB!D35 * Pricing!K20</f>
        <v>4.4800000000000004</v>
      </c>
      <c r="F35" s="52">
        <f t="shared" si="0"/>
        <v>5</v>
      </c>
      <c r="G35" s="53">
        <f>SUM(F35-E35)</f>
        <v>0.51999999999999957</v>
      </c>
      <c r="H35" s="7"/>
      <c r="I35" s="7"/>
      <c r="J35" s="7"/>
      <c r="K35" s="7"/>
      <c r="L35" s="7"/>
      <c r="M35" s="7"/>
      <c r="N35" s="7"/>
      <c r="O35" s="7"/>
      <c r="P35" s="7"/>
      <c r="Q35" s="7"/>
      <c r="R35" s="7"/>
      <c r="S35" s="7"/>
      <c r="T35" s="7"/>
      <c r="U35" s="7"/>
      <c r="V35" s="7"/>
      <c r="W35" s="7"/>
      <c r="X35" s="7"/>
      <c r="Y35" s="7"/>
      <c r="Z35" s="16"/>
    </row>
    <row r="36" spans="2:26" ht="15.75" thickBot="1" x14ac:dyDescent="0.3">
      <c r="B36" s="6"/>
      <c r="C36" s="43" t="s">
        <v>67</v>
      </c>
      <c r="D36" s="54">
        <v>0.01</v>
      </c>
      <c r="E36" s="55">
        <f>MLB!D36 * Pricing!K20</f>
        <v>2.2400000000000002</v>
      </c>
      <c r="F36" s="56">
        <f t="shared" si="0"/>
        <v>3</v>
      </c>
      <c r="G36" s="57">
        <f t="shared" si="1"/>
        <v>0.75999999999999979</v>
      </c>
      <c r="H36" s="7"/>
      <c r="I36" s="7"/>
      <c r="J36" s="7"/>
      <c r="K36" s="7"/>
      <c r="L36" s="7"/>
      <c r="M36" s="7"/>
      <c r="N36" s="7"/>
      <c r="O36" s="7"/>
      <c r="P36" s="7"/>
      <c r="Q36" s="7"/>
      <c r="R36" s="7"/>
      <c r="S36" s="7"/>
      <c r="T36" s="7"/>
      <c r="U36" s="7"/>
      <c r="V36" s="7"/>
      <c r="W36" s="7"/>
      <c r="X36" s="7"/>
      <c r="Y36" s="7"/>
      <c r="Z36" s="16"/>
    </row>
    <row r="37" spans="2:26" ht="15.75" thickBot="1" x14ac:dyDescent="0.3">
      <c r="B37" s="6"/>
      <c r="C37" s="7"/>
      <c r="D37" s="25"/>
      <c r="E37" s="106"/>
      <c r="F37" s="7"/>
      <c r="G37" s="7"/>
      <c r="H37" s="7"/>
      <c r="I37" s="110"/>
      <c r="J37" s="111"/>
      <c r="K37" s="111"/>
      <c r="L37" s="111"/>
      <c r="M37" s="111"/>
      <c r="N37" s="111"/>
      <c r="O37" s="111"/>
      <c r="P37" s="111"/>
      <c r="Q37" s="111"/>
      <c r="R37" s="111"/>
      <c r="S37" s="111"/>
      <c r="T37" s="111"/>
      <c r="U37" s="111"/>
      <c r="V37" s="111"/>
      <c r="W37" s="111"/>
      <c r="X37" s="111"/>
      <c r="Y37" s="112"/>
      <c r="Z37" s="16"/>
    </row>
    <row r="38" spans="2:26" ht="15.75" thickBot="1" x14ac:dyDescent="0.3">
      <c r="B38" s="6"/>
      <c r="C38" s="22" t="s">
        <v>36</v>
      </c>
      <c r="D38" s="35">
        <f>SUM(D5:D37)</f>
        <v>1.0000000000000002</v>
      </c>
      <c r="E38" s="36">
        <f>SUM(E5:E37)</f>
        <v>217.28</v>
      </c>
      <c r="F38" s="120">
        <f>SUM(F5:F36)</f>
        <v>230</v>
      </c>
      <c r="G38" s="37">
        <f>SUM(G5:G36)</f>
        <v>12.719999999999994</v>
      </c>
      <c r="H38" s="7"/>
      <c r="I38" s="113"/>
      <c r="J38" s="114"/>
      <c r="K38" s="114"/>
      <c r="L38" s="114"/>
      <c r="M38" s="114"/>
      <c r="N38" s="114"/>
      <c r="O38" s="114"/>
      <c r="P38" s="114"/>
      <c r="Q38" s="114"/>
      <c r="R38" s="114"/>
      <c r="S38" s="114"/>
      <c r="T38" s="114"/>
      <c r="U38" s="114"/>
      <c r="V38" s="114"/>
      <c r="W38" s="114"/>
      <c r="X38" s="114"/>
      <c r="Y38" s="115"/>
      <c r="Z38" s="16"/>
    </row>
    <row r="39" spans="2:26" x14ac:dyDescent="0.25">
      <c r="B39" s="6"/>
      <c r="C39" s="7"/>
      <c r="D39" s="25"/>
      <c r="E39" s="25"/>
      <c r="F39" s="7"/>
      <c r="G39" s="7"/>
      <c r="H39" s="7"/>
      <c r="I39" s="113"/>
      <c r="J39" s="114"/>
      <c r="K39" s="114"/>
      <c r="L39" s="114"/>
      <c r="M39" s="114"/>
      <c r="N39" s="114"/>
      <c r="O39" s="114"/>
      <c r="P39" s="114"/>
      <c r="Q39" s="114"/>
      <c r="R39" s="114"/>
      <c r="S39" s="114"/>
      <c r="T39" s="114"/>
      <c r="U39" s="114"/>
      <c r="V39" s="114"/>
      <c r="W39" s="114"/>
      <c r="X39" s="114"/>
      <c r="Y39" s="115"/>
      <c r="Z39" s="16"/>
    </row>
    <row r="40" spans="2:26" ht="21.75" thickBot="1" x14ac:dyDescent="0.4">
      <c r="B40" s="6"/>
      <c r="C40" s="132" t="s">
        <v>39</v>
      </c>
      <c r="D40" s="133">
        <f>SUM(E38+G38)</f>
        <v>230</v>
      </c>
      <c r="E40" s="25"/>
      <c r="F40" s="7"/>
      <c r="G40" s="7"/>
      <c r="H40" s="7"/>
      <c r="I40" s="116"/>
      <c r="J40" s="117"/>
      <c r="K40" s="117"/>
      <c r="L40" s="117"/>
      <c r="M40" s="117"/>
      <c r="N40" s="117"/>
      <c r="O40" s="117"/>
      <c r="P40" s="117"/>
      <c r="Q40" s="117"/>
      <c r="R40" s="117"/>
      <c r="S40" s="117"/>
      <c r="T40" s="117"/>
      <c r="U40" s="117"/>
      <c r="V40" s="117"/>
      <c r="W40" s="117"/>
      <c r="X40" s="117"/>
      <c r="Y40" s="118"/>
      <c r="Z40" s="16"/>
    </row>
    <row r="41" spans="2:26" ht="15.75" thickBot="1" x14ac:dyDescent="0.3">
      <c r="B41" s="11"/>
      <c r="C41" s="12"/>
      <c r="D41" s="96"/>
      <c r="E41" s="26"/>
      <c r="F41" s="12"/>
      <c r="G41" s="12"/>
      <c r="H41" s="12"/>
      <c r="I41" s="12"/>
      <c r="J41" s="12"/>
      <c r="K41" s="12"/>
      <c r="L41" s="12"/>
      <c r="M41" s="12"/>
      <c r="N41" s="12"/>
      <c r="O41" s="12"/>
      <c r="P41" s="12"/>
      <c r="Q41" s="12"/>
      <c r="R41" s="12"/>
      <c r="S41" s="12"/>
      <c r="T41" s="12"/>
      <c r="U41" s="12"/>
      <c r="V41" s="12"/>
      <c r="W41" s="12"/>
      <c r="X41" s="12"/>
      <c r="Y41" s="12"/>
      <c r="Z41" s="15"/>
    </row>
    <row r="42" spans="2:26" ht="21" x14ac:dyDescent="0.25">
      <c r="H42" s="18"/>
    </row>
  </sheetData>
  <mergeCells count="1">
    <mergeCell ref="AB9:AC9"/>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CD98B-E9B5-4415-862F-AD888E346F0B}">
  <sheetPr codeName="Sheet4"/>
  <dimension ref="B2:AC41"/>
  <sheetViews>
    <sheetView zoomScale="55" zoomScaleNormal="55" workbookViewId="0"/>
  </sheetViews>
  <sheetFormatPr defaultRowHeight="15" x14ac:dyDescent="0.25"/>
  <cols>
    <col min="3" max="3" width="31.7109375" customWidth="1"/>
    <col min="4" max="4" width="15.140625" customWidth="1"/>
    <col min="7" max="7" width="11.28515625" customWidth="1"/>
    <col min="26" max="26" width="9" customWidth="1"/>
    <col min="28" max="28" width="12.5703125" customWidth="1"/>
    <col min="29" max="29" width="10.7109375" customWidth="1"/>
  </cols>
  <sheetData>
    <row r="2" spans="2:29" ht="15.75" thickBot="1" x14ac:dyDescent="0.3"/>
    <row r="3" spans="2:29" ht="15.75" thickBot="1" x14ac:dyDescent="0.3">
      <c r="B3" s="102"/>
      <c r="C3" s="103"/>
      <c r="D3" s="103"/>
      <c r="E3" s="103"/>
      <c r="F3" s="103"/>
      <c r="G3" s="103"/>
      <c r="H3" s="103"/>
      <c r="I3" s="103"/>
      <c r="J3" s="103"/>
      <c r="K3" s="103"/>
      <c r="L3" s="103"/>
      <c r="M3" s="103"/>
      <c r="N3" s="103"/>
      <c r="O3" s="103"/>
      <c r="P3" s="103"/>
      <c r="Q3" s="103"/>
      <c r="R3" s="103"/>
      <c r="S3" s="103"/>
      <c r="T3" s="103"/>
      <c r="U3" s="103"/>
      <c r="V3" s="103"/>
      <c r="W3" s="103"/>
      <c r="X3" s="103"/>
      <c r="Y3" s="103"/>
      <c r="Z3" s="105"/>
    </row>
    <row r="4" spans="2:29" ht="15.75" thickBot="1" x14ac:dyDescent="0.3">
      <c r="B4" s="6"/>
      <c r="C4" s="45" t="s">
        <v>68</v>
      </c>
      <c r="D4" s="13" t="s">
        <v>0</v>
      </c>
      <c r="E4" s="13" t="s">
        <v>1</v>
      </c>
      <c r="F4" s="45" t="s">
        <v>37</v>
      </c>
      <c r="G4" s="45" t="s">
        <v>38</v>
      </c>
      <c r="H4" s="7"/>
      <c r="I4" s="7"/>
      <c r="J4" s="7"/>
      <c r="K4" s="7"/>
      <c r="L4" s="7"/>
      <c r="M4" s="7"/>
      <c r="N4" s="7"/>
      <c r="O4" s="7"/>
      <c r="P4" s="7"/>
      <c r="Q4" s="7"/>
      <c r="R4" s="7"/>
      <c r="S4" s="7"/>
      <c r="T4" s="7"/>
      <c r="U4" s="7"/>
      <c r="V4" s="7"/>
      <c r="W4" s="7"/>
      <c r="X4" s="7"/>
      <c r="Y4" s="7"/>
      <c r="Z4" s="16"/>
    </row>
    <row r="5" spans="2:29" x14ac:dyDescent="0.25">
      <c r="B5" s="6"/>
      <c r="C5" s="38" t="s">
        <v>85</v>
      </c>
      <c r="D5" s="46">
        <v>0.03</v>
      </c>
      <c r="E5" s="47">
        <f>NBA!D5 * Pricing!F20</f>
        <v>6.72</v>
      </c>
      <c r="F5" s="48">
        <f t="shared" ref="F5:F36" si="0">CEILING(E5, 1) - 0</f>
        <v>7</v>
      </c>
      <c r="G5" s="49">
        <f t="shared" ref="G5:G36" si="1">SUM(F5-E5)</f>
        <v>0.28000000000000025</v>
      </c>
      <c r="H5" s="7"/>
      <c r="I5" s="7"/>
      <c r="J5" s="7"/>
      <c r="K5" s="7"/>
      <c r="L5" s="7"/>
      <c r="M5" s="7"/>
      <c r="N5" s="7"/>
      <c r="O5" s="7"/>
      <c r="P5" s="7"/>
      <c r="Q5" s="7"/>
      <c r="R5" s="7"/>
      <c r="S5" s="7"/>
      <c r="T5" s="7"/>
      <c r="U5" s="7"/>
      <c r="V5" s="7"/>
      <c r="W5" s="7"/>
      <c r="X5" s="7"/>
      <c r="Y5" s="7"/>
      <c r="Z5" s="16"/>
    </row>
    <row r="6" spans="2:29" x14ac:dyDescent="0.25">
      <c r="B6" s="6"/>
      <c r="C6" s="40" t="s">
        <v>69</v>
      </c>
      <c r="D6" s="50">
        <v>0.01</v>
      </c>
      <c r="E6" s="51">
        <f>NBA!D6 * Pricing!F20</f>
        <v>2.2400000000000002</v>
      </c>
      <c r="F6" s="52">
        <f t="shared" si="0"/>
        <v>3</v>
      </c>
      <c r="G6" s="53">
        <f t="shared" si="1"/>
        <v>0.75999999999999979</v>
      </c>
      <c r="H6" s="7"/>
      <c r="I6" s="7"/>
      <c r="J6" s="7"/>
      <c r="K6" s="7"/>
      <c r="L6" s="7"/>
      <c r="M6" s="7"/>
      <c r="N6" s="7"/>
      <c r="O6" s="7"/>
      <c r="P6" s="7"/>
      <c r="Q6" s="7"/>
      <c r="R6" s="7"/>
      <c r="S6" s="7"/>
      <c r="T6" s="7"/>
      <c r="U6" s="7"/>
      <c r="V6" s="7"/>
      <c r="W6" s="7"/>
      <c r="X6" s="7"/>
      <c r="Y6" s="7"/>
      <c r="Z6" s="16"/>
    </row>
    <row r="7" spans="2:29" x14ac:dyDescent="0.25">
      <c r="B7" s="6"/>
      <c r="C7" s="40" t="s">
        <v>87</v>
      </c>
      <c r="D7" s="50">
        <v>0.02</v>
      </c>
      <c r="E7" s="51">
        <f>NBA!D7 * Pricing!F20</f>
        <v>4.4800000000000004</v>
      </c>
      <c r="F7" s="52">
        <f t="shared" si="0"/>
        <v>5</v>
      </c>
      <c r="G7" s="53">
        <f t="shared" si="1"/>
        <v>0.51999999999999957</v>
      </c>
      <c r="H7" s="7"/>
      <c r="I7" s="7"/>
      <c r="J7" s="7"/>
      <c r="K7" s="7"/>
      <c r="L7" s="7"/>
      <c r="M7" s="7"/>
      <c r="N7" s="7"/>
      <c r="O7" s="7"/>
      <c r="P7" s="7"/>
      <c r="Q7" s="7"/>
      <c r="R7" s="7"/>
      <c r="S7" s="7"/>
      <c r="T7" s="7"/>
      <c r="U7" s="7"/>
      <c r="V7" s="7"/>
      <c r="W7" s="7"/>
      <c r="X7" s="7"/>
      <c r="Y7" s="7"/>
      <c r="Z7" s="16"/>
    </row>
    <row r="8" spans="2:29" ht="15.75" thickBot="1" x14ac:dyDescent="0.3">
      <c r="B8" s="6"/>
      <c r="C8" s="40" t="s">
        <v>89</v>
      </c>
      <c r="D8" s="50">
        <v>0.01</v>
      </c>
      <c r="E8" s="51">
        <f>NBA!D8 * Pricing!F20</f>
        <v>2.2400000000000002</v>
      </c>
      <c r="F8" s="52">
        <f t="shared" si="0"/>
        <v>3</v>
      </c>
      <c r="G8" s="53">
        <f t="shared" si="1"/>
        <v>0.75999999999999979</v>
      </c>
      <c r="H8" s="7"/>
      <c r="I8" s="7"/>
      <c r="J8" s="7"/>
      <c r="K8" s="7"/>
      <c r="L8" s="7"/>
      <c r="M8" s="7"/>
      <c r="N8" s="7"/>
      <c r="O8" s="7"/>
      <c r="P8" s="7"/>
      <c r="Q8" s="7"/>
      <c r="R8" s="7"/>
      <c r="S8" s="7"/>
      <c r="T8" s="7"/>
      <c r="U8" s="7"/>
      <c r="V8" s="7"/>
      <c r="W8" s="7"/>
      <c r="X8" s="7"/>
      <c r="Y8" s="7"/>
      <c r="Z8" s="16"/>
    </row>
    <row r="9" spans="2:29" x14ac:dyDescent="0.25">
      <c r="B9" s="6"/>
      <c r="C9" s="40" t="s">
        <v>108</v>
      </c>
      <c r="D9" s="50">
        <v>0.01</v>
      </c>
      <c r="E9" s="51">
        <f>NBA!D9 * Pricing!F20</f>
        <v>2.2400000000000002</v>
      </c>
      <c r="F9" s="52">
        <f t="shared" si="0"/>
        <v>3</v>
      </c>
      <c r="G9" s="53">
        <f t="shared" si="1"/>
        <v>0.75999999999999979</v>
      </c>
      <c r="H9" s="7"/>
      <c r="I9" s="7"/>
      <c r="J9" s="7"/>
      <c r="K9" s="7"/>
      <c r="L9" s="7"/>
      <c r="M9" s="7"/>
      <c r="N9" s="7"/>
      <c r="O9" s="7"/>
      <c r="P9" s="7"/>
      <c r="Q9" s="7"/>
      <c r="R9" s="7"/>
      <c r="S9" s="7"/>
      <c r="T9" s="7"/>
      <c r="U9" s="7"/>
      <c r="V9" s="7"/>
      <c r="W9" s="7"/>
      <c r="X9" s="7"/>
      <c r="Y9" s="7"/>
      <c r="Z9" s="16"/>
      <c r="AB9" s="123"/>
      <c r="AC9" s="124"/>
    </row>
    <row r="10" spans="2:29" ht="21" customHeight="1" x14ac:dyDescent="0.25">
      <c r="B10" s="6"/>
      <c r="C10" s="40" t="s">
        <v>72</v>
      </c>
      <c r="D10" s="50">
        <v>0.03</v>
      </c>
      <c r="E10" s="51">
        <f>NBA!D10 * Pricing!F20</f>
        <v>6.72</v>
      </c>
      <c r="F10" s="52">
        <f t="shared" si="0"/>
        <v>7</v>
      </c>
      <c r="G10" s="53">
        <f t="shared" si="1"/>
        <v>0.28000000000000025</v>
      </c>
      <c r="H10" s="7"/>
      <c r="I10" s="7"/>
      <c r="J10" s="7"/>
      <c r="K10" s="7"/>
      <c r="L10" s="7"/>
      <c r="M10" s="7"/>
      <c r="N10" s="7"/>
      <c r="O10" s="7"/>
      <c r="P10" s="7"/>
      <c r="Q10" s="7"/>
      <c r="R10" s="7"/>
      <c r="S10" s="7"/>
      <c r="T10" s="7"/>
      <c r="U10" s="7"/>
      <c r="V10" s="7"/>
      <c r="W10" s="7"/>
      <c r="X10" s="7"/>
      <c r="Y10" s="7"/>
      <c r="Z10" s="16"/>
      <c r="AB10" s="173" t="s">
        <v>164</v>
      </c>
      <c r="AC10" s="174"/>
    </row>
    <row r="11" spans="2:29" ht="14.25" customHeight="1" x14ac:dyDescent="0.25">
      <c r="B11" s="6"/>
      <c r="C11" s="42" t="s">
        <v>109</v>
      </c>
      <c r="D11" s="50">
        <v>0</v>
      </c>
      <c r="E11" s="51">
        <f>NBA!D11 * Pricing!F20</f>
        <v>0</v>
      </c>
      <c r="F11" s="52">
        <f t="shared" si="0"/>
        <v>0</v>
      </c>
      <c r="G11" s="53">
        <f t="shared" si="1"/>
        <v>0</v>
      </c>
      <c r="H11" s="7"/>
      <c r="I11" s="7"/>
      <c r="J11" s="7"/>
      <c r="K11" s="7"/>
      <c r="L11" s="7"/>
      <c r="M11" s="7"/>
      <c r="N11" s="7"/>
      <c r="O11" s="7"/>
      <c r="P11" s="7"/>
      <c r="Q11" s="7"/>
      <c r="R11" s="7"/>
      <c r="S11" s="7"/>
      <c r="T11" s="7"/>
      <c r="U11" s="7"/>
      <c r="V11" s="7"/>
      <c r="W11" s="7"/>
      <c r="X11" s="7"/>
      <c r="Y11" s="7"/>
      <c r="Z11" s="16"/>
      <c r="AB11" s="134" t="s">
        <v>178</v>
      </c>
      <c r="AC11" s="135" t="s">
        <v>0</v>
      </c>
    </row>
    <row r="12" spans="2:29" x14ac:dyDescent="0.25">
      <c r="B12" s="6"/>
      <c r="C12" s="40" t="s">
        <v>110</v>
      </c>
      <c r="D12" s="50">
        <v>0.04</v>
      </c>
      <c r="E12" s="51">
        <f>NBA!D12 * Pricing!F20</f>
        <v>8.9600000000000009</v>
      </c>
      <c r="F12" s="52">
        <f t="shared" si="0"/>
        <v>9</v>
      </c>
      <c r="G12" s="53">
        <f t="shared" si="1"/>
        <v>3.9999999999999147E-2</v>
      </c>
      <c r="H12" s="7"/>
      <c r="I12" s="7"/>
      <c r="J12" s="7"/>
      <c r="K12" s="7"/>
      <c r="L12" s="7"/>
      <c r="M12" s="7"/>
      <c r="N12" s="7"/>
      <c r="O12" s="7"/>
      <c r="P12" s="7"/>
      <c r="Q12" s="7"/>
      <c r="R12" s="7"/>
      <c r="S12" s="7"/>
      <c r="T12" s="7"/>
      <c r="U12" s="7"/>
      <c r="V12" s="7"/>
      <c r="W12" s="7"/>
      <c r="X12" s="7"/>
      <c r="Y12" s="7"/>
      <c r="Z12" s="16"/>
      <c r="AB12" s="127" t="s">
        <v>169</v>
      </c>
      <c r="AC12" s="128" t="s">
        <v>170</v>
      </c>
    </row>
    <row r="13" spans="2:29" x14ac:dyDescent="0.25">
      <c r="B13" s="6"/>
      <c r="C13" s="40" t="s">
        <v>73</v>
      </c>
      <c r="D13" s="50">
        <v>7.0000000000000007E-2</v>
      </c>
      <c r="E13" s="51">
        <f>NBA!D13 * Pricing!F20</f>
        <v>15.680000000000001</v>
      </c>
      <c r="F13" s="52">
        <f t="shared" si="0"/>
        <v>16</v>
      </c>
      <c r="G13" s="53">
        <f t="shared" si="1"/>
        <v>0.31999999999999851</v>
      </c>
      <c r="H13" s="7"/>
      <c r="I13" s="7"/>
      <c r="J13" s="7"/>
      <c r="K13" s="7"/>
      <c r="L13" s="7"/>
      <c r="M13" s="7"/>
      <c r="N13" s="7"/>
      <c r="O13" s="7"/>
      <c r="P13" s="7"/>
      <c r="Q13" s="7"/>
      <c r="R13" s="7"/>
      <c r="S13" s="7"/>
      <c r="T13" s="7"/>
      <c r="U13" s="7"/>
      <c r="V13" s="7"/>
      <c r="W13" s="7"/>
      <c r="X13" s="7"/>
      <c r="Y13" s="7"/>
      <c r="Z13" s="16"/>
      <c r="AB13" s="127" t="s">
        <v>171</v>
      </c>
      <c r="AC13" s="128" t="s">
        <v>172</v>
      </c>
    </row>
    <row r="14" spans="2:29" x14ac:dyDescent="0.25">
      <c r="B14" s="6"/>
      <c r="C14" s="40" t="s">
        <v>91</v>
      </c>
      <c r="D14" s="50">
        <v>0.03</v>
      </c>
      <c r="E14" s="51">
        <f>NBA!D14 * Pricing!F20</f>
        <v>6.72</v>
      </c>
      <c r="F14" s="52">
        <f t="shared" si="0"/>
        <v>7</v>
      </c>
      <c r="G14" s="53">
        <f t="shared" si="1"/>
        <v>0.28000000000000025</v>
      </c>
      <c r="H14" s="7"/>
      <c r="I14" s="7"/>
      <c r="J14" s="7"/>
      <c r="K14" s="7"/>
      <c r="L14" s="7"/>
      <c r="M14" s="7"/>
      <c r="N14" s="7"/>
      <c r="O14" s="7"/>
      <c r="P14" s="7"/>
      <c r="Q14" s="7"/>
      <c r="R14" s="7"/>
      <c r="S14" s="7"/>
      <c r="T14" s="7"/>
      <c r="U14" s="7"/>
      <c r="V14" s="7"/>
      <c r="W14" s="7"/>
      <c r="X14" s="7"/>
      <c r="Y14" s="7"/>
      <c r="Z14" s="16"/>
      <c r="AB14" s="127" t="s">
        <v>173</v>
      </c>
      <c r="AC14" s="128" t="s">
        <v>174</v>
      </c>
    </row>
    <row r="15" spans="2:29" x14ac:dyDescent="0.25">
      <c r="B15" s="6"/>
      <c r="C15" s="40" t="s">
        <v>74</v>
      </c>
      <c r="D15" s="50">
        <v>0.01</v>
      </c>
      <c r="E15" s="51">
        <f>NBA!D15 * Pricing!F20</f>
        <v>2.2400000000000002</v>
      </c>
      <c r="F15" s="52">
        <f t="shared" si="0"/>
        <v>3</v>
      </c>
      <c r="G15" s="53">
        <f t="shared" si="1"/>
        <v>0.75999999999999979</v>
      </c>
      <c r="H15" s="7"/>
      <c r="I15" s="7"/>
      <c r="J15" s="7"/>
      <c r="K15" s="7"/>
      <c r="L15" s="7"/>
      <c r="M15" s="7"/>
      <c r="N15" s="7"/>
      <c r="O15" s="7"/>
      <c r="P15" s="7"/>
      <c r="Q15" s="7"/>
      <c r="R15" s="7"/>
      <c r="S15" s="7"/>
      <c r="T15" s="7"/>
      <c r="U15" s="7"/>
      <c r="V15" s="7"/>
      <c r="W15" s="7"/>
      <c r="X15" s="7"/>
      <c r="Y15" s="7"/>
      <c r="Z15" s="16"/>
      <c r="AB15" s="127" t="s">
        <v>175</v>
      </c>
      <c r="AC15" s="128" t="s">
        <v>176</v>
      </c>
    </row>
    <row r="16" spans="2:29" x14ac:dyDescent="0.25">
      <c r="B16" s="6"/>
      <c r="C16" s="40" t="s">
        <v>80</v>
      </c>
      <c r="D16" s="50">
        <v>0.03</v>
      </c>
      <c r="E16" s="51">
        <f>NBA!D16* Pricing!F20</f>
        <v>6.72</v>
      </c>
      <c r="F16" s="52">
        <f t="shared" si="0"/>
        <v>7</v>
      </c>
      <c r="G16" s="53">
        <f t="shared" si="1"/>
        <v>0.28000000000000025</v>
      </c>
      <c r="H16" s="7"/>
      <c r="I16" s="7"/>
      <c r="J16" s="7"/>
      <c r="K16" s="7"/>
      <c r="L16" s="7"/>
      <c r="M16" s="7"/>
      <c r="N16" s="7"/>
      <c r="O16" s="7"/>
      <c r="P16" s="7"/>
      <c r="Q16" s="7"/>
      <c r="R16" s="7"/>
      <c r="S16" s="7"/>
      <c r="T16" s="7"/>
      <c r="U16" s="7"/>
      <c r="V16" s="7"/>
      <c r="W16" s="7"/>
      <c r="X16" s="7"/>
      <c r="Y16" s="7"/>
      <c r="Z16" s="16"/>
      <c r="AB16" s="127">
        <v>11</v>
      </c>
      <c r="AC16" s="129">
        <v>0.03</v>
      </c>
    </row>
    <row r="17" spans="2:29" x14ac:dyDescent="0.25">
      <c r="B17" s="6"/>
      <c r="C17" s="40" t="s">
        <v>75</v>
      </c>
      <c r="D17" s="50">
        <v>0.04</v>
      </c>
      <c r="E17" s="51">
        <f>NBA!D17 * Pricing!F20</f>
        <v>8.9600000000000009</v>
      </c>
      <c r="F17" s="52">
        <f t="shared" si="0"/>
        <v>9</v>
      </c>
      <c r="G17" s="53">
        <f t="shared" si="1"/>
        <v>3.9999999999999147E-2</v>
      </c>
      <c r="H17" s="7"/>
      <c r="I17" s="7"/>
      <c r="J17" s="7"/>
      <c r="K17" s="7"/>
      <c r="L17" s="7"/>
      <c r="M17" s="7"/>
      <c r="N17" s="7"/>
      <c r="O17" s="7"/>
      <c r="P17" s="7"/>
      <c r="Q17" s="7"/>
      <c r="R17" s="7"/>
      <c r="S17" s="7"/>
      <c r="T17" s="7"/>
      <c r="U17" s="7"/>
      <c r="V17" s="7"/>
      <c r="W17" s="7"/>
      <c r="X17" s="7"/>
      <c r="Y17" s="7"/>
      <c r="Z17" s="16"/>
      <c r="AB17" s="127">
        <v>12</v>
      </c>
      <c r="AC17" s="129">
        <v>0.03</v>
      </c>
    </row>
    <row r="18" spans="2:29" x14ac:dyDescent="0.25">
      <c r="B18" s="6"/>
      <c r="C18" s="40" t="s">
        <v>76</v>
      </c>
      <c r="D18" s="50">
        <v>0.02</v>
      </c>
      <c r="E18" s="51">
        <f>NBA!D18 * Pricing!F20</f>
        <v>4.4800000000000004</v>
      </c>
      <c r="F18" s="52">
        <f t="shared" si="0"/>
        <v>5</v>
      </c>
      <c r="G18" s="53">
        <f t="shared" si="1"/>
        <v>0.51999999999999957</v>
      </c>
      <c r="H18" s="7"/>
      <c r="I18" s="7"/>
      <c r="J18" s="7"/>
      <c r="K18" s="7"/>
      <c r="L18" s="7"/>
      <c r="M18" s="7"/>
      <c r="N18" s="7"/>
      <c r="O18" s="7"/>
      <c r="P18" s="7"/>
      <c r="Q18" s="7"/>
      <c r="R18" s="7"/>
      <c r="S18" s="7"/>
      <c r="T18" s="7"/>
      <c r="U18" s="7"/>
      <c r="V18" s="7"/>
      <c r="W18" s="7"/>
      <c r="X18" s="7"/>
      <c r="Y18" s="7"/>
      <c r="Z18" s="16"/>
      <c r="AB18" s="127">
        <v>13</v>
      </c>
      <c r="AC18" s="129">
        <v>0.03</v>
      </c>
    </row>
    <row r="19" spans="2:29" x14ac:dyDescent="0.25">
      <c r="B19" s="6"/>
      <c r="C19" s="42" t="s">
        <v>109</v>
      </c>
      <c r="D19" s="50">
        <v>0</v>
      </c>
      <c r="E19" s="51">
        <f>NBA!D19 * Pricing!F20</f>
        <v>0</v>
      </c>
      <c r="F19" s="52">
        <f t="shared" si="0"/>
        <v>0</v>
      </c>
      <c r="G19" s="53">
        <f t="shared" si="1"/>
        <v>0</v>
      </c>
      <c r="H19" s="7"/>
      <c r="I19" s="7"/>
      <c r="J19" s="7"/>
      <c r="K19" s="7"/>
      <c r="L19" s="7"/>
      <c r="M19" s="7"/>
      <c r="N19" s="7"/>
      <c r="O19" s="7"/>
      <c r="P19" s="7"/>
      <c r="Q19" s="7"/>
      <c r="R19" s="7"/>
      <c r="S19" s="7"/>
      <c r="T19" s="7"/>
      <c r="U19" s="7"/>
      <c r="V19" s="7"/>
      <c r="W19" s="7"/>
      <c r="X19" s="7"/>
      <c r="Y19" s="7"/>
      <c r="Z19" s="16"/>
      <c r="AB19" s="127">
        <v>14</v>
      </c>
      <c r="AC19" s="129">
        <v>0.03</v>
      </c>
    </row>
    <row r="20" spans="2:29" x14ac:dyDescent="0.25">
      <c r="B20" s="6"/>
      <c r="C20" s="40" t="s">
        <v>83</v>
      </c>
      <c r="D20" s="50">
        <v>0.08</v>
      </c>
      <c r="E20" s="51">
        <f>NBA!D20 * Pricing!F20</f>
        <v>17.920000000000002</v>
      </c>
      <c r="F20" s="52">
        <f t="shared" si="0"/>
        <v>18</v>
      </c>
      <c r="G20" s="53">
        <f t="shared" si="1"/>
        <v>7.9999999999998295E-2</v>
      </c>
      <c r="H20" s="7"/>
      <c r="I20" s="7"/>
      <c r="J20" s="7"/>
      <c r="K20" s="7"/>
      <c r="L20" s="7"/>
      <c r="M20" s="7"/>
      <c r="N20" s="7"/>
      <c r="O20" s="7"/>
      <c r="P20" s="7"/>
      <c r="Q20" s="7"/>
      <c r="R20" s="7"/>
      <c r="S20" s="7"/>
      <c r="T20" s="7"/>
      <c r="U20" s="7"/>
      <c r="V20" s="7"/>
      <c r="W20" s="7"/>
      <c r="X20" s="7"/>
      <c r="Y20" s="7"/>
      <c r="Z20" s="16"/>
      <c r="AB20" s="127">
        <v>15</v>
      </c>
      <c r="AC20" s="129">
        <v>0.02</v>
      </c>
    </row>
    <row r="21" spans="2:29" x14ac:dyDescent="0.25">
      <c r="B21" s="6"/>
      <c r="C21" s="40" t="s">
        <v>90</v>
      </c>
      <c r="D21" s="50">
        <v>0.02</v>
      </c>
      <c r="E21" s="51">
        <f>NBA!D21 * Pricing!F20</f>
        <v>4.4800000000000004</v>
      </c>
      <c r="F21" s="52">
        <f t="shared" si="0"/>
        <v>5</v>
      </c>
      <c r="G21" s="53">
        <f t="shared" si="1"/>
        <v>0.51999999999999957</v>
      </c>
      <c r="H21" s="7"/>
      <c r="I21" s="7"/>
      <c r="J21" s="7"/>
      <c r="K21" s="7"/>
      <c r="L21" s="7"/>
      <c r="M21" s="7"/>
      <c r="N21" s="7"/>
      <c r="O21" s="7"/>
      <c r="P21" s="7"/>
      <c r="Q21" s="7"/>
      <c r="R21" s="7"/>
      <c r="S21" s="7"/>
      <c r="T21" s="7"/>
      <c r="U21" s="7"/>
      <c r="V21" s="7"/>
      <c r="W21" s="7"/>
      <c r="X21" s="7"/>
      <c r="Y21" s="7"/>
      <c r="Z21" s="16"/>
      <c r="AB21" s="127">
        <v>16</v>
      </c>
      <c r="AC21" s="129">
        <v>0.02</v>
      </c>
    </row>
    <row r="22" spans="2:29" x14ac:dyDescent="0.25">
      <c r="B22" s="6"/>
      <c r="C22" s="40" t="s">
        <v>77</v>
      </c>
      <c r="D22" s="50">
        <v>0.02</v>
      </c>
      <c r="E22" s="51">
        <f>NBA!D22 * Pricing!F20</f>
        <v>4.4800000000000004</v>
      </c>
      <c r="F22" s="52">
        <f t="shared" si="0"/>
        <v>5</v>
      </c>
      <c r="G22" s="53">
        <f t="shared" si="1"/>
        <v>0.51999999999999957</v>
      </c>
      <c r="H22" s="7"/>
      <c r="I22" s="7"/>
      <c r="J22" s="7"/>
      <c r="K22" s="7"/>
      <c r="L22" s="7"/>
      <c r="M22" s="7"/>
      <c r="N22" s="7"/>
      <c r="O22" s="7"/>
      <c r="P22" s="7"/>
      <c r="Q22" s="7"/>
      <c r="R22" s="7"/>
      <c r="S22" s="7"/>
      <c r="T22" s="7"/>
      <c r="U22" s="7"/>
      <c r="V22" s="7"/>
      <c r="W22" s="7"/>
      <c r="X22" s="7"/>
      <c r="Y22" s="7"/>
      <c r="Z22" s="16"/>
      <c r="AB22" s="127">
        <v>17</v>
      </c>
      <c r="AC22" s="129">
        <v>0.02</v>
      </c>
    </row>
    <row r="23" spans="2:29" x14ac:dyDescent="0.25">
      <c r="B23" s="6"/>
      <c r="C23" s="40" t="s">
        <v>111</v>
      </c>
      <c r="D23" s="50">
        <v>0.05</v>
      </c>
      <c r="E23" s="51">
        <f>NBA!D23 * Pricing!F20</f>
        <v>11.200000000000001</v>
      </c>
      <c r="F23" s="52">
        <f t="shared" si="0"/>
        <v>12</v>
      </c>
      <c r="G23" s="53">
        <f t="shared" si="1"/>
        <v>0.79999999999999893</v>
      </c>
      <c r="H23" s="7"/>
      <c r="I23" s="7"/>
      <c r="J23" s="7"/>
      <c r="K23" s="7"/>
      <c r="L23" s="7"/>
      <c r="M23" s="7"/>
      <c r="N23" s="7"/>
      <c r="O23" s="7"/>
      <c r="P23" s="7"/>
      <c r="Q23" s="7"/>
      <c r="R23" s="7"/>
      <c r="S23" s="7"/>
      <c r="T23" s="7"/>
      <c r="U23" s="7"/>
      <c r="V23" s="7"/>
      <c r="W23" s="7"/>
      <c r="X23" s="7"/>
      <c r="Y23" s="7"/>
      <c r="Z23" s="16"/>
      <c r="AB23" s="127">
        <v>18</v>
      </c>
      <c r="AC23" s="129">
        <v>0.02</v>
      </c>
    </row>
    <row r="24" spans="2:29" x14ac:dyDescent="0.25">
      <c r="B24" s="6"/>
      <c r="C24" s="40" t="s">
        <v>79</v>
      </c>
      <c r="D24" s="50">
        <v>0.03</v>
      </c>
      <c r="E24" s="51">
        <f>NBA!D24 * Pricing!F20</f>
        <v>6.72</v>
      </c>
      <c r="F24" s="52">
        <f t="shared" si="0"/>
        <v>7</v>
      </c>
      <c r="G24" s="53">
        <f t="shared" si="1"/>
        <v>0.28000000000000025</v>
      </c>
      <c r="H24" s="7"/>
      <c r="I24" s="7"/>
      <c r="J24" s="7"/>
      <c r="K24" s="7"/>
      <c r="L24" s="7"/>
      <c r="M24" s="7"/>
      <c r="N24" s="7"/>
      <c r="O24" s="7"/>
      <c r="P24" s="7"/>
      <c r="Q24" s="7"/>
      <c r="R24" s="7"/>
      <c r="S24" s="7"/>
      <c r="T24" s="7"/>
      <c r="U24" s="7"/>
      <c r="V24" s="7"/>
      <c r="W24" s="7"/>
      <c r="X24" s="7"/>
      <c r="Y24" s="7"/>
      <c r="Z24" s="16"/>
      <c r="AB24" s="127">
        <v>19</v>
      </c>
      <c r="AC24" s="129">
        <v>0.02</v>
      </c>
    </row>
    <row r="25" spans="2:29" x14ac:dyDescent="0.25">
      <c r="B25" s="6"/>
      <c r="C25" s="40" t="s">
        <v>112</v>
      </c>
      <c r="D25" s="50">
        <v>0.05</v>
      </c>
      <c r="E25" s="51">
        <f>NBA!D25 * Pricing!F20</f>
        <v>11.200000000000001</v>
      </c>
      <c r="F25" s="52">
        <f t="shared" si="0"/>
        <v>12</v>
      </c>
      <c r="G25" s="53">
        <f t="shared" si="1"/>
        <v>0.79999999999999893</v>
      </c>
      <c r="H25" s="7"/>
      <c r="I25" s="7"/>
      <c r="J25" s="7"/>
      <c r="K25" s="7"/>
      <c r="L25" s="7"/>
      <c r="M25" s="7"/>
      <c r="N25" s="7"/>
      <c r="O25" s="7"/>
      <c r="P25" s="7"/>
      <c r="Q25" s="7"/>
      <c r="R25" s="7"/>
      <c r="S25" s="7"/>
      <c r="T25" s="7"/>
      <c r="U25" s="7"/>
      <c r="V25" s="7"/>
      <c r="W25" s="7"/>
      <c r="X25" s="7"/>
      <c r="Y25" s="7"/>
      <c r="Z25" s="16"/>
      <c r="AB25" s="127">
        <v>20</v>
      </c>
      <c r="AC25" s="129">
        <v>0.02</v>
      </c>
    </row>
    <row r="26" spans="2:29" x14ac:dyDescent="0.25">
      <c r="B26" s="6"/>
      <c r="C26" s="40" t="s">
        <v>70</v>
      </c>
      <c r="D26" s="50">
        <v>0.08</v>
      </c>
      <c r="E26" s="51">
        <f>NBA!D26 * Pricing!F20</f>
        <v>17.920000000000002</v>
      </c>
      <c r="F26" s="52">
        <f t="shared" si="0"/>
        <v>18</v>
      </c>
      <c r="G26" s="53">
        <f t="shared" si="1"/>
        <v>7.9999999999998295E-2</v>
      </c>
      <c r="H26" s="7"/>
      <c r="I26" s="7"/>
      <c r="J26" s="7"/>
      <c r="K26" s="7"/>
      <c r="L26" s="7"/>
      <c r="M26" s="7"/>
      <c r="N26" s="7"/>
      <c r="O26" s="7"/>
      <c r="P26" s="7"/>
      <c r="Q26" s="7"/>
      <c r="R26" s="7"/>
      <c r="S26" s="7"/>
      <c r="T26" s="7"/>
      <c r="U26" s="7"/>
      <c r="V26" s="7"/>
      <c r="W26" s="7"/>
      <c r="X26" s="7"/>
      <c r="Y26" s="7"/>
      <c r="Z26" s="16"/>
      <c r="AB26" s="127">
        <v>21</v>
      </c>
      <c r="AC26" s="129">
        <v>0.02</v>
      </c>
    </row>
    <row r="27" spans="2:29" x14ac:dyDescent="0.25">
      <c r="B27" s="6"/>
      <c r="C27" s="40" t="s">
        <v>81</v>
      </c>
      <c r="D27" s="50">
        <v>0.02</v>
      </c>
      <c r="E27" s="51">
        <f>NBA!D27 * Pricing!F20</f>
        <v>4.4800000000000004</v>
      </c>
      <c r="F27" s="52">
        <f t="shared" si="0"/>
        <v>5</v>
      </c>
      <c r="G27" s="53">
        <f t="shared" si="1"/>
        <v>0.51999999999999957</v>
      </c>
      <c r="H27" s="7"/>
      <c r="I27" s="7"/>
      <c r="J27" s="7"/>
      <c r="K27" s="7"/>
      <c r="L27" s="7"/>
      <c r="M27" s="7"/>
      <c r="N27" s="7"/>
      <c r="O27" s="7"/>
      <c r="P27" s="7"/>
      <c r="Q27" s="7"/>
      <c r="R27" s="7"/>
      <c r="S27" s="7"/>
      <c r="T27" s="7"/>
      <c r="U27" s="7"/>
      <c r="V27" s="7"/>
      <c r="W27" s="7"/>
      <c r="X27" s="7"/>
      <c r="Y27" s="7"/>
      <c r="Z27" s="16"/>
      <c r="AB27" s="127">
        <v>22</v>
      </c>
      <c r="AC27" s="129">
        <v>0.02</v>
      </c>
    </row>
    <row r="28" spans="2:29" x14ac:dyDescent="0.25">
      <c r="B28" s="6"/>
      <c r="C28" s="40" t="s">
        <v>82</v>
      </c>
      <c r="D28" s="50">
        <v>0.01</v>
      </c>
      <c r="E28" s="51">
        <f>NBA!D28 * Pricing!F20</f>
        <v>2.2400000000000002</v>
      </c>
      <c r="F28" s="52">
        <f t="shared" si="0"/>
        <v>3</v>
      </c>
      <c r="G28" s="53">
        <f t="shared" si="1"/>
        <v>0.75999999999999979</v>
      </c>
      <c r="H28" s="7"/>
      <c r="I28" s="7"/>
      <c r="J28" s="7"/>
      <c r="K28" s="7"/>
      <c r="L28" s="7"/>
      <c r="M28" s="7"/>
      <c r="N28" s="7"/>
      <c r="O28" s="7"/>
      <c r="P28" s="7"/>
      <c r="Q28" s="7"/>
      <c r="R28" s="7"/>
      <c r="S28" s="7"/>
      <c r="T28" s="7"/>
      <c r="U28" s="7"/>
      <c r="V28" s="7"/>
      <c r="W28" s="7"/>
      <c r="X28" s="7"/>
      <c r="Y28" s="7"/>
      <c r="Z28" s="16"/>
      <c r="AB28" s="127"/>
      <c r="AC28" s="129"/>
    </row>
    <row r="29" spans="2:29" ht="15.75" thickBot="1" x14ac:dyDescent="0.3">
      <c r="B29" s="6"/>
      <c r="C29" s="40" t="s">
        <v>71</v>
      </c>
      <c r="D29" s="50">
        <v>0.01</v>
      </c>
      <c r="E29" s="51">
        <f>NBA!D29 * Pricing!F20</f>
        <v>2.2400000000000002</v>
      </c>
      <c r="F29" s="52">
        <f t="shared" si="0"/>
        <v>3</v>
      </c>
      <c r="G29" s="53">
        <f t="shared" si="1"/>
        <v>0.75999999999999979</v>
      </c>
      <c r="H29" s="7"/>
      <c r="I29" s="7"/>
      <c r="J29" s="7"/>
      <c r="K29" s="7"/>
      <c r="L29" s="7"/>
      <c r="M29" s="7"/>
      <c r="N29" s="7"/>
      <c r="O29" s="7"/>
      <c r="P29" s="7"/>
      <c r="Q29" s="7"/>
      <c r="R29" s="7"/>
      <c r="S29" s="7"/>
      <c r="T29" s="7"/>
      <c r="U29" s="7"/>
      <c r="V29" s="7"/>
      <c r="W29" s="7"/>
      <c r="X29" s="7"/>
      <c r="Y29" s="7"/>
      <c r="Z29" s="16"/>
      <c r="AB29" s="130" t="s">
        <v>179</v>
      </c>
      <c r="AC29" s="131" t="s">
        <v>177</v>
      </c>
    </row>
    <row r="30" spans="2:29" x14ac:dyDescent="0.25">
      <c r="B30" s="6"/>
      <c r="C30" s="40" t="s">
        <v>113</v>
      </c>
      <c r="D30" s="50">
        <v>0.02</v>
      </c>
      <c r="E30" s="51">
        <f>NBA!D10 * Pricing!F20</f>
        <v>6.72</v>
      </c>
      <c r="F30" s="52">
        <f t="shared" si="0"/>
        <v>7</v>
      </c>
      <c r="G30" s="53">
        <f t="shared" si="1"/>
        <v>0.28000000000000025</v>
      </c>
      <c r="H30" s="7"/>
      <c r="I30" s="7"/>
      <c r="J30" s="7"/>
      <c r="K30" s="7"/>
      <c r="L30" s="7"/>
      <c r="M30" s="7"/>
      <c r="N30" s="7"/>
      <c r="O30" s="7"/>
      <c r="P30" s="7"/>
      <c r="Q30" s="7"/>
      <c r="R30" s="7"/>
      <c r="S30" s="7"/>
      <c r="T30" s="7"/>
      <c r="U30" s="7"/>
      <c r="V30" s="7"/>
      <c r="W30" s="7"/>
      <c r="X30" s="7"/>
      <c r="Y30" s="7"/>
      <c r="Z30" s="16"/>
      <c r="AB30" s="127"/>
      <c r="AC30" s="129"/>
    </row>
    <row r="31" spans="2:29" x14ac:dyDescent="0.25">
      <c r="B31" s="6"/>
      <c r="C31" s="40" t="s">
        <v>88</v>
      </c>
      <c r="D31" s="50">
        <v>0.1</v>
      </c>
      <c r="E31" s="51">
        <f>NBA!D31 * Pricing!F20</f>
        <v>22.400000000000002</v>
      </c>
      <c r="F31" s="52">
        <f t="shared" si="0"/>
        <v>23</v>
      </c>
      <c r="G31" s="53">
        <f t="shared" si="1"/>
        <v>0.59999999999999787</v>
      </c>
      <c r="H31" s="7"/>
      <c r="I31" s="7"/>
      <c r="J31" s="7"/>
      <c r="K31" s="7"/>
      <c r="L31" s="7"/>
      <c r="M31" s="7"/>
      <c r="N31" s="7"/>
      <c r="O31" s="7"/>
      <c r="P31" s="7"/>
      <c r="Q31" s="7"/>
      <c r="R31" s="7"/>
      <c r="S31" s="7"/>
      <c r="T31" s="7"/>
      <c r="U31" s="7"/>
      <c r="V31" s="7"/>
      <c r="W31" s="7"/>
      <c r="X31" s="7"/>
      <c r="Y31" s="7"/>
      <c r="Z31" s="16"/>
      <c r="AB31" s="127"/>
      <c r="AC31" s="129"/>
    </row>
    <row r="32" spans="2:29" x14ac:dyDescent="0.25">
      <c r="B32" s="6"/>
      <c r="C32" s="40" t="s">
        <v>114</v>
      </c>
      <c r="D32" s="50">
        <v>0.08</v>
      </c>
      <c r="E32" s="51">
        <f>NBA!D32 * Pricing!F20</f>
        <v>17.920000000000002</v>
      </c>
      <c r="F32" s="52">
        <f t="shared" si="0"/>
        <v>18</v>
      </c>
      <c r="G32" s="53">
        <f t="shared" si="1"/>
        <v>7.9999999999998295E-2</v>
      </c>
      <c r="H32" s="7"/>
      <c r="I32" s="7"/>
      <c r="J32" s="7"/>
      <c r="K32" s="7"/>
      <c r="L32" s="7"/>
      <c r="M32" s="7"/>
      <c r="N32" s="7"/>
      <c r="O32" s="7"/>
      <c r="P32" s="7"/>
      <c r="Q32" s="7"/>
      <c r="R32" s="7"/>
      <c r="S32" s="7"/>
      <c r="T32" s="7"/>
      <c r="U32" s="7"/>
      <c r="V32" s="7"/>
      <c r="W32" s="7"/>
      <c r="X32" s="7"/>
      <c r="Y32" s="7"/>
      <c r="Z32" s="16"/>
      <c r="AB32" s="127"/>
      <c r="AC32" s="129"/>
    </row>
    <row r="33" spans="2:29" ht="15.75" thickBot="1" x14ac:dyDescent="0.3">
      <c r="B33" s="6"/>
      <c r="C33" s="40" t="s">
        <v>86</v>
      </c>
      <c r="D33" s="50">
        <v>0.03</v>
      </c>
      <c r="E33" s="51">
        <f>NBA!D33 * Pricing!F20</f>
        <v>6.72</v>
      </c>
      <c r="F33" s="52">
        <f t="shared" si="0"/>
        <v>7</v>
      </c>
      <c r="G33" s="53">
        <f t="shared" si="1"/>
        <v>0.28000000000000025</v>
      </c>
      <c r="H33" s="7"/>
      <c r="I33" s="7"/>
      <c r="J33" s="7"/>
      <c r="K33" s="7"/>
      <c r="L33" s="7"/>
      <c r="M33" s="7"/>
      <c r="N33" s="7"/>
      <c r="O33" s="7"/>
      <c r="P33" s="7"/>
      <c r="Q33" s="7"/>
      <c r="R33" s="7"/>
      <c r="S33" s="7"/>
      <c r="T33" s="7"/>
      <c r="U33" s="7"/>
      <c r="V33" s="7"/>
      <c r="W33" s="7"/>
      <c r="X33" s="7"/>
      <c r="Y33" s="7"/>
      <c r="Z33" s="16"/>
      <c r="AB33" s="130"/>
      <c r="AC33" s="131"/>
    </row>
    <row r="34" spans="2:29" x14ac:dyDescent="0.25">
      <c r="B34" s="6"/>
      <c r="C34" s="40" t="s">
        <v>84</v>
      </c>
      <c r="D34" s="50">
        <v>0.01</v>
      </c>
      <c r="E34" s="51">
        <f>NBA!D34 * Pricing!F20</f>
        <v>2.2400000000000002</v>
      </c>
      <c r="F34" s="52">
        <f t="shared" si="0"/>
        <v>3</v>
      </c>
      <c r="G34" s="53">
        <f t="shared" si="1"/>
        <v>0.75999999999999979</v>
      </c>
      <c r="H34" s="7"/>
      <c r="I34" s="7"/>
      <c r="J34" s="7"/>
      <c r="K34" s="7"/>
      <c r="L34" s="7"/>
      <c r="M34" s="7"/>
      <c r="N34" s="7"/>
      <c r="O34" s="7"/>
      <c r="P34" s="7"/>
      <c r="Q34" s="7"/>
      <c r="R34" s="7"/>
      <c r="S34" s="7"/>
      <c r="T34" s="7"/>
      <c r="U34" s="7"/>
      <c r="V34" s="7"/>
      <c r="W34" s="7"/>
      <c r="X34" s="7"/>
      <c r="Y34" s="7"/>
      <c r="Z34" s="16"/>
    </row>
    <row r="35" spans="2:29" x14ac:dyDescent="0.25">
      <c r="B35" s="6"/>
      <c r="C35" s="40" t="s">
        <v>78</v>
      </c>
      <c r="D35" s="50">
        <v>0.03</v>
      </c>
      <c r="E35" s="51">
        <f>NBA!D35 * Pricing!F20</f>
        <v>6.72</v>
      </c>
      <c r="F35" s="52">
        <f t="shared" si="0"/>
        <v>7</v>
      </c>
      <c r="G35" s="53">
        <f>SUM(F35-E35)</f>
        <v>0.28000000000000025</v>
      </c>
      <c r="H35" s="7"/>
      <c r="I35" s="7"/>
      <c r="J35" s="7"/>
      <c r="K35" s="7"/>
      <c r="L35" s="7"/>
      <c r="M35" s="7"/>
      <c r="N35" s="7"/>
      <c r="O35" s="7"/>
      <c r="P35" s="7"/>
      <c r="Q35" s="7"/>
      <c r="R35" s="7"/>
      <c r="S35" s="7"/>
      <c r="T35" s="7"/>
      <c r="U35" s="7"/>
      <c r="V35" s="7"/>
      <c r="W35" s="7"/>
      <c r="X35" s="7"/>
      <c r="Y35" s="7"/>
      <c r="Z35" s="16"/>
    </row>
    <row r="36" spans="2:29" ht="15.75" thickBot="1" x14ac:dyDescent="0.3">
      <c r="B36" s="6"/>
      <c r="C36" s="43" t="s">
        <v>115</v>
      </c>
      <c r="D36" s="54">
        <v>0.01</v>
      </c>
      <c r="E36" s="55">
        <f>NBA!D36 * Pricing!F20</f>
        <v>2.2400000000000002</v>
      </c>
      <c r="F36" s="56">
        <f t="shared" si="0"/>
        <v>3</v>
      </c>
      <c r="G36" s="57">
        <f t="shared" si="1"/>
        <v>0.75999999999999979</v>
      </c>
      <c r="H36" s="7"/>
      <c r="I36" s="7"/>
      <c r="J36" s="7"/>
      <c r="K36" s="7"/>
      <c r="L36" s="7"/>
      <c r="M36" s="7"/>
      <c r="N36" s="7"/>
      <c r="O36" s="7"/>
      <c r="P36" s="7"/>
      <c r="Q36" s="7"/>
      <c r="R36" s="7"/>
      <c r="S36" s="7"/>
      <c r="T36" s="7"/>
      <c r="U36" s="7"/>
      <c r="V36" s="7"/>
      <c r="W36" s="7"/>
      <c r="X36" s="7"/>
      <c r="Y36" s="7"/>
      <c r="Z36" s="16"/>
    </row>
    <row r="37" spans="2:29" ht="15.75" thickBot="1" x14ac:dyDescent="0.3">
      <c r="B37" s="6"/>
      <c r="C37" s="7"/>
      <c r="D37" s="25"/>
      <c r="E37" s="106"/>
      <c r="F37" s="7"/>
      <c r="G37" s="7"/>
      <c r="H37" s="7"/>
      <c r="I37" s="164"/>
      <c r="J37" s="165"/>
      <c r="K37" s="165"/>
      <c r="L37" s="165"/>
      <c r="M37" s="165"/>
      <c r="N37" s="165"/>
      <c r="O37" s="165"/>
      <c r="P37" s="165"/>
      <c r="Q37" s="165"/>
      <c r="R37" s="165"/>
      <c r="S37" s="165"/>
      <c r="T37" s="165"/>
      <c r="U37" s="165"/>
      <c r="V37" s="165"/>
      <c r="W37" s="165"/>
      <c r="X37" s="165"/>
      <c r="Y37" s="166"/>
      <c r="Z37" s="16"/>
    </row>
    <row r="38" spans="2:29" ht="15.75" thickBot="1" x14ac:dyDescent="0.3">
      <c r="B38" s="6"/>
      <c r="C38" s="22" t="s">
        <v>36</v>
      </c>
      <c r="D38" s="35">
        <f>SUM(D5:D37)</f>
        <v>1.0000000000000002</v>
      </c>
      <c r="E38" s="36">
        <f>SUM(E5:E37)</f>
        <v>226.24000000000007</v>
      </c>
      <c r="F38" s="120">
        <f>SUM(F5:F36)</f>
        <v>240</v>
      </c>
      <c r="G38" s="37">
        <f>SUM(G5:G36)</f>
        <v>13.759999999999986</v>
      </c>
      <c r="H38" s="7"/>
      <c r="I38" s="167"/>
      <c r="J38" s="168"/>
      <c r="K38" s="168"/>
      <c r="L38" s="168"/>
      <c r="M38" s="168"/>
      <c r="N38" s="168"/>
      <c r="O38" s="168"/>
      <c r="P38" s="168"/>
      <c r="Q38" s="168"/>
      <c r="R38" s="168"/>
      <c r="S38" s="168"/>
      <c r="T38" s="168"/>
      <c r="U38" s="168"/>
      <c r="V38" s="168"/>
      <c r="W38" s="168"/>
      <c r="X38" s="168"/>
      <c r="Y38" s="169"/>
      <c r="Z38" s="16"/>
    </row>
    <row r="39" spans="2:29" x14ac:dyDescent="0.25">
      <c r="B39" s="6"/>
      <c r="C39" s="7"/>
      <c r="D39" s="25"/>
      <c r="E39" s="25"/>
      <c r="F39" s="7"/>
      <c r="G39" s="7"/>
      <c r="H39" s="7"/>
      <c r="I39" s="167"/>
      <c r="J39" s="168"/>
      <c r="K39" s="168"/>
      <c r="L39" s="168"/>
      <c r="M39" s="168"/>
      <c r="N39" s="168"/>
      <c r="O39" s="168"/>
      <c r="P39" s="168"/>
      <c r="Q39" s="168"/>
      <c r="R39" s="168"/>
      <c r="S39" s="168"/>
      <c r="T39" s="168"/>
      <c r="U39" s="168"/>
      <c r="V39" s="168"/>
      <c r="W39" s="168"/>
      <c r="X39" s="168"/>
      <c r="Y39" s="169"/>
      <c r="Z39" s="16"/>
    </row>
    <row r="40" spans="2:29" ht="21.75" thickBot="1" x14ac:dyDescent="0.4">
      <c r="B40" s="6"/>
      <c r="C40" s="132" t="s">
        <v>39</v>
      </c>
      <c r="D40" s="133">
        <f>SUM(E38+G38)</f>
        <v>240.00000000000006</v>
      </c>
      <c r="E40" s="25"/>
      <c r="F40" s="7"/>
      <c r="G40" s="7"/>
      <c r="H40" s="7"/>
      <c r="I40" s="170"/>
      <c r="J40" s="171"/>
      <c r="K40" s="171"/>
      <c r="L40" s="171"/>
      <c r="M40" s="171"/>
      <c r="N40" s="171"/>
      <c r="O40" s="171"/>
      <c r="P40" s="171"/>
      <c r="Q40" s="171"/>
      <c r="R40" s="171"/>
      <c r="S40" s="171"/>
      <c r="T40" s="171"/>
      <c r="U40" s="171"/>
      <c r="V40" s="171"/>
      <c r="W40" s="171"/>
      <c r="X40" s="171"/>
      <c r="Y40" s="172"/>
      <c r="Z40" s="16"/>
    </row>
    <row r="41" spans="2:29" ht="15.75" thickBot="1" x14ac:dyDescent="0.3">
      <c r="B41" s="11"/>
      <c r="C41" s="12"/>
      <c r="D41" s="96"/>
      <c r="E41" s="26"/>
      <c r="F41" s="12"/>
      <c r="G41" s="12"/>
      <c r="H41" s="12"/>
      <c r="I41" s="12"/>
      <c r="J41" s="12"/>
      <c r="K41" s="12"/>
      <c r="L41" s="12"/>
      <c r="M41" s="12"/>
      <c r="N41" s="12"/>
      <c r="O41" s="12"/>
      <c r="P41" s="12"/>
      <c r="Q41" s="12"/>
      <c r="R41" s="12"/>
      <c r="S41" s="12"/>
      <c r="T41" s="12"/>
      <c r="U41" s="12"/>
      <c r="V41" s="12"/>
      <c r="W41" s="12"/>
      <c r="X41" s="12"/>
      <c r="Y41" s="12"/>
      <c r="Z41" s="15"/>
    </row>
  </sheetData>
  <mergeCells count="2">
    <mergeCell ref="I37:Y40"/>
    <mergeCell ref="AB10:AC10"/>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CD843-607C-4397-B873-1EAB3F7EC244}">
  <sheetPr codeName="Sheet5"/>
  <dimension ref="B2:AC41"/>
  <sheetViews>
    <sheetView zoomScale="55" zoomScaleNormal="55" workbookViewId="0"/>
  </sheetViews>
  <sheetFormatPr defaultRowHeight="15" x14ac:dyDescent="0.25"/>
  <cols>
    <col min="3" max="3" width="31.42578125" customWidth="1"/>
    <col min="4" max="4" width="15.5703125" customWidth="1"/>
    <col min="7" max="7" width="11.28515625" customWidth="1"/>
    <col min="26" max="26" width="9.42578125" customWidth="1"/>
    <col min="28" max="28" width="13" customWidth="1"/>
    <col min="29" max="29" width="13.28515625" customWidth="1"/>
  </cols>
  <sheetData>
    <row r="2" spans="2:29" ht="15.75" thickBot="1" x14ac:dyDescent="0.3"/>
    <row r="3" spans="2:29" ht="15.75" thickBot="1" x14ac:dyDescent="0.3">
      <c r="B3" s="102"/>
      <c r="C3" s="103"/>
      <c r="D3" s="103"/>
      <c r="E3" s="103"/>
      <c r="F3" s="103"/>
      <c r="G3" s="103"/>
      <c r="H3" s="103"/>
      <c r="I3" s="103"/>
      <c r="J3" s="103"/>
      <c r="K3" s="103"/>
      <c r="L3" s="103"/>
      <c r="M3" s="103"/>
      <c r="N3" s="103"/>
      <c r="O3" s="103"/>
      <c r="P3" s="103"/>
      <c r="Q3" s="103"/>
      <c r="R3" s="103"/>
      <c r="S3" s="103"/>
      <c r="T3" s="103"/>
      <c r="U3" s="103"/>
      <c r="V3" s="103"/>
      <c r="W3" s="103"/>
      <c r="X3" s="103"/>
      <c r="Y3" s="103"/>
      <c r="Z3" s="105"/>
    </row>
    <row r="4" spans="2:29" ht="15.75" thickBot="1" x14ac:dyDescent="0.3">
      <c r="B4" s="6"/>
      <c r="C4" s="2" t="s">
        <v>68</v>
      </c>
      <c r="D4" s="3" t="s">
        <v>0</v>
      </c>
      <c r="E4" s="3" t="s">
        <v>1</v>
      </c>
      <c r="F4" s="3" t="s">
        <v>37</v>
      </c>
      <c r="G4" s="3" t="s">
        <v>38</v>
      </c>
      <c r="H4" s="7"/>
      <c r="I4" s="7"/>
      <c r="J4" s="7"/>
      <c r="K4" s="7"/>
      <c r="L4" s="7"/>
      <c r="M4" s="7"/>
      <c r="N4" s="7"/>
      <c r="O4" s="7"/>
      <c r="P4" s="7"/>
      <c r="Q4" s="7"/>
      <c r="R4" s="7"/>
      <c r="S4" s="7"/>
      <c r="T4" s="7"/>
      <c r="U4" s="7"/>
      <c r="V4" s="7"/>
      <c r="W4" s="7"/>
      <c r="X4" s="7"/>
      <c r="Y4" s="7"/>
      <c r="Z4" s="16"/>
    </row>
    <row r="5" spans="2:29" x14ac:dyDescent="0.25">
      <c r="B5" s="6"/>
      <c r="C5" s="38" t="s">
        <v>117</v>
      </c>
      <c r="D5" s="46">
        <v>0.02</v>
      </c>
      <c r="E5" s="47">
        <f>NHL!D5 * Pricing!U20</f>
        <v>4.4800000000000004</v>
      </c>
      <c r="F5" s="47">
        <f t="shared" ref="F5:F36" si="0">CEILING(E5, 1) - 0</f>
        <v>5</v>
      </c>
      <c r="G5" s="39">
        <f t="shared" ref="G5:G36" si="1">SUM(F5-E5)</f>
        <v>0.51999999999999957</v>
      </c>
      <c r="H5" s="7"/>
      <c r="I5" s="7"/>
      <c r="J5" s="7"/>
      <c r="K5" s="7"/>
      <c r="L5" s="7"/>
      <c r="M5" s="7"/>
      <c r="N5" s="7"/>
      <c r="O5" s="7"/>
      <c r="P5" s="7"/>
      <c r="Q5" s="7"/>
      <c r="R5" s="7"/>
      <c r="S5" s="7"/>
      <c r="T5" s="7"/>
      <c r="U5" s="7"/>
      <c r="V5" s="7"/>
      <c r="W5" s="7"/>
      <c r="X5" s="7"/>
      <c r="Y5" s="7"/>
      <c r="Z5" s="16"/>
    </row>
    <row r="6" spans="2:29" x14ac:dyDescent="0.25">
      <c r="B6" s="6"/>
      <c r="C6" s="40" t="s">
        <v>118</v>
      </c>
      <c r="D6" s="50">
        <v>0.04</v>
      </c>
      <c r="E6" s="51">
        <f>NHL!D6 * Pricing!U20</f>
        <v>8.9600000000000009</v>
      </c>
      <c r="F6" s="51">
        <f t="shared" si="0"/>
        <v>9</v>
      </c>
      <c r="G6" s="41">
        <f t="shared" si="1"/>
        <v>3.9999999999999147E-2</v>
      </c>
      <c r="H6" s="7"/>
      <c r="I6" s="7"/>
      <c r="J6" s="7"/>
      <c r="K6" s="7"/>
      <c r="L6" s="7"/>
      <c r="M6" s="7"/>
      <c r="N6" s="7"/>
      <c r="O6" s="7"/>
      <c r="P6" s="7"/>
      <c r="Q6" s="7"/>
      <c r="R6" s="7"/>
      <c r="S6" s="7"/>
      <c r="T6" s="7"/>
      <c r="U6" s="7"/>
      <c r="V6" s="7"/>
      <c r="W6" s="7"/>
      <c r="X6" s="7"/>
      <c r="Y6" s="7"/>
      <c r="Z6" s="16"/>
    </row>
    <row r="7" spans="2:29" ht="15.75" thickBot="1" x14ac:dyDescent="0.3">
      <c r="B7" s="6"/>
      <c r="C7" s="40" t="s">
        <v>119</v>
      </c>
      <c r="D7" s="50">
        <v>0.01</v>
      </c>
      <c r="E7" s="51">
        <f>NHL!D7 * Pricing!U20</f>
        <v>2.2400000000000002</v>
      </c>
      <c r="F7" s="51">
        <f t="shared" si="0"/>
        <v>3</v>
      </c>
      <c r="G7" s="41">
        <f t="shared" si="1"/>
        <v>0.75999999999999979</v>
      </c>
      <c r="H7" s="7"/>
      <c r="I7" s="7"/>
      <c r="J7" s="7"/>
      <c r="K7" s="7"/>
      <c r="L7" s="7"/>
      <c r="M7" s="7"/>
      <c r="N7" s="7"/>
      <c r="O7" s="7"/>
      <c r="P7" s="7"/>
      <c r="Q7" s="7"/>
      <c r="R7" s="7"/>
      <c r="S7" s="7"/>
      <c r="T7" s="7"/>
      <c r="U7" s="7"/>
      <c r="V7" s="7"/>
      <c r="W7" s="7"/>
      <c r="X7" s="7"/>
      <c r="Y7" s="7"/>
      <c r="Z7" s="16"/>
    </row>
    <row r="8" spans="2:29" x14ac:dyDescent="0.25">
      <c r="B8" s="6"/>
      <c r="C8" s="40" t="s">
        <v>120</v>
      </c>
      <c r="D8" s="50">
        <v>0.03</v>
      </c>
      <c r="E8" s="51">
        <f>NHL!D8 * Pricing!U20</f>
        <v>6.72</v>
      </c>
      <c r="F8" s="51">
        <f t="shared" si="0"/>
        <v>7</v>
      </c>
      <c r="G8" s="41">
        <f t="shared" si="1"/>
        <v>0.28000000000000025</v>
      </c>
      <c r="H8" s="7"/>
      <c r="I8" s="7"/>
      <c r="J8" s="7"/>
      <c r="K8" s="7"/>
      <c r="L8" s="7"/>
      <c r="M8" s="7"/>
      <c r="N8" s="7"/>
      <c r="O8" s="7"/>
      <c r="P8" s="7"/>
      <c r="Q8" s="7"/>
      <c r="R8" s="7"/>
      <c r="S8" s="7"/>
      <c r="T8" s="7"/>
      <c r="U8" s="7"/>
      <c r="V8" s="7"/>
      <c r="W8" s="7"/>
      <c r="X8" s="7"/>
      <c r="Y8" s="7"/>
      <c r="Z8" s="16"/>
      <c r="AB8" s="123"/>
      <c r="AC8" s="124"/>
    </row>
    <row r="9" spans="2:29" ht="21" x14ac:dyDescent="0.25">
      <c r="B9" s="6"/>
      <c r="C9" s="40" t="s">
        <v>121</v>
      </c>
      <c r="D9" s="50">
        <v>0.05</v>
      </c>
      <c r="E9" s="51">
        <f>NHL!D9 * Pricing!U20</f>
        <v>11.200000000000001</v>
      </c>
      <c r="F9" s="51">
        <f t="shared" si="0"/>
        <v>12</v>
      </c>
      <c r="G9" s="41">
        <f t="shared" si="1"/>
        <v>0.79999999999999893</v>
      </c>
      <c r="H9" s="7"/>
      <c r="I9" s="7"/>
      <c r="J9" s="7"/>
      <c r="K9" s="7"/>
      <c r="L9" s="7"/>
      <c r="M9" s="7"/>
      <c r="N9" s="7"/>
      <c r="O9" s="7"/>
      <c r="P9" s="7"/>
      <c r="Q9" s="7"/>
      <c r="R9" s="7"/>
      <c r="S9" s="7"/>
      <c r="T9" s="7"/>
      <c r="U9" s="7"/>
      <c r="V9" s="7"/>
      <c r="W9" s="7"/>
      <c r="X9" s="7"/>
      <c r="Y9" s="7"/>
      <c r="Z9" s="16"/>
      <c r="AB9" s="173" t="s">
        <v>164</v>
      </c>
      <c r="AC9" s="174"/>
    </row>
    <row r="10" spans="2:29" ht="13.5" customHeight="1" x14ac:dyDescent="0.25">
      <c r="B10" s="6"/>
      <c r="C10" s="40" t="s">
        <v>122</v>
      </c>
      <c r="D10" s="50">
        <v>0.01</v>
      </c>
      <c r="E10" s="51">
        <f>NHL!D10 * Pricing!U20</f>
        <v>2.2400000000000002</v>
      </c>
      <c r="F10" s="51">
        <f t="shared" si="0"/>
        <v>3</v>
      </c>
      <c r="G10" s="41">
        <f t="shared" si="1"/>
        <v>0.75999999999999979</v>
      </c>
      <c r="H10" s="7"/>
      <c r="I10" s="7"/>
      <c r="J10" s="7"/>
      <c r="K10" s="7"/>
      <c r="L10" s="7"/>
      <c r="M10" s="7"/>
      <c r="N10" s="7"/>
      <c r="O10" s="7"/>
      <c r="P10" s="7"/>
      <c r="Q10" s="7"/>
      <c r="R10" s="7"/>
      <c r="S10" s="7"/>
      <c r="T10" s="7"/>
      <c r="U10" s="7"/>
      <c r="V10" s="7"/>
      <c r="W10" s="7"/>
      <c r="X10" s="7"/>
      <c r="Y10" s="7"/>
      <c r="Z10" s="16"/>
      <c r="AB10" s="134" t="s">
        <v>178</v>
      </c>
      <c r="AC10" s="135" t="s">
        <v>0</v>
      </c>
    </row>
    <row r="11" spans="2:29" x14ac:dyDescent="0.25">
      <c r="B11" s="6"/>
      <c r="C11" s="42" t="s">
        <v>123</v>
      </c>
      <c r="D11" s="50">
        <v>0.08</v>
      </c>
      <c r="E11" s="51">
        <f>NHL!D11 * Pricing!U20</f>
        <v>17.920000000000002</v>
      </c>
      <c r="F11" s="51">
        <f t="shared" si="0"/>
        <v>18</v>
      </c>
      <c r="G11" s="41">
        <f t="shared" si="1"/>
        <v>7.9999999999998295E-2</v>
      </c>
      <c r="H11" s="7"/>
      <c r="I11" s="7"/>
      <c r="J11" s="7"/>
      <c r="K11" s="7"/>
      <c r="L11" s="7"/>
      <c r="M11" s="7"/>
      <c r="N11" s="7"/>
      <c r="O11" s="7"/>
      <c r="P11" s="7"/>
      <c r="Q11" s="7"/>
      <c r="R11" s="7"/>
      <c r="S11" s="7"/>
      <c r="T11" s="7"/>
      <c r="U11" s="7"/>
      <c r="V11" s="7"/>
      <c r="W11" s="7"/>
      <c r="X11" s="7"/>
      <c r="Y11" s="7"/>
      <c r="Z11" s="16"/>
      <c r="AB11" s="127" t="s">
        <v>169</v>
      </c>
      <c r="AC11" s="128" t="s">
        <v>170</v>
      </c>
    </row>
    <row r="12" spans="2:29" x14ac:dyDescent="0.25">
      <c r="B12" s="6"/>
      <c r="C12" s="40" t="s">
        <v>124</v>
      </c>
      <c r="D12" s="50">
        <v>0.03</v>
      </c>
      <c r="E12" s="51">
        <f>NHL!D12 * Pricing!U20</f>
        <v>6.72</v>
      </c>
      <c r="F12" s="51">
        <f t="shared" si="0"/>
        <v>7</v>
      </c>
      <c r="G12" s="41">
        <f t="shared" si="1"/>
        <v>0.28000000000000025</v>
      </c>
      <c r="H12" s="7"/>
      <c r="I12" s="7"/>
      <c r="J12" s="7"/>
      <c r="K12" s="7"/>
      <c r="L12" s="7"/>
      <c r="M12" s="7"/>
      <c r="N12" s="7"/>
      <c r="O12" s="7"/>
      <c r="P12" s="7"/>
      <c r="Q12" s="7"/>
      <c r="R12" s="7"/>
      <c r="S12" s="7"/>
      <c r="T12" s="7"/>
      <c r="U12" s="7"/>
      <c r="V12" s="7"/>
      <c r="W12" s="7"/>
      <c r="X12" s="7"/>
      <c r="Y12" s="7"/>
      <c r="Z12" s="16"/>
      <c r="AB12" s="127" t="s">
        <v>171</v>
      </c>
      <c r="AC12" s="128" t="s">
        <v>172</v>
      </c>
    </row>
    <row r="13" spans="2:29" x14ac:dyDescent="0.25">
      <c r="B13" s="6"/>
      <c r="C13" s="40" t="s">
        <v>125</v>
      </c>
      <c r="D13" s="50">
        <v>0.05</v>
      </c>
      <c r="E13" s="51">
        <f>NHL!D13 * Pricing!U20</f>
        <v>11.200000000000001</v>
      </c>
      <c r="F13" s="51">
        <f t="shared" si="0"/>
        <v>12</v>
      </c>
      <c r="G13" s="41">
        <f t="shared" si="1"/>
        <v>0.79999999999999893</v>
      </c>
      <c r="H13" s="7"/>
      <c r="I13" s="7"/>
      <c r="J13" s="7"/>
      <c r="K13" s="7"/>
      <c r="L13" s="7"/>
      <c r="M13" s="7"/>
      <c r="N13" s="7"/>
      <c r="O13" s="7"/>
      <c r="P13" s="7"/>
      <c r="Q13" s="7"/>
      <c r="R13" s="7"/>
      <c r="S13" s="7"/>
      <c r="T13" s="7"/>
      <c r="U13" s="7"/>
      <c r="V13" s="7"/>
      <c r="W13" s="7"/>
      <c r="X13" s="7"/>
      <c r="Y13" s="7"/>
      <c r="Z13" s="16"/>
      <c r="AB13" s="127" t="s">
        <v>173</v>
      </c>
      <c r="AC13" s="128" t="s">
        <v>174</v>
      </c>
    </row>
    <row r="14" spans="2:29" x14ac:dyDescent="0.25">
      <c r="B14" s="6"/>
      <c r="C14" s="40" t="s">
        <v>126</v>
      </c>
      <c r="D14" s="50">
        <v>0.04</v>
      </c>
      <c r="E14" s="51">
        <f>NHL!D14 * Pricing!U20</f>
        <v>8.9600000000000009</v>
      </c>
      <c r="F14" s="51">
        <f t="shared" si="0"/>
        <v>9</v>
      </c>
      <c r="G14" s="41">
        <f t="shared" si="1"/>
        <v>3.9999999999999147E-2</v>
      </c>
      <c r="H14" s="7"/>
      <c r="I14" s="7"/>
      <c r="J14" s="7"/>
      <c r="K14" s="7"/>
      <c r="L14" s="7"/>
      <c r="M14" s="7"/>
      <c r="N14" s="7"/>
      <c r="O14" s="7"/>
      <c r="P14" s="7"/>
      <c r="Q14" s="7"/>
      <c r="R14" s="7"/>
      <c r="S14" s="7"/>
      <c r="T14" s="7"/>
      <c r="U14" s="7"/>
      <c r="V14" s="7"/>
      <c r="W14" s="7"/>
      <c r="X14" s="7"/>
      <c r="Y14" s="7"/>
      <c r="Z14" s="16"/>
      <c r="AB14" s="127" t="s">
        <v>175</v>
      </c>
      <c r="AC14" s="128" t="s">
        <v>176</v>
      </c>
    </row>
    <row r="15" spans="2:29" x14ac:dyDescent="0.25">
      <c r="B15" s="6"/>
      <c r="C15" s="40" t="s">
        <v>127</v>
      </c>
      <c r="D15" s="50">
        <v>0.01</v>
      </c>
      <c r="E15" s="51">
        <f>NHL!D15 * Pricing!U20</f>
        <v>2.2400000000000002</v>
      </c>
      <c r="F15" s="51">
        <f t="shared" si="0"/>
        <v>3</v>
      </c>
      <c r="G15" s="41">
        <f t="shared" si="1"/>
        <v>0.75999999999999979</v>
      </c>
      <c r="H15" s="7"/>
      <c r="I15" s="7"/>
      <c r="J15" s="7"/>
      <c r="K15" s="7"/>
      <c r="L15" s="7"/>
      <c r="M15" s="7"/>
      <c r="N15" s="7"/>
      <c r="O15" s="7"/>
      <c r="P15" s="7"/>
      <c r="Q15" s="7"/>
      <c r="R15" s="7"/>
      <c r="S15" s="7"/>
      <c r="T15" s="7"/>
      <c r="U15" s="7"/>
      <c r="V15" s="7"/>
      <c r="W15" s="7"/>
      <c r="X15" s="7"/>
      <c r="Y15" s="7"/>
      <c r="Z15" s="16"/>
      <c r="AB15" s="127">
        <v>11</v>
      </c>
      <c r="AC15" s="129">
        <v>0.03</v>
      </c>
    </row>
    <row r="16" spans="2:29" x14ac:dyDescent="0.25">
      <c r="B16" s="6"/>
      <c r="C16" s="40" t="s">
        <v>128</v>
      </c>
      <c r="D16" s="50">
        <v>0.04</v>
      </c>
      <c r="E16" s="51">
        <f>NHL!D16* Pricing!U20</f>
        <v>8.9600000000000009</v>
      </c>
      <c r="F16" s="51">
        <f t="shared" si="0"/>
        <v>9</v>
      </c>
      <c r="G16" s="41">
        <f t="shared" si="1"/>
        <v>3.9999999999999147E-2</v>
      </c>
      <c r="H16" s="7"/>
      <c r="I16" s="7"/>
      <c r="J16" s="7"/>
      <c r="K16" s="7"/>
      <c r="L16" s="7"/>
      <c r="M16" s="7"/>
      <c r="N16" s="7"/>
      <c r="O16" s="7"/>
      <c r="P16" s="7"/>
      <c r="Q16" s="7"/>
      <c r="R16" s="7"/>
      <c r="S16" s="7"/>
      <c r="T16" s="7"/>
      <c r="U16" s="7"/>
      <c r="V16" s="7"/>
      <c r="W16" s="7"/>
      <c r="X16" s="7"/>
      <c r="Y16" s="7"/>
      <c r="Z16" s="16"/>
      <c r="AB16" s="127">
        <v>12</v>
      </c>
      <c r="AC16" s="129">
        <v>0.03</v>
      </c>
    </row>
    <row r="17" spans="2:29" x14ac:dyDescent="0.25">
      <c r="B17" s="6"/>
      <c r="C17" s="40" t="s">
        <v>129</v>
      </c>
      <c r="D17" s="50">
        <v>0.05</v>
      </c>
      <c r="E17" s="51">
        <f>NHL!D17 * Pricing!U20</f>
        <v>11.200000000000001</v>
      </c>
      <c r="F17" s="51">
        <f t="shared" si="0"/>
        <v>12</v>
      </c>
      <c r="G17" s="41">
        <f t="shared" si="1"/>
        <v>0.79999999999999893</v>
      </c>
      <c r="H17" s="7"/>
      <c r="I17" s="7"/>
      <c r="J17" s="7"/>
      <c r="K17" s="7"/>
      <c r="L17" s="7"/>
      <c r="M17" s="7"/>
      <c r="N17" s="7"/>
      <c r="O17" s="7"/>
      <c r="P17" s="7"/>
      <c r="Q17" s="7"/>
      <c r="R17" s="7"/>
      <c r="S17" s="7"/>
      <c r="T17" s="7"/>
      <c r="U17" s="7"/>
      <c r="V17" s="7"/>
      <c r="W17" s="7"/>
      <c r="X17" s="7"/>
      <c r="Y17" s="7"/>
      <c r="Z17" s="16"/>
      <c r="AB17" s="127">
        <v>13</v>
      </c>
      <c r="AC17" s="129">
        <v>0.03</v>
      </c>
    </row>
    <row r="18" spans="2:29" x14ac:dyDescent="0.25">
      <c r="B18" s="6"/>
      <c r="C18" s="40" t="s">
        <v>130</v>
      </c>
      <c r="D18" s="50">
        <v>0.01</v>
      </c>
      <c r="E18" s="51">
        <f>NHL!D18 * Pricing!U20</f>
        <v>2.2400000000000002</v>
      </c>
      <c r="F18" s="51">
        <f t="shared" si="0"/>
        <v>3</v>
      </c>
      <c r="G18" s="41">
        <f t="shared" si="1"/>
        <v>0.75999999999999979</v>
      </c>
      <c r="H18" s="7"/>
      <c r="I18" s="7"/>
      <c r="J18" s="7"/>
      <c r="K18" s="7"/>
      <c r="L18" s="7"/>
      <c r="M18" s="7"/>
      <c r="N18" s="7"/>
      <c r="O18" s="7"/>
      <c r="P18" s="7"/>
      <c r="Q18" s="7"/>
      <c r="R18" s="7"/>
      <c r="S18" s="7"/>
      <c r="T18" s="7"/>
      <c r="U18" s="7"/>
      <c r="V18" s="7"/>
      <c r="W18" s="7"/>
      <c r="X18" s="7"/>
      <c r="Y18" s="7"/>
      <c r="Z18" s="16"/>
      <c r="AB18" s="127">
        <v>14</v>
      </c>
      <c r="AC18" s="129">
        <v>0.03</v>
      </c>
    </row>
    <row r="19" spans="2:29" x14ac:dyDescent="0.25">
      <c r="B19" s="6"/>
      <c r="C19" s="42" t="s">
        <v>131</v>
      </c>
      <c r="D19" s="50">
        <v>0.01</v>
      </c>
      <c r="E19" s="51">
        <f>NHL!D19 * Pricing!U20</f>
        <v>2.2400000000000002</v>
      </c>
      <c r="F19" s="51">
        <f t="shared" si="0"/>
        <v>3</v>
      </c>
      <c r="G19" s="41">
        <f t="shared" si="1"/>
        <v>0.75999999999999979</v>
      </c>
      <c r="H19" s="7"/>
      <c r="I19" s="7"/>
      <c r="J19" s="7"/>
      <c r="K19" s="7"/>
      <c r="L19" s="7"/>
      <c r="M19" s="7"/>
      <c r="N19" s="7"/>
      <c r="O19" s="7"/>
      <c r="P19" s="7"/>
      <c r="Q19" s="7"/>
      <c r="R19" s="7"/>
      <c r="S19" s="7"/>
      <c r="T19" s="7"/>
      <c r="U19" s="7"/>
      <c r="V19" s="7"/>
      <c r="W19" s="7"/>
      <c r="X19" s="7"/>
      <c r="Y19" s="7"/>
      <c r="Z19" s="16"/>
      <c r="AB19" s="127">
        <v>15</v>
      </c>
      <c r="AC19" s="129">
        <v>0.02</v>
      </c>
    </row>
    <row r="20" spans="2:29" x14ac:dyDescent="0.25">
      <c r="B20" s="6"/>
      <c r="C20" s="40" t="s">
        <v>132</v>
      </c>
      <c r="D20" s="50">
        <v>0.03</v>
      </c>
      <c r="E20" s="51">
        <f>NHL!D20 * Pricing!U20</f>
        <v>6.72</v>
      </c>
      <c r="F20" s="51">
        <f t="shared" si="0"/>
        <v>7</v>
      </c>
      <c r="G20" s="41">
        <f t="shared" si="1"/>
        <v>0.28000000000000025</v>
      </c>
      <c r="H20" s="7"/>
      <c r="I20" s="7"/>
      <c r="J20" s="7"/>
      <c r="K20" s="7"/>
      <c r="L20" s="7"/>
      <c r="M20" s="7"/>
      <c r="N20" s="7"/>
      <c r="O20" s="7"/>
      <c r="P20" s="7"/>
      <c r="Q20" s="7"/>
      <c r="R20" s="7"/>
      <c r="S20" s="7"/>
      <c r="T20" s="7"/>
      <c r="U20" s="7"/>
      <c r="V20" s="7"/>
      <c r="W20" s="7"/>
      <c r="X20" s="7"/>
      <c r="Y20" s="7"/>
      <c r="Z20" s="16"/>
      <c r="AB20" s="127">
        <v>16</v>
      </c>
      <c r="AC20" s="129">
        <v>0.02</v>
      </c>
    </row>
    <row r="21" spans="2:29" x14ac:dyDescent="0.25">
      <c r="B21" s="6"/>
      <c r="C21" s="40" t="s">
        <v>133</v>
      </c>
      <c r="D21" s="50">
        <v>0.04</v>
      </c>
      <c r="E21" s="51">
        <f>NHL!D21 * Pricing!U20</f>
        <v>8.9600000000000009</v>
      </c>
      <c r="F21" s="51">
        <f t="shared" si="0"/>
        <v>9</v>
      </c>
      <c r="G21" s="41">
        <f t="shared" si="1"/>
        <v>3.9999999999999147E-2</v>
      </c>
      <c r="H21" s="7"/>
      <c r="I21" s="7"/>
      <c r="J21" s="7"/>
      <c r="K21" s="7"/>
      <c r="L21" s="7"/>
      <c r="M21" s="7"/>
      <c r="N21" s="7"/>
      <c r="O21" s="7"/>
      <c r="P21" s="7"/>
      <c r="Q21" s="7"/>
      <c r="R21" s="7"/>
      <c r="S21" s="7"/>
      <c r="T21" s="7"/>
      <c r="U21" s="7"/>
      <c r="V21" s="7"/>
      <c r="W21" s="7"/>
      <c r="X21" s="7"/>
      <c r="Y21" s="7"/>
      <c r="Z21" s="16"/>
      <c r="AB21" s="127">
        <v>17</v>
      </c>
      <c r="AC21" s="129">
        <v>0.02</v>
      </c>
    </row>
    <row r="22" spans="2:29" x14ac:dyDescent="0.25">
      <c r="B22" s="6"/>
      <c r="C22" s="40" t="s">
        <v>134</v>
      </c>
      <c r="D22" s="50">
        <v>0.05</v>
      </c>
      <c r="E22" s="51">
        <f>NHL!D22 * Pricing!U20</f>
        <v>11.200000000000001</v>
      </c>
      <c r="F22" s="51">
        <f t="shared" si="0"/>
        <v>12</v>
      </c>
      <c r="G22" s="41">
        <f t="shared" si="1"/>
        <v>0.79999999999999893</v>
      </c>
      <c r="H22" s="7"/>
      <c r="I22" s="7"/>
      <c r="J22" s="7"/>
      <c r="K22" s="7"/>
      <c r="L22" s="7"/>
      <c r="M22" s="7"/>
      <c r="N22" s="7"/>
      <c r="O22" s="7"/>
      <c r="P22" s="7"/>
      <c r="Q22" s="7"/>
      <c r="R22" s="7"/>
      <c r="S22" s="7"/>
      <c r="T22" s="7"/>
      <c r="U22" s="7"/>
      <c r="V22" s="7"/>
      <c r="W22" s="7"/>
      <c r="X22" s="7"/>
      <c r="Y22" s="7"/>
      <c r="Z22" s="16"/>
      <c r="AB22" s="127">
        <v>18</v>
      </c>
      <c r="AC22" s="129">
        <v>0.02</v>
      </c>
    </row>
    <row r="23" spans="2:29" x14ac:dyDescent="0.25">
      <c r="B23" s="6"/>
      <c r="C23" s="40" t="s">
        <v>135</v>
      </c>
      <c r="D23" s="50">
        <v>0.01</v>
      </c>
      <c r="E23" s="51">
        <f>NHL!D23 * Pricing!U20</f>
        <v>2.2400000000000002</v>
      </c>
      <c r="F23" s="51">
        <f t="shared" si="0"/>
        <v>3</v>
      </c>
      <c r="G23" s="41">
        <f t="shared" si="1"/>
        <v>0.75999999999999979</v>
      </c>
      <c r="H23" s="7"/>
      <c r="I23" s="7"/>
      <c r="J23" s="7"/>
      <c r="K23" s="7"/>
      <c r="L23" s="7"/>
      <c r="M23" s="7"/>
      <c r="N23" s="7"/>
      <c r="O23" s="7"/>
      <c r="P23" s="7"/>
      <c r="Q23" s="7"/>
      <c r="R23" s="7"/>
      <c r="S23" s="7"/>
      <c r="T23" s="7"/>
      <c r="U23" s="7"/>
      <c r="V23" s="7"/>
      <c r="W23" s="7"/>
      <c r="X23" s="7"/>
      <c r="Y23" s="7"/>
      <c r="Z23" s="16"/>
      <c r="AB23" s="127">
        <v>19</v>
      </c>
      <c r="AC23" s="129">
        <v>0.02</v>
      </c>
    </row>
    <row r="24" spans="2:29" x14ac:dyDescent="0.25">
      <c r="B24" s="6"/>
      <c r="C24" s="40" t="s">
        <v>136</v>
      </c>
      <c r="D24" s="50">
        <v>0.05</v>
      </c>
      <c r="E24" s="51">
        <f>NHL!D24 * Pricing!U20</f>
        <v>11.200000000000001</v>
      </c>
      <c r="F24" s="51">
        <f t="shared" si="0"/>
        <v>12</v>
      </c>
      <c r="G24" s="41">
        <f t="shared" si="1"/>
        <v>0.79999999999999893</v>
      </c>
      <c r="H24" s="7"/>
      <c r="I24" s="7"/>
      <c r="J24" s="7"/>
      <c r="K24" s="7"/>
      <c r="L24" s="7"/>
      <c r="M24" s="7"/>
      <c r="N24" s="7"/>
      <c r="O24" s="7"/>
      <c r="P24" s="7"/>
      <c r="Q24" s="7"/>
      <c r="R24" s="7"/>
      <c r="S24" s="7"/>
      <c r="T24" s="7"/>
      <c r="U24" s="7"/>
      <c r="V24" s="7"/>
      <c r="W24" s="7"/>
      <c r="X24" s="7"/>
      <c r="Y24" s="7"/>
      <c r="Z24" s="16"/>
      <c r="AB24" s="127">
        <v>20</v>
      </c>
      <c r="AC24" s="129">
        <v>0.02</v>
      </c>
    </row>
    <row r="25" spans="2:29" x14ac:dyDescent="0.25">
      <c r="B25" s="6"/>
      <c r="C25" s="40" t="s">
        <v>137</v>
      </c>
      <c r="D25" s="50">
        <v>0.06</v>
      </c>
      <c r="E25" s="51">
        <f>NHL!D25 * Pricing!U20</f>
        <v>13.44</v>
      </c>
      <c r="F25" s="51">
        <f t="shared" si="0"/>
        <v>14</v>
      </c>
      <c r="G25" s="41">
        <f t="shared" si="1"/>
        <v>0.5600000000000005</v>
      </c>
      <c r="H25" s="7"/>
      <c r="I25" s="7"/>
      <c r="J25" s="7"/>
      <c r="K25" s="7"/>
      <c r="L25" s="7"/>
      <c r="M25" s="7"/>
      <c r="N25" s="7"/>
      <c r="O25" s="7"/>
      <c r="P25" s="7"/>
      <c r="Q25" s="7"/>
      <c r="R25" s="7"/>
      <c r="S25" s="7"/>
      <c r="T25" s="7"/>
      <c r="U25" s="7"/>
      <c r="V25" s="7"/>
      <c r="W25" s="7"/>
      <c r="X25" s="7"/>
      <c r="Y25" s="7"/>
      <c r="Z25" s="16"/>
      <c r="AB25" s="127">
        <v>21</v>
      </c>
      <c r="AC25" s="129">
        <v>0.02</v>
      </c>
    </row>
    <row r="26" spans="2:29" x14ac:dyDescent="0.25">
      <c r="B26" s="6"/>
      <c r="C26" s="40" t="s">
        <v>138</v>
      </c>
      <c r="D26" s="50">
        <v>0.04</v>
      </c>
      <c r="E26" s="51">
        <f>NHL!D26 * Pricing!U20</f>
        <v>8.9600000000000009</v>
      </c>
      <c r="F26" s="51">
        <f t="shared" si="0"/>
        <v>9</v>
      </c>
      <c r="G26" s="41">
        <f t="shared" si="1"/>
        <v>3.9999999999999147E-2</v>
      </c>
      <c r="H26" s="7"/>
      <c r="I26" s="7"/>
      <c r="J26" s="7"/>
      <c r="K26" s="7"/>
      <c r="L26" s="7"/>
      <c r="M26" s="7"/>
      <c r="N26" s="7"/>
      <c r="O26" s="7"/>
      <c r="P26" s="7"/>
      <c r="Q26" s="7"/>
      <c r="R26" s="7"/>
      <c r="S26" s="7"/>
      <c r="T26" s="7"/>
      <c r="U26" s="7"/>
      <c r="V26" s="7"/>
      <c r="W26" s="7"/>
      <c r="X26" s="7"/>
      <c r="Y26" s="7"/>
      <c r="Z26" s="16"/>
      <c r="AB26" s="127">
        <v>22</v>
      </c>
      <c r="AC26" s="129">
        <v>0.02</v>
      </c>
    </row>
    <row r="27" spans="2:29" x14ac:dyDescent="0.25">
      <c r="B27" s="6"/>
      <c r="C27" s="40" t="s">
        <v>139</v>
      </c>
      <c r="D27" s="50">
        <v>0.01</v>
      </c>
      <c r="E27" s="51">
        <f>NHL!D27 * Pricing!U20</f>
        <v>2.2400000000000002</v>
      </c>
      <c r="F27" s="51">
        <f t="shared" si="0"/>
        <v>3</v>
      </c>
      <c r="G27" s="41">
        <f t="shared" si="1"/>
        <v>0.75999999999999979</v>
      </c>
      <c r="H27" s="7"/>
      <c r="I27" s="7"/>
      <c r="J27" s="7"/>
      <c r="K27" s="7"/>
      <c r="L27" s="7"/>
      <c r="M27" s="7"/>
      <c r="N27" s="7"/>
      <c r="O27" s="7"/>
      <c r="P27" s="7"/>
      <c r="Q27" s="7"/>
      <c r="R27" s="7"/>
      <c r="S27" s="7"/>
      <c r="T27" s="7"/>
      <c r="U27" s="7"/>
      <c r="V27" s="7"/>
      <c r="W27" s="7"/>
      <c r="X27" s="7"/>
      <c r="Y27" s="7"/>
      <c r="Z27" s="16"/>
      <c r="AB27" s="127"/>
      <c r="AC27" s="129"/>
    </row>
    <row r="28" spans="2:29" ht="15.75" thickBot="1" x14ac:dyDescent="0.3">
      <c r="B28" s="6"/>
      <c r="C28" s="40" t="s">
        <v>140</v>
      </c>
      <c r="D28" s="50">
        <v>0.01</v>
      </c>
      <c r="E28" s="51">
        <f>NHL!D28 * Pricing!U20</f>
        <v>2.2400000000000002</v>
      </c>
      <c r="F28" s="51">
        <f t="shared" si="0"/>
        <v>3</v>
      </c>
      <c r="G28" s="41">
        <f t="shared" si="1"/>
        <v>0.75999999999999979</v>
      </c>
      <c r="H28" s="7"/>
      <c r="I28" s="7"/>
      <c r="J28" s="7"/>
      <c r="K28" s="7"/>
      <c r="L28" s="7"/>
      <c r="M28" s="7"/>
      <c r="N28" s="7"/>
      <c r="O28" s="7"/>
      <c r="P28" s="7"/>
      <c r="Q28" s="7"/>
      <c r="R28" s="7"/>
      <c r="S28" s="7"/>
      <c r="T28" s="7"/>
      <c r="U28" s="7"/>
      <c r="V28" s="7"/>
      <c r="W28" s="7"/>
      <c r="X28" s="7"/>
      <c r="Y28" s="7"/>
      <c r="Z28" s="16"/>
      <c r="AB28" s="130" t="s">
        <v>179</v>
      </c>
      <c r="AC28" s="131" t="s">
        <v>177</v>
      </c>
    </row>
    <row r="29" spans="2:29" x14ac:dyDescent="0.25">
      <c r="B29" s="6"/>
      <c r="C29" s="40" t="s">
        <v>141</v>
      </c>
      <c r="D29" s="50">
        <v>0.01</v>
      </c>
      <c r="E29" s="51">
        <f>NHL!D29 * Pricing!U20</f>
        <v>2.2400000000000002</v>
      </c>
      <c r="F29" s="51">
        <f t="shared" si="0"/>
        <v>3</v>
      </c>
      <c r="G29" s="41">
        <f t="shared" si="1"/>
        <v>0.75999999999999979</v>
      </c>
      <c r="H29" s="7"/>
      <c r="I29" s="7"/>
      <c r="J29" s="7"/>
      <c r="K29" s="7"/>
      <c r="L29" s="7"/>
      <c r="M29" s="7"/>
      <c r="N29" s="7"/>
      <c r="O29" s="7"/>
      <c r="P29" s="7"/>
      <c r="Q29" s="7"/>
      <c r="R29" s="7"/>
      <c r="S29" s="7"/>
      <c r="T29" s="7"/>
      <c r="U29" s="7"/>
      <c r="V29" s="7"/>
      <c r="W29" s="7"/>
      <c r="X29" s="7"/>
      <c r="Y29" s="7"/>
      <c r="Z29" s="16"/>
      <c r="AB29" s="127"/>
      <c r="AC29" s="129"/>
    </row>
    <row r="30" spans="2:29" x14ac:dyDescent="0.25">
      <c r="B30" s="6"/>
      <c r="C30" s="40" t="s">
        <v>142</v>
      </c>
      <c r="D30" s="50">
        <v>0.04</v>
      </c>
      <c r="E30" s="51">
        <f>NHL!D30 * Pricing!U20</f>
        <v>8.9600000000000009</v>
      </c>
      <c r="F30" s="51">
        <f t="shared" si="0"/>
        <v>9</v>
      </c>
      <c r="G30" s="41">
        <f t="shared" si="1"/>
        <v>3.9999999999999147E-2</v>
      </c>
      <c r="H30" s="7"/>
      <c r="I30" s="7"/>
      <c r="J30" s="7"/>
      <c r="K30" s="7"/>
      <c r="L30" s="7"/>
      <c r="M30" s="7"/>
      <c r="N30" s="7"/>
      <c r="O30" s="7"/>
      <c r="P30" s="7"/>
      <c r="Q30" s="7"/>
      <c r="R30" s="7"/>
      <c r="S30" s="7"/>
      <c r="T30" s="7"/>
      <c r="U30" s="7"/>
      <c r="V30" s="7"/>
      <c r="W30" s="7"/>
      <c r="X30" s="7"/>
      <c r="Y30" s="7"/>
      <c r="Z30" s="16"/>
      <c r="AB30" s="127"/>
      <c r="AC30" s="129"/>
    </row>
    <row r="31" spans="2:29" x14ac:dyDescent="0.25">
      <c r="B31" s="6"/>
      <c r="C31" s="40" t="s">
        <v>143</v>
      </c>
      <c r="D31" s="50">
        <v>0.02</v>
      </c>
      <c r="E31" s="51">
        <f>NHL!D31 * Pricing!U20</f>
        <v>4.4800000000000004</v>
      </c>
      <c r="F31" s="51">
        <f t="shared" si="0"/>
        <v>5</v>
      </c>
      <c r="G31" s="41">
        <f t="shared" si="1"/>
        <v>0.51999999999999957</v>
      </c>
      <c r="H31" s="7"/>
      <c r="I31" s="7"/>
      <c r="J31" s="7"/>
      <c r="K31" s="7"/>
      <c r="L31" s="7"/>
      <c r="M31" s="7"/>
      <c r="N31" s="7"/>
      <c r="O31" s="7"/>
      <c r="P31" s="7"/>
      <c r="Q31" s="7"/>
      <c r="R31" s="7"/>
      <c r="S31" s="7"/>
      <c r="T31" s="7"/>
      <c r="U31" s="7"/>
      <c r="V31" s="7"/>
      <c r="W31" s="7"/>
      <c r="X31" s="7"/>
      <c r="Y31" s="7"/>
      <c r="Z31" s="16"/>
      <c r="AB31" s="127"/>
      <c r="AC31" s="129"/>
    </row>
    <row r="32" spans="2:29" ht="15.75" thickBot="1" x14ac:dyDescent="0.3">
      <c r="B32" s="6"/>
      <c r="C32" s="40" t="s">
        <v>144</v>
      </c>
      <c r="D32" s="50">
        <v>0.01</v>
      </c>
      <c r="E32" s="51">
        <f>NHL!D32 * Pricing!U20</f>
        <v>2.2400000000000002</v>
      </c>
      <c r="F32" s="51">
        <f t="shared" si="0"/>
        <v>3</v>
      </c>
      <c r="G32" s="41">
        <f t="shared" si="1"/>
        <v>0.75999999999999979</v>
      </c>
      <c r="H32" s="7"/>
      <c r="I32" s="7"/>
      <c r="J32" s="7"/>
      <c r="K32" s="7"/>
      <c r="L32" s="7"/>
      <c r="M32" s="7"/>
      <c r="N32" s="7"/>
      <c r="O32" s="7"/>
      <c r="P32" s="7"/>
      <c r="Q32" s="7"/>
      <c r="R32" s="7"/>
      <c r="S32" s="7"/>
      <c r="T32" s="7"/>
      <c r="U32" s="7"/>
      <c r="V32" s="7"/>
      <c r="W32" s="7"/>
      <c r="X32" s="7"/>
      <c r="Y32" s="7"/>
      <c r="Z32" s="16"/>
      <c r="AB32" s="130"/>
      <c r="AC32" s="131"/>
    </row>
    <row r="33" spans="2:26" x14ac:dyDescent="0.25">
      <c r="B33" s="6"/>
      <c r="C33" s="40" t="s">
        <v>145</v>
      </c>
      <c r="D33" s="50">
        <v>0.01</v>
      </c>
      <c r="E33" s="51">
        <f>NHL!D33 * Pricing!U20</f>
        <v>2.2400000000000002</v>
      </c>
      <c r="F33" s="51">
        <f t="shared" si="0"/>
        <v>3</v>
      </c>
      <c r="G33" s="41">
        <f t="shared" si="1"/>
        <v>0.75999999999999979</v>
      </c>
      <c r="H33" s="7"/>
      <c r="I33" s="7"/>
      <c r="J33" s="7"/>
      <c r="K33" s="7"/>
      <c r="L33" s="7"/>
      <c r="M33" s="7"/>
      <c r="N33" s="7"/>
      <c r="O33" s="7"/>
      <c r="P33" s="7"/>
      <c r="Q33" s="7"/>
      <c r="R33" s="7"/>
      <c r="S33" s="7"/>
      <c r="T33" s="7"/>
      <c r="U33" s="7"/>
      <c r="V33" s="7"/>
      <c r="W33" s="7"/>
      <c r="X33" s="7"/>
      <c r="Y33" s="7"/>
      <c r="Z33" s="16"/>
    </row>
    <row r="34" spans="2:26" x14ac:dyDescent="0.25">
      <c r="B34" s="6"/>
      <c r="C34" s="40" t="s">
        <v>146</v>
      </c>
      <c r="D34" s="50">
        <v>0.04</v>
      </c>
      <c r="E34" s="51">
        <f>NHL!D34 * Pricing!U20</f>
        <v>8.9600000000000009</v>
      </c>
      <c r="F34" s="51">
        <f t="shared" si="0"/>
        <v>9</v>
      </c>
      <c r="G34" s="41">
        <f t="shared" si="1"/>
        <v>3.9999999999999147E-2</v>
      </c>
      <c r="H34" s="7"/>
      <c r="I34" s="7"/>
      <c r="J34" s="7"/>
      <c r="K34" s="7"/>
      <c r="L34" s="7"/>
      <c r="M34" s="7"/>
      <c r="N34" s="7"/>
      <c r="O34" s="7"/>
      <c r="P34" s="7"/>
      <c r="Q34" s="7"/>
      <c r="R34" s="7"/>
      <c r="S34" s="7"/>
      <c r="T34" s="7"/>
      <c r="U34" s="7"/>
      <c r="V34" s="7"/>
      <c r="W34" s="7"/>
      <c r="X34" s="7"/>
      <c r="Y34" s="7"/>
      <c r="Z34" s="16"/>
    </row>
    <row r="35" spans="2:26" x14ac:dyDescent="0.25">
      <c r="B35" s="6"/>
      <c r="C35" s="40" t="s">
        <v>147</v>
      </c>
      <c r="D35" s="50">
        <v>0.01</v>
      </c>
      <c r="E35" s="51">
        <f>NHL!D35 * Pricing!U20</f>
        <v>2.2400000000000002</v>
      </c>
      <c r="F35" s="51">
        <f t="shared" si="0"/>
        <v>3</v>
      </c>
      <c r="G35" s="41">
        <f>SUM(F35-E35)</f>
        <v>0.75999999999999979</v>
      </c>
      <c r="H35" s="7"/>
      <c r="I35" s="7"/>
      <c r="J35" s="7"/>
      <c r="K35" s="7"/>
      <c r="L35" s="7"/>
      <c r="M35" s="7"/>
      <c r="N35" s="7"/>
      <c r="O35" s="7"/>
      <c r="P35" s="7"/>
      <c r="Q35" s="7"/>
      <c r="R35" s="7"/>
      <c r="S35" s="7"/>
      <c r="T35" s="7"/>
      <c r="U35" s="7"/>
      <c r="V35" s="7"/>
      <c r="W35" s="7"/>
      <c r="X35" s="7"/>
      <c r="Y35" s="7"/>
      <c r="Z35" s="16"/>
    </row>
    <row r="36" spans="2:26" ht="15.75" thickBot="1" x14ac:dyDescent="0.3">
      <c r="B36" s="6"/>
      <c r="C36" s="43" t="s">
        <v>148</v>
      </c>
      <c r="D36" s="54">
        <v>0.08</v>
      </c>
      <c r="E36" s="55">
        <f>NHL!D36 * Pricing!U20</f>
        <v>17.920000000000002</v>
      </c>
      <c r="F36" s="55">
        <f t="shared" si="0"/>
        <v>18</v>
      </c>
      <c r="G36" s="44">
        <f t="shared" si="1"/>
        <v>7.9999999999998295E-2</v>
      </c>
      <c r="H36" s="7"/>
      <c r="I36" s="7"/>
      <c r="J36" s="7"/>
      <c r="K36" s="7"/>
      <c r="L36" s="7"/>
      <c r="M36" s="7"/>
      <c r="N36" s="7"/>
      <c r="O36" s="7"/>
      <c r="P36" s="7"/>
      <c r="Q36" s="7"/>
      <c r="R36" s="7"/>
      <c r="S36" s="7"/>
      <c r="T36" s="7"/>
      <c r="U36" s="7"/>
      <c r="V36" s="7"/>
      <c r="W36" s="7"/>
      <c r="X36" s="7"/>
      <c r="Y36" s="7"/>
      <c r="Z36" s="16"/>
    </row>
    <row r="37" spans="2:26" ht="15.75" thickBot="1" x14ac:dyDescent="0.3">
      <c r="B37" s="6"/>
      <c r="C37" s="7"/>
      <c r="D37" s="25"/>
      <c r="E37" s="106"/>
      <c r="F37" s="7"/>
      <c r="G37" s="7"/>
      <c r="H37" s="7"/>
      <c r="I37" s="164"/>
      <c r="J37" s="165"/>
      <c r="K37" s="165"/>
      <c r="L37" s="165"/>
      <c r="M37" s="165"/>
      <c r="N37" s="165"/>
      <c r="O37" s="165"/>
      <c r="P37" s="165"/>
      <c r="Q37" s="165"/>
      <c r="R37" s="165"/>
      <c r="S37" s="165"/>
      <c r="T37" s="165"/>
      <c r="U37" s="165"/>
      <c r="V37" s="165"/>
      <c r="W37" s="165"/>
      <c r="X37" s="165"/>
      <c r="Y37" s="166"/>
      <c r="Z37" s="16"/>
    </row>
    <row r="38" spans="2:26" ht="15.75" thickBot="1" x14ac:dyDescent="0.3">
      <c r="B38" s="6"/>
      <c r="C38" s="22" t="s">
        <v>36</v>
      </c>
      <c r="D38" s="35">
        <f>SUM(D5:D37)</f>
        <v>1.0000000000000004</v>
      </c>
      <c r="E38" s="36">
        <f>SUM(E5:E37)</f>
        <v>224.00000000000006</v>
      </c>
      <c r="F38" s="120">
        <f>SUM(F5:F36)</f>
        <v>240</v>
      </c>
      <c r="G38" s="37">
        <f>SUM(G5:G36)</f>
        <v>15.999999999999984</v>
      </c>
      <c r="H38" s="7"/>
      <c r="I38" s="167"/>
      <c r="J38" s="168"/>
      <c r="K38" s="168"/>
      <c r="L38" s="168"/>
      <c r="M38" s="168"/>
      <c r="N38" s="168"/>
      <c r="O38" s="168"/>
      <c r="P38" s="168"/>
      <c r="Q38" s="168"/>
      <c r="R38" s="168"/>
      <c r="S38" s="168"/>
      <c r="T38" s="168"/>
      <c r="U38" s="168"/>
      <c r="V38" s="168"/>
      <c r="W38" s="168"/>
      <c r="X38" s="168"/>
      <c r="Y38" s="169"/>
      <c r="Z38" s="16"/>
    </row>
    <row r="39" spans="2:26" x14ac:dyDescent="0.25">
      <c r="B39" s="6"/>
      <c r="C39" s="7"/>
      <c r="D39" s="25"/>
      <c r="E39" s="25"/>
      <c r="F39" s="7"/>
      <c r="G39" s="7"/>
      <c r="H39" s="7"/>
      <c r="I39" s="167"/>
      <c r="J39" s="168"/>
      <c r="K39" s="168"/>
      <c r="L39" s="168"/>
      <c r="M39" s="168"/>
      <c r="N39" s="168"/>
      <c r="O39" s="168"/>
      <c r="P39" s="168"/>
      <c r="Q39" s="168"/>
      <c r="R39" s="168"/>
      <c r="S39" s="168"/>
      <c r="T39" s="168"/>
      <c r="U39" s="168"/>
      <c r="V39" s="168"/>
      <c r="W39" s="168"/>
      <c r="X39" s="168"/>
      <c r="Y39" s="169"/>
      <c r="Z39" s="16"/>
    </row>
    <row r="40" spans="2:26" ht="21.75" thickBot="1" x14ac:dyDescent="0.4">
      <c r="B40" s="6"/>
      <c r="C40" s="132" t="s">
        <v>39</v>
      </c>
      <c r="D40" s="133">
        <f>SUM(E38+G38)</f>
        <v>240.00000000000003</v>
      </c>
      <c r="E40" s="25"/>
      <c r="F40" s="7"/>
      <c r="G40" s="7"/>
      <c r="H40" s="7"/>
      <c r="I40" s="170"/>
      <c r="J40" s="171"/>
      <c r="K40" s="171"/>
      <c r="L40" s="171"/>
      <c r="M40" s="171"/>
      <c r="N40" s="171"/>
      <c r="O40" s="171"/>
      <c r="P40" s="171"/>
      <c r="Q40" s="171"/>
      <c r="R40" s="171"/>
      <c r="S40" s="171"/>
      <c r="T40" s="171"/>
      <c r="U40" s="171"/>
      <c r="V40" s="171"/>
      <c r="W40" s="171"/>
      <c r="X40" s="171"/>
      <c r="Y40" s="172"/>
      <c r="Z40" s="16"/>
    </row>
    <row r="41" spans="2:26" ht="15.75" thickBot="1" x14ac:dyDescent="0.3">
      <c r="B41" s="11"/>
      <c r="C41" s="12"/>
      <c r="D41" s="96"/>
      <c r="E41" s="26"/>
      <c r="F41" s="12"/>
      <c r="G41" s="12"/>
      <c r="H41" s="12"/>
      <c r="I41" s="12"/>
      <c r="J41" s="12"/>
      <c r="K41" s="12"/>
      <c r="L41" s="12"/>
      <c r="M41" s="12"/>
      <c r="N41" s="12"/>
      <c r="O41" s="12"/>
      <c r="P41" s="12"/>
      <c r="Q41" s="12"/>
      <c r="R41" s="12"/>
      <c r="S41" s="12"/>
      <c r="T41" s="12"/>
      <c r="U41" s="12"/>
      <c r="V41" s="12"/>
      <c r="W41" s="12"/>
      <c r="X41" s="12"/>
      <c r="Y41" s="12"/>
      <c r="Z41" s="15"/>
    </row>
  </sheetData>
  <mergeCells count="2">
    <mergeCell ref="I37:Y40"/>
    <mergeCell ref="AB9:AC9"/>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D3F06-BA10-4AD3-9F12-70C1307FF643}">
  <sheetPr codeName="Sheet6"/>
  <dimension ref="B1:X40"/>
  <sheetViews>
    <sheetView zoomScale="70" zoomScaleNormal="70" workbookViewId="0"/>
  </sheetViews>
  <sheetFormatPr defaultRowHeight="15" x14ac:dyDescent="0.25"/>
  <cols>
    <col min="3" max="3" width="31" customWidth="1"/>
    <col min="4" max="4" width="14" bestFit="1" customWidth="1"/>
    <col min="5" max="5" width="9.140625" style="1"/>
    <col min="6" max="6" width="11.85546875" style="1" customWidth="1"/>
    <col min="7" max="7" width="14.7109375" style="1" customWidth="1"/>
    <col min="8" max="8" width="12" customWidth="1"/>
  </cols>
  <sheetData>
    <row r="1" spans="2:24" ht="15.75" thickBot="1" x14ac:dyDescent="0.3"/>
    <row r="2" spans="2:24" ht="15.75" thickBot="1" x14ac:dyDescent="0.3">
      <c r="B2" s="102"/>
      <c r="C2" s="103"/>
      <c r="D2" s="103"/>
      <c r="E2" s="104"/>
      <c r="F2" s="104"/>
      <c r="G2" s="104"/>
      <c r="H2" s="103"/>
      <c r="I2" s="103"/>
      <c r="J2" s="103"/>
      <c r="K2" s="103"/>
      <c r="L2" s="103"/>
      <c r="M2" s="103"/>
      <c r="N2" s="103"/>
      <c r="O2" s="103"/>
      <c r="P2" s="103"/>
      <c r="Q2" s="103"/>
      <c r="R2" s="103"/>
      <c r="S2" s="103"/>
      <c r="T2" s="103"/>
      <c r="U2" s="103"/>
      <c r="V2" s="103"/>
      <c r="W2" s="103"/>
      <c r="X2" s="105"/>
    </row>
    <row r="3" spans="2:24" ht="15.75" thickBot="1" x14ac:dyDescent="0.3">
      <c r="B3" s="6"/>
      <c r="C3" s="3" t="s">
        <v>95</v>
      </c>
      <c r="D3" s="3" t="s">
        <v>0</v>
      </c>
      <c r="E3" s="3" t="s">
        <v>1</v>
      </c>
      <c r="F3" s="3" t="s">
        <v>37</v>
      </c>
      <c r="G3" s="3" t="s">
        <v>38</v>
      </c>
      <c r="H3" s="7"/>
      <c r="I3" s="7"/>
      <c r="J3" s="7"/>
      <c r="K3" s="7"/>
      <c r="L3" s="7"/>
      <c r="M3" s="7"/>
      <c r="N3" s="7"/>
      <c r="O3" s="7"/>
      <c r="P3" s="7"/>
      <c r="Q3" s="7"/>
      <c r="R3" s="7"/>
      <c r="S3" s="7"/>
      <c r="T3" s="7"/>
      <c r="U3" s="7"/>
      <c r="V3" s="7"/>
      <c r="W3" s="7"/>
      <c r="X3" s="16"/>
    </row>
    <row r="4" spans="2:24" x14ac:dyDescent="0.25">
      <c r="B4" s="6"/>
      <c r="C4" s="32" t="s">
        <v>8</v>
      </c>
      <c r="D4" s="100" t="s">
        <v>96</v>
      </c>
      <c r="E4" s="33">
        <f>NFL!E5+MLB!E5+NBA!E5+NHL!E5</f>
        <v>22.4</v>
      </c>
      <c r="F4" s="33">
        <f t="shared" ref="F4:F35" si="0">CEILING(E4, 1) - 0</f>
        <v>23</v>
      </c>
      <c r="G4" s="139">
        <f t="shared" ref="G4:G35" si="1">SUM(F4-E4)</f>
        <v>0.60000000000000142</v>
      </c>
      <c r="H4" s="7"/>
      <c r="I4" s="7"/>
      <c r="J4" s="7"/>
      <c r="K4" s="7"/>
      <c r="L4" s="7"/>
      <c r="M4" s="7"/>
      <c r="N4" s="7"/>
      <c r="O4" s="7"/>
      <c r="P4" s="7"/>
      <c r="Q4" s="7"/>
      <c r="R4" s="7"/>
      <c r="S4" s="7"/>
      <c r="T4" s="7"/>
      <c r="U4" s="7"/>
      <c r="V4" s="7"/>
      <c r="W4" s="7"/>
      <c r="X4" s="16"/>
    </row>
    <row r="5" spans="2:24" x14ac:dyDescent="0.25">
      <c r="B5" s="6"/>
      <c r="C5" s="32" t="s">
        <v>9</v>
      </c>
      <c r="D5" s="100" t="s">
        <v>96</v>
      </c>
      <c r="E5" s="33">
        <f>NFL!E6+MLB!E6+NBA!E6+NHL!E6</f>
        <v>33.6</v>
      </c>
      <c r="F5" s="33">
        <f t="shared" si="0"/>
        <v>34</v>
      </c>
      <c r="G5" s="33">
        <f t="shared" si="1"/>
        <v>0.39999999999999858</v>
      </c>
      <c r="H5" s="7"/>
      <c r="I5" s="7"/>
      <c r="J5" s="7"/>
      <c r="K5" s="7"/>
      <c r="L5" s="7"/>
      <c r="M5" s="7"/>
      <c r="N5" s="7"/>
      <c r="O5" s="7"/>
      <c r="P5" s="7"/>
      <c r="Q5" s="7"/>
      <c r="R5" s="7"/>
      <c r="S5" s="7"/>
      <c r="T5" s="7"/>
      <c r="U5" s="7"/>
      <c r="V5" s="7"/>
      <c r="W5" s="7"/>
      <c r="X5" s="16"/>
    </row>
    <row r="6" spans="2:24" x14ac:dyDescent="0.25">
      <c r="B6" s="6"/>
      <c r="C6" s="32" t="s">
        <v>10</v>
      </c>
      <c r="D6" s="100" t="s">
        <v>96</v>
      </c>
      <c r="E6" s="33">
        <f>NFL!E7+MLB!E7+NBA!E7+NHL!E7</f>
        <v>24.64</v>
      </c>
      <c r="F6" s="33">
        <f t="shared" si="0"/>
        <v>25</v>
      </c>
      <c r="G6" s="33">
        <f t="shared" si="1"/>
        <v>0.35999999999999943</v>
      </c>
      <c r="H6" s="7"/>
      <c r="I6" s="7"/>
      <c r="J6" s="7"/>
      <c r="K6" s="7"/>
      <c r="L6" s="7"/>
      <c r="M6" s="7"/>
      <c r="N6" s="7"/>
      <c r="O6" s="7"/>
      <c r="P6" s="7"/>
      <c r="Q6" s="7"/>
      <c r="R6" s="7"/>
      <c r="S6" s="7"/>
      <c r="T6" s="7"/>
      <c r="U6" s="7"/>
      <c r="V6" s="7"/>
      <c r="W6" s="7"/>
      <c r="X6" s="16"/>
    </row>
    <row r="7" spans="2:24" x14ac:dyDescent="0.25">
      <c r="B7" s="6"/>
      <c r="C7" s="32" t="s">
        <v>11</v>
      </c>
      <c r="D7" s="100" t="s">
        <v>96</v>
      </c>
      <c r="E7" s="33">
        <f>NFL!E8+MLB!E8+NBA!E8+NHL!E8</f>
        <v>24.64</v>
      </c>
      <c r="F7" s="33">
        <f t="shared" si="0"/>
        <v>25</v>
      </c>
      <c r="G7" s="33">
        <f t="shared" si="1"/>
        <v>0.35999999999999943</v>
      </c>
      <c r="H7" s="7"/>
      <c r="I7" s="7"/>
      <c r="J7" s="7"/>
      <c r="K7" s="7"/>
      <c r="L7" s="7"/>
      <c r="M7" s="7"/>
      <c r="N7" s="7"/>
      <c r="O7" s="7"/>
      <c r="P7" s="7"/>
      <c r="Q7" s="7"/>
      <c r="R7" s="7"/>
      <c r="S7" s="7"/>
      <c r="T7" s="7"/>
      <c r="U7" s="7"/>
      <c r="V7" s="7"/>
      <c r="W7" s="7"/>
      <c r="X7" s="16"/>
    </row>
    <row r="8" spans="2:24" x14ac:dyDescent="0.25">
      <c r="B8" s="6"/>
      <c r="C8" s="32" t="s">
        <v>12</v>
      </c>
      <c r="D8" s="100" t="s">
        <v>96</v>
      </c>
      <c r="E8" s="33">
        <f>NFL!E9+MLB!E9+NBA!E9+NHL!E9</f>
        <v>15.680000000000001</v>
      </c>
      <c r="F8" s="33">
        <f t="shared" si="0"/>
        <v>16</v>
      </c>
      <c r="G8" s="33">
        <f t="shared" si="1"/>
        <v>0.31999999999999851</v>
      </c>
      <c r="H8" s="7"/>
      <c r="I8" s="7"/>
      <c r="J8" s="7"/>
      <c r="K8" s="7"/>
      <c r="L8" s="7"/>
      <c r="M8" s="7"/>
      <c r="N8" s="7"/>
      <c r="O8" s="7"/>
      <c r="P8" s="7"/>
      <c r="Q8" s="7"/>
      <c r="R8" s="7"/>
      <c r="S8" s="7"/>
      <c r="T8" s="7"/>
      <c r="U8" s="7"/>
      <c r="V8" s="7"/>
      <c r="W8" s="7"/>
      <c r="X8" s="16"/>
    </row>
    <row r="9" spans="2:24" x14ac:dyDescent="0.25">
      <c r="B9" s="6"/>
      <c r="C9" s="32" t="s">
        <v>13</v>
      </c>
      <c r="D9" s="100" t="s">
        <v>96</v>
      </c>
      <c r="E9" s="33">
        <f>NFL!E10+MLB!E10+NBA!E10+NHL!E10</f>
        <v>24.64</v>
      </c>
      <c r="F9" s="33">
        <f t="shared" si="0"/>
        <v>25</v>
      </c>
      <c r="G9" s="33">
        <f t="shared" si="1"/>
        <v>0.35999999999999943</v>
      </c>
      <c r="H9" s="7"/>
      <c r="I9" s="7"/>
      <c r="J9" s="7"/>
      <c r="K9" s="7"/>
      <c r="L9" s="7"/>
      <c r="M9" s="7"/>
      <c r="N9" s="7"/>
      <c r="O9" s="7"/>
      <c r="P9" s="7"/>
      <c r="Q9" s="7"/>
      <c r="R9" s="7"/>
      <c r="S9" s="7"/>
      <c r="T9" s="7"/>
      <c r="U9" s="7"/>
      <c r="V9" s="7"/>
      <c r="W9" s="7"/>
      <c r="X9" s="16"/>
    </row>
    <row r="10" spans="2:24" x14ac:dyDescent="0.25">
      <c r="B10" s="6"/>
      <c r="C10" s="32" t="s">
        <v>14</v>
      </c>
      <c r="D10" s="100" t="s">
        <v>96</v>
      </c>
      <c r="E10" s="33">
        <f>NFL!E11+MLB!E11+NBA!E11+NHL!E11</f>
        <v>22.400000000000002</v>
      </c>
      <c r="F10" s="33">
        <f t="shared" si="0"/>
        <v>23</v>
      </c>
      <c r="G10" s="33">
        <f t="shared" si="1"/>
        <v>0.59999999999999787</v>
      </c>
      <c r="H10" s="7"/>
      <c r="I10" s="7"/>
      <c r="J10" s="7"/>
      <c r="K10" s="7"/>
      <c r="L10" s="7"/>
      <c r="M10" s="7"/>
      <c r="N10" s="7"/>
      <c r="O10" s="7"/>
      <c r="P10" s="7"/>
      <c r="Q10" s="7"/>
      <c r="R10" s="7"/>
      <c r="S10" s="7"/>
      <c r="T10" s="7"/>
      <c r="U10" s="7"/>
      <c r="V10" s="7"/>
      <c r="W10" s="7"/>
      <c r="X10" s="16"/>
    </row>
    <row r="11" spans="2:24" x14ac:dyDescent="0.25">
      <c r="B11" s="6"/>
      <c r="C11" s="32" t="s">
        <v>15</v>
      </c>
      <c r="D11" s="100" t="s">
        <v>96</v>
      </c>
      <c r="E11" s="33">
        <f>NFL!E12+MLB!E12+NBA!E12+NHL!E12</f>
        <v>24.64</v>
      </c>
      <c r="F11" s="33">
        <f t="shared" si="0"/>
        <v>25</v>
      </c>
      <c r="G11" s="33">
        <f t="shared" si="1"/>
        <v>0.35999999999999943</v>
      </c>
      <c r="H11" s="7"/>
      <c r="I11" s="7"/>
      <c r="J11" s="7"/>
      <c r="K11" s="7"/>
      <c r="L11" s="7"/>
      <c r="M11" s="7"/>
      <c r="N11" s="7"/>
      <c r="O11" s="7"/>
      <c r="P11" s="7"/>
      <c r="Q11" s="7"/>
      <c r="R11" s="7"/>
      <c r="S11" s="7"/>
      <c r="T11" s="7"/>
      <c r="U11" s="7"/>
      <c r="V11" s="7"/>
      <c r="W11" s="7"/>
      <c r="X11" s="16"/>
    </row>
    <row r="12" spans="2:24" x14ac:dyDescent="0.25">
      <c r="B12" s="6"/>
      <c r="C12" s="32" t="s">
        <v>16</v>
      </c>
      <c r="D12" s="100" t="s">
        <v>96</v>
      </c>
      <c r="E12" s="33">
        <f>NFL!E13+MLB!E13+NBA!E13+NHL!E13</f>
        <v>38.080000000000005</v>
      </c>
      <c r="F12" s="33">
        <f t="shared" si="0"/>
        <v>39</v>
      </c>
      <c r="G12" s="33">
        <f t="shared" si="1"/>
        <v>0.9199999999999946</v>
      </c>
      <c r="H12" s="7"/>
      <c r="I12" s="7"/>
      <c r="J12" s="7"/>
      <c r="K12" s="7"/>
      <c r="L12" s="7"/>
      <c r="M12" s="7"/>
      <c r="N12" s="7"/>
      <c r="O12" s="7"/>
      <c r="P12" s="7"/>
      <c r="Q12" s="7"/>
      <c r="R12" s="7"/>
      <c r="S12" s="7"/>
      <c r="T12" s="7"/>
      <c r="U12" s="7"/>
      <c r="V12" s="7"/>
      <c r="W12" s="7"/>
      <c r="X12" s="16"/>
    </row>
    <row r="13" spans="2:24" x14ac:dyDescent="0.25">
      <c r="B13" s="6"/>
      <c r="C13" s="32" t="s">
        <v>17</v>
      </c>
      <c r="D13" s="100" t="s">
        <v>96</v>
      </c>
      <c r="E13" s="33">
        <f>NFL!E14+MLB!E14+NBA!E14+NHL!E14</f>
        <v>33.6</v>
      </c>
      <c r="F13" s="33">
        <f t="shared" si="0"/>
        <v>34</v>
      </c>
      <c r="G13" s="33">
        <f t="shared" si="1"/>
        <v>0.39999999999999858</v>
      </c>
      <c r="H13" s="7"/>
      <c r="I13" s="7"/>
      <c r="J13" s="7"/>
      <c r="K13" s="7"/>
      <c r="L13" s="7"/>
      <c r="M13" s="7"/>
      <c r="N13" s="7"/>
      <c r="O13" s="7"/>
      <c r="P13" s="7"/>
      <c r="Q13" s="7"/>
      <c r="R13" s="7"/>
      <c r="S13" s="7"/>
      <c r="T13" s="7"/>
      <c r="U13" s="7"/>
      <c r="V13" s="7"/>
      <c r="W13" s="7"/>
      <c r="X13" s="16"/>
    </row>
    <row r="14" spans="2:24" x14ac:dyDescent="0.25">
      <c r="B14" s="6"/>
      <c r="C14" s="32" t="s">
        <v>18</v>
      </c>
      <c r="D14" s="100" t="s">
        <v>96</v>
      </c>
      <c r="E14" s="33">
        <f>NFL!E15+MLB!E15+NBA!E15+NHL!E15</f>
        <v>17.920000000000002</v>
      </c>
      <c r="F14" s="33">
        <f t="shared" si="0"/>
        <v>18</v>
      </c>
      <c r="G14" s="33">
        <f t="shared" si="1"/>
        <v>7.9999999999998295E-2</v>
      </c>
      <c r="H14" s="7"/>
      <c r="I14" s="7"/>
      <c r="J14" s="7"/>
      <c r="K14" s="7"/>
      <c r="L14" s="7"/>
      <c r="M14" s="7"/>
      <c r="N14" s="7"/>
      <c r="O14" s="7"/>
      <c r="P14" s="7"/>
      <c r="Q14" s="7"/>
      <c r="R14" s="7"/>
      <c r="S14" s="7"/>
      <c r="T14" s="7"/>
      <c r="U14" s="7"/>
      <c r="V14" s="7"/>
      <c r="W14" s="7"/>
      <c r="X14" s="16"/>
    </row>
    <row r="15" spans="2:24" x14ac:dyDescent="0.25">
      <c r="B15" s="6"/>
      <c r="C15" s="32" t="s">
        <v>19</v>
      </c>
      <c r="D15" s="100" t="s">
        <v>96</v>
      </c>
      <c r="E15" s="33">
        <f>NFL!E16+MLB!E16+NBA!E16+NHL!E16</f>
        <v>31.36</v>
      </c>
      <c r="F15" s="33">
        <f t="shared" si="0"/>
        <v>32</v>
      </c>
      <c r="G15" s="33">
        <f t="shared" si="1"/>
        <v>0.64000000000000057</v>
      </c>
      <c r="H15" s="7"/>
      <c r="I15" s="7"/>
      <c r="J15" s="7"/>
      <c r="K15" s="7"/>
      <c r="L15" s="7"/>
      <c r="M15" s="7"/>
      <c r="N15" s="7"/>
      <c r="O15" s="7"/>
      <c r="P15" s="7"/>
      <c r="Q15" s="7"/>
      <c r="R15" s="7"/>
      <c r="S15" s="7"/>
      <c r="T15" s="7"/>
      <c r="U15" s="7"/>
      <c r="V15" s="7"/>
      <c r="W15" s="7"/>
      <c r="X15" s="16"/>
    </row>
    <row r="16" spans="2:24" x14ac:dyDescent="0.25">
      <c r="B16" s="6"/>
      <c r="C16" s="32" t="s">
        <v>20</v>
      </c>
      <c r="D16" s="100" t="s">
        <v>96</v>
      </c>
      <c r="E16" s="33">
        <f>NFL!E17+MLB!E17+NBA!E17+NHL!E17</f>
        <v>49.28</v>
      </c>
      <c r="F16" s="33">
        <f t="shared" si="0"/>
        <v>50</v>
      </c>
      <c r="G16" s="33">
        <f t="shared" si="1"/>
        <v>0.71999999999999886</v>
      </c>
      <c r="H16" s="7"/>
      <c r="I16" s="7"/>
      <c r="J16" s="7"/>
      <c r="K16" s="7"/>
      <c r="L16" s="7"/>
      <c r="M16" s="7"/>
      <c r="N16" s="7"/>
      <c r="O16" s="7"/>
      <c r="P16" s="7"/>
      <c r="Q16" s="7"/>
      <c r="R16" s="7"/>
      <c r="S16" s="7"/>
      <c r="T16" s="7"/>
      <c r="U16" s="7"/>
      <c r="V16" s="7"/>
      <c r="W16" s="7"/>
      <c r="X16" s="16"/>
    </row>
    <row r="17" spans="2:24" x14ac:dyDescent="0.25">
      <c r="B17" s="6"/>
      <c r="C17" s="32" t="s">
        <v>21</v>
      </c>
      <c r="D17" s="100" t="s">
        <v>96</v>
      </c>
      <c r="E17" s="33">
        <f>NFL!E18+MLB!E18+NBA!E18+NHL!E18</f>
        <v>15.680000000000001</v>
      </c>
      <c r="F17" s="33">
        <f t="shared" si="0"/>
        <v>16</v>
      </c>
      <c r="G17" s="33">
        <f t="shared" si="1"/>
        <v>0.31999999999999851</v>
      </c>
      <c r="H17" s="7"/>
      <c r="I17" s="7"/>
      <c r="J17" s="7"/>
      <c r="K17" s="7"/>
      <c r="L17" s="7"/>
      <c r="M17" s="7"/>
      <c r="N17" s="7"/>
      <c r="O17" s="7"/>
      <c r="P17" s="7"/>
      <c r="Q17" s="7"/>
      <c r="R17" s="7"/>
      <c r="S17" s="7"/>
      <c r="T17" s="7"/>
      <c r="U17" s="7"/>
      <c r="V17" s="7"/>
      <c r="W17" s="7"/>
      <c r="X17" s="16"/>
    </row>
    <row r="18" spans="2:24" x14ac:dyDescent="0.25">
      <c r="B18" s="6"/>
      <c r="C18" s="32" t="s">
        <v>22</v>
      </c>
      <c r="D18" s="100" t="s">
        <v>96</v>
      </c>
      <c r="E18" s="33">
        <f>NFL!E19+MLB!E19+NBA!E19+NHL!E19</f>
        <v>8.9600000000000009</v>
      </c>
      <c r="F18" s="33">
        <f t="shared" si="0"/>
        <v>9</v>
      </c>
      <c r="G18" s="33">
        <f t="shared" si="1"/>
        <v>3.9999999999999147E-2</v>
      </c>
      <c r="H18" s="7"/>
      <c r="I18" s="7"/>
      <c r="J18" s="7"/>
      <c r="K18" s="7"/>
      <c r="L18" s="7"/>
      <c r="M18" s="7"/>
      <c r="N18" s="7"/>
      <c r="O18" s="7"/>
      <c r="P18" s="7"/>
      <c r="Q18" s="7"/>
      <c r="R18" s="7"/>
      <c r="S18" s="7"/>
      <c r="T18" s="7"/>
      <c r="U18" s="7"/>
      <c r="V18" s="7"/>
      <c r="W18" s="7"/>
      <c r="X18" s="16"/>
    </row>
    <row r="19" spans="2:24" x14ac:dyDescent="0.25">
      <c r="B19" s="6"/>
      <c r="C19" s="32" t="s">
        <v>23</v>
      </c>
      <c r="D19" s="100" t="s">
        <v>96</v>
      </c>
      <c r="E19" s="33">
        <f>NFL!E20+MLB!E20+NBA!E20+NHL!E20</f>
        <v>35.840000000000003</v>
      </c>
      <c r="F19" s="33">
        <f t="shared" si="0"/>
        <v>36</v>
      </c>
      <c r="G19" s="33">
        <f t="shared" si="1"/>
        <v>0.15999999999999659</v>
      </c>
      <c r="H19" s="7"/>
      <c r="I19" s="7"/>
      <c r="J19" s="7"/>
      <c r="K19" s="7"/>
      <c r="L19" s="7"/>
      <c r="M19" s="7"/>
      <c r="N19" s="7"/>
      <c r="O19" s="7"/>
      <c r="P19" s="7"/>
      <c r="Q19" s="7"/>
      <c r="R19" s="7"/>
      <c r="S19" s="7"/>
      <c r="T19" s="7"/>
      <c r="U19" s="7"/>
      <c r="V19" s="7"/>
      <c r="W19" s="7"/>
      <c r="X19" s="16"/>
    </row>
    <row r="20" spans="2:24" x14ac:dyDescent="0.25">
      <c r="B20" s="6"/>
      <c r="C20" s="32" t="s">
        <v>24</v>
      </c>
      <c r="D20" s="100" t="s">
        <v>96</v>
      </c>
      <c r="E20" s="33">
        <f>NFL!E21+MLB!E21+NBA!E21+NHL!E21</f>
        <v>17.920000000000002</v>
      </c>
      <c r="F20" s="33">
        <f t="shared" si="0"/>
        <v>18</v>
      </c>
      <c r="G20" s="33">
        <f t="shared" si="1"/>
        <v>7.9999999999998295E-2</v>
      </c>
      <c r="H20" s="7"/>
      <c r="I20" s="7"/>
      <c r="J20" s="7"/>
      <c r="K20" s="7"/>
      <c r="L20" s="7"/>
      <c r="M20" s="7"/>
      <c r="N20" s="7"/>
      <c r="O20" s="7"/>
      <c r="P20" s="7"/>
      <c r="Q20" s="7"/>
      <c r="R20" s="7"/>
      <c r="S20" s="7"/>
      <c r="T20" s="7"/>
      <c r="U20" s="7"/>
      <c r="V20" s="7"/>
      <c r="W20" s="7"/>
      <c r="X20" s="16"/>
    </row>
    <row r="21" spans="2:24" x14ac:dyDescent="0.25">
      <c r="B21" s="6"/>
      <c r="C21" s="32" t="s">
        <v>4</v>
      </c>
      <c r="D21" s="100" t="s">
        <v>96</v>
      </c>
      <c r="E21" s="33">
        <f>NFL!E22+MLB!E22+NBA!E22+NHL!E22</f>
        <v>44.800000000000004</v>
      </c>
      <c r="F21" s="33">
        <f t="shared" si="0"/>
        <v>45</v>
      </c>
      <c r="G21" s="33">
        <f t="shared" si="1"/>
        <v>0.19999999999999574</v>
      </c>
      <c r="H21" s="7"/>
      <c r="I21" s="7"/>
      <c r="J21" s="7"/>
      <c r="K21" s="7"/>
      <c r="L21" s="7"/>
      <c r="M21" s="7"/>
      <c r="N21" s="7"/>
      <c r="O21" s="7"/>
      <c r="P21" s="7"/>
      <c r="Q21" s="7"/>
      <c r="R21" s="7"/>
      <c r="S21" s="7"/>
      <c r="T21" s="7"/>
      <c r="U21" s="7"/>
      <c r="V21" s="7"/>
      <c r="W21" s="7"/>
      <c r="X21" s="16"/>
    </row>
    <row r="22" spans="2:24" x14ac:dyDescent="0.25">
      <c r="B22" s="6"/>
      <c r="C22" s="32" t="s">
        <v>5</v>
      </c>
      <c r="D22" s="100" t="s">
        <v>96</v>
      </c>
      <c r="E22" s="33">
        <f>NFL!E23+MLB!E23+NBA!E23+NHL!E23</f>
        <v>20.160000000000004</v>
      </c>
      <c r="F22" s="33">
        <f t="shared" si="0"/>
        <v>21</v>
      </c>
      <c r="G22" s="33">
        <f t="shared" si="1"/>
        <v>0.83999999999999631</v>
      </c>
      <c r="H22" s="7"/>
      <c r="I22" s="7"/>
      <c r="J22" s="7"/>
      <c r="K22" s="7"/>
      <c r="L22" s="7"/>
      <c r="M22" s="7"/>
      <c r="N22" s="7"/>
      <c r="O22" s="7"/>
      <c r="P22" s="7"/>
      <c r="Q22" s="7"/>
      <c r="R22" s="7"/>
      <c r="S22" s="7"/>
      <c r="T22" s="7"/>
      <c r="U22" s="7"/>
      <c r="V22" s="7"/>
      <c r="W22" s="7"/>
      <c r="X22" s="16"/>
    </row>
    <row r="23" spans="2:24" x14ac:dyDescent="0.25">
      <c r="B23" s="6"/>
      <c r="C23" s="32" t="s">
        <v>6</v>
      </c>
      <c r="D23" s="100" t="s">
        <v>96</v>
      </c>
      <c r="E23" s="33">
        <f>NFL!E24+MLB!E24+NBA!E24+NHL!E24</f>
        <v>26.880000000000003</v>
      </c>
      <c r="F23" s="33">
        <f t="shared" si="0"/>
        <v>27</v>
      </c>
      <c r="G23" s="33">
        <f t="shared" si="1"/>
        <v>0.11999999999999744</v>
      </c>
      <c r="H23" s="7"/>
      <c r="I23" s="7"/>
      <c r="J23" s="7"/>
      <c r="K23" s="7"/>
      <c r="L23" s="7"/>
      <c r="M23" s="7"/>
      <c r="N23" s="7"/>
      <c r="O23" s="7"/>
      <c r="P23" s="7"/>
      <c r="Q23" s="7"/>
      <c r="R23" s="7"/>
      <c r="S23" s="7"/>
      <c r="T23" s="7"/>
      <c r="U23" s="7"/>
      <c r="V23" s="7"/>
      <c r="W23" s="7"/>
      <c r="X23" s="16"/>
    </row>
    <row r="24" spans="2:24" x14ac:dyDescent="0.25">
      <c r="B24" s="6"/>
      <c r="C24" s="32" t="s">
        <v>7</v>
      </c>
      <c r="D24" s="100" t="s">
        <v>96</v>
      </c>
      <c r="E24" s="33">
        <f>NFL!E25+MLB!E25+NBA!E25+NHL!E25</f>
        <v>53.76</v>
      </c>
      <c r="F24" s="33">
        <f t="shared" si="0"/>
        <v>54</v>
      </c>
      <c r="G24" s="33">
        <f t="shared" si="1"/>
        <v>0.24000000000000199</v>
      </c>
      <c r="H24" s="7"/>
      <c r="I24" s="7"/>
      <c r="J24" s="7"/>
      <c r="K24" s="7"/>
      <c r="L24" s="7"/>
      <c r="M24" s="7"/>
      <c r="N24" s="7"/>
      <c r="O24" s="7"/>
      <c r="P24" s="7"/>
      <c r="Q24" s="7"/>
      <c r="R24" s="7"/>
      <c r="S24" s="7"/>
      <c r="T24" s="7"/>
      <c r="U24" s="7"/>
      <c r="V24" s="7"/>
      <c r="W24" s="7"/>
      <c r="X24" s="16"/>
    </row>
    <row r="25" spans="2:24" x14ac:dyDescent="0.25">
      <c r="B25" s="6"/>
      <c r="C25" s="32" t="s">
        <v>25</v>
      </c>
      <c r="D25" s="100" t="s">
        <v>96</v>
      </c>
      <c r="E25" s="33">
        <f>NFL!E26+MLB!E26+NBA!E26+NHL!E26</f>
        <v>47.04</v>
      </c>
      <c r="F25" s="33">
        <f t="shared" si="0"/>
        <v>48</v>
      </c>
      <c r="G25" s="33">
        <f t="shared" si="1"/>
        <v>0.96000000000000085</v>
      </c>
      <c r="H25" s="7"/>
      <c r="I25" s="7"/>
      <c r="J25" s="7"/>
      <c r="K25" s="7"/>
      <c r="L25" s="7"/>
      <c r="M25" s="7"/>
      <c r="N25" s="7"/>
      <c r="O25" s="7"/>
      <c r="P25" s="7"/>
      <c r="Q25" s="7"/>
      <c r="R25" s="7"/>
      <c r="S25" s="7"/>
      <c r="T25" s="7"/>
      <c r="U25" s="7"/>
      <c r="V25" s="7"/>
      <c r="W25" s="7"/>
      <c r="X25" s="16"/>
    </row>
    <row r="26" spans="2:24" x14ac:dyDescent="0.25">
      <c r="B26" s="6"/>
      <c r="C26" s="32" t="s">
        <v>26</v>
      </c>
      <c r="D26" s="100" t="s">
        <v>96</v>
      </c>
      <c r="E26" s="33">
        <f>NFL!E27+MLB!E27+NBA!E27+NHL!E27</f>
        <v>8.9600000000000009</v>
      </c>
      <c r="F26" s="33">
        <f t="shared" si="0"/>
        <v>9</v>
      </c>
      <c r="G26" s="33">
        <f t="shared" si="1"/>
        <v>3.9999999999999147E-2</v>
      </c>
      <c r="H26" s="7"/>
      <c r="I26" s="7"/>
      <c r="J26" s="7"/>
      <c r="K26" s="7"/>
      <c r="L26" s="7"/>
      <c r="M26" s="7"/>
      <c r="N26" s="7"/>
      <c r="O26" s="7"/>
      <c r="P26" s="7"/>
      <c r="Q26" s="7"/>
      <c r="R26" s="7"/>
      <c r="S26" s="7"/>
      <c r="T26" s="7"/>
      <c r="U26" s="7"/>
      <c r="V26" s="7"/>
      <c r="W26" s="7"/>
      <c r="X26" s="16"/>
    </row>
    <row r="27" spans="2:24" x14ac:dyDescent="0.25">
      <c r="B27" s="6"/>
      <c r="C27" s="32" t="s">
        <v>27</v>
      </c>
      <c r="D27" s="100" t="s">
        <v>96</v>
      </c>
      <c r="E27" s="33">
        <f>NFL!E28+MLB!E28+NBA!E28+NHL!E28</f>
        <v>29.120000000000005</v>
      </c>
      <c r="F27" s="33">
        <f t="shared" si="0"/>
        <v>30</v>
      </c>
      <c r="G27" s="33">
        <f t="shared" si="1"/>
        <v>0.87999999999999545</v>
      </c>
      <c r="H27" s="7"/>
      <c r="I27" s="7"/>
      <c r="J27" s="7"/>
      <c r="K27" s="7"/>
      <c r="L27" s="7"/>
      <c r="M27" s="7"/>
      <c r="N27" s="7"/>
      <c r="O27" s="7"/>
      <c r="P27" s="7"/>
      <c r="Q27" s="7"/>
      <c r="R27" s="7"/>
      <c r="S27" s="7"/>
      <c r="T27" s="7"/>
      <c r="U27" s="7"/>
      <c r="V27" s="7"/>
      <c r="W27" s="7"/>
      <c r="X27" s="16"/>
    </row>
    <row r="28" spans="2:24" x14ac:dyDescent="0.25">
      <c r="B28" s="6"/>
      <c r="C28" s="32" t="s">
        <v>28</v>
      </c>
      <c r="D28" s="100" t="s">
        <v>96</v>
      </c>
      <c r="E28" s="33">
        <f>NFL!E29+MLB!E29+NBA!E29+NHL!E29</f>
        <v>13.440000000000001</v>
      </c>
      <c r="F28" s="33">
        <f t="shared" si="0"/>
        <v>14</v>
      </c>
      <c r="G28" s="33">
        <f t="shared" si="1"/>
        <v>0.55999999999999872</v>
      </c>
      <c r="H28" s="7"/>
      <c r="I28" s="7"/>
      <c r="J28" s="7"/>
      <c r="K28" s="7"/>
      <c r="L28" s="7"/>
      <c r="M28" s="7"/>
      <c r="N28" s="7"/>
      <c r="O28" s="7"/>
      <c r="P28" s="7"/>
      <c r="Q28" s="7"/>
      <c r="R28" s="7"/>
      <c r="S28" s="7"/>
      <c r="T28" s="7"/>
      <c r="U28" s="7"/>
      <c r="V28" s="7"/>
      <c r="W28" s="7"/>
      <c r="X28" s="16"/>
    </row>
    <row r="29" spans="2:24" x14ac:dyDescent="0.25">
      <c r="B29" s="6"/>
      <c r="C29" s="32" t="s">
        <v>29</v>
      </c>
      <c r="D29" s="100" t="s">
        <v>96</v>
      </c>
      <c r="E29" s="33">
        <f>NFL!E30+MLB!E30+NBA!E30+NHL!E30</f>
        <v>31.360000000000003</v>
      </c>
      <c r="F29" s="33">
        <f t="shared" si="0"/>
        <v>32</v>
      </c>
      <c r="G29" s="33">
        <f t="shared" si="1"/>
        <v>0.63999999999999702</v>
      </c>
      <c r="H29" s="7"/>
      <c r="I29" s="7"/>
      <c r="J29" s="7"/>
      <c r="K29" s="7"/>
      <c r="L29" s="7"/>
      <c r="M29" s="7"/>
      <c r="N29" s="7"/>
      <c r="O29" s="7"/>
      <c r="P29" s="7"/>
      <c r="Q29" s="7"/>
      <c r="R29" s="7"/>
      <c r="S29" s="7"/>
      <c r="T29" s="7"/>
      <c r="U29" s="7"/>
      <c r="V29" s="7"/>
      <c r="W29" s="7"/>
      <c r="X29" s="16"/>
    </row>
    <row r="30" spans="2:24" x14ac:dyDescent="0.25">
      <c r="B30" s="6"/>
      <c r="C30" s="32" t="s">
        <v>30</v>
      </c>
      <c r="D30" s="100" t="s">
        <v>96</v>
      </c>
      <c r="E30" s="33">
        <f>NFL!E31+MLB!E31+NBA!E31+NHL!E31</f>
        <v>42.56</v>
      </c>
      <c r="F30" s="33">
        <f t="shared" si="0"/>
        <v>43</v>
      </c>
      <c r="G30" s="33">
        <f t="shared" si="1"/>
        <v>0.43999999999999773</v>
      </c>
      <c r="H30" s="7"/>
      <c r="I30" s="7"/>
      <c r="J30" s="7"/>
      <c r="K30" s="7"/>
      <c r="L30" s="7"/>
      <c r="M30" s="7"/>
      <c r="N30" s="7"/>
      <c r="O30" s="7"/>
      <c r="P30" s="7"/>
      <c r="Q30" s="7"/>
      <c r="R30" s="7"/>
      <c r="S30" s="7"/>
      <c r="T30" s="7"/>
      <c r="U30" s="7"/>
      <c r="V30" s="7"/>
      <c r="W30" s="7"/>
      <c r="X30" s="16"/>
    </row>
    <row r="31" spans="2:24" x14ac:dyDescent="0.25">
      <c r="B31" s="6"/>
      <c r="C31" s="32" t="s">
        <v>31</v>
      </c>
      <c r="D31" s="100" t="s">
        <v>96</v>
      </c>
      <c r="E31" s="33">
        <f>NFL!E32+MLB!E32+NBA!E32+NHL!E32</f>
        <v>35.840000000000003</v>
      </c>
      <c r="F31" s="33">
        <f t="shared" si="0"/>
        <v>36</v>
      </c>
      <c r="G31" s="33">
        <f t="shared" si="1"/>
        <v>0.15999999999999659</v>
      </c>
      <c r="H31" s="7"/>
      <c r="I31" s="7"/>
      <c r="J31" s="7"/>
      <c r="K31" s="7"/>
      <c r="L31" s="7"/>
      <c r="M31" s="7"/>
      <c r="N31" s="7"/>
      <c r="O31" s="7"/>
      <c r="P31" s="7"/>
      <c r="Q31" s="7"/>
      <c r="R31" s="7"/>
      <c r="S31" s="7"/>
      <c r="T31" s="7"/>
      <c r="U31" s="7"/>
      <c r="V31" s="7"/>
      <c r="W31" s="7"/>
      <c r="X31" s="16"/>
    </row>
    <row r="32" spans="2:24" x14ac:dyDescent="0.25">
      <c r="B32" s="6"/>
      <c r="C32" s="32" t="s">
        <v>32</v>
      </c>
      <c r="D32" s="100" t="s">
        <v>96</v>
      </c>
      <c r="E32" s="33">
        <f>NFL!E33+MLB!E33+NBA!E33+NHL!E33</f>
        <v>17.920000000000002</v>
      </c>
      <c r="F32" s="33">
        <f t="shared" si="0"/>
        <v>18</v>
      </c>
      <c r="G32" s="33">
        <f t="shared" si="1"/>
        <v>7.9999999999998295E-2</v>
      </c>
      <c r="H32" s="7"/>
      <c r="I32" s="7"/>
      <c r="J32" s="7"/>
      <c r="K32" s="7"/>
      <c r="L32" s="7"/>
      <c r="M32" s="7"/>
      <c r="N32" s="7"/>
      <c r="O32" s="7"/>
      <c r="P32" s="7"/>
      <c r="Q32" s="7"/>
      <c r="R32" s="7"/>
      <c r="S32" s="7"/>
      <c r="T32" s="7"/>
      <c r="U32" s="7"/>
      <c r="V32" s="7"/>
      <c r="W32" s="7"/>
      <c r="X32" s="16"/>
    </row>
    <row r="33" spans="2:24" x14ac:dyDescent="0.25">
      <c r="B33" s="6"/>
      <c r="C33" s="32" t="s">
        <v>33</v>
      </c>
      <c r="D33" s="100" t="s">
        <v>96</v>
      </c>
      <c r="E33" s="33">
        <f>NFL!E34+MLB!E34+NBA!E34+NHL!E34</f>
        <v>17.920000000000002</v>
      </c>
      <c r="F33" s="33">
        <f t="shared" si="0"/>
        <v>18</v>
      </c>
      <c r="G33" s="33">
        <f t="shared" si="1"/>
        <v>7.9999999999998295E-2</v>
      </c>
      <c r="H33" s="7"/>
      <c r="I33" s="7"/>
      <c r="J33" s="7"/>
      <c r="K33" s="7"/>
      <c r="L33" s="7"/>
      <c r="M33" s="7"/>
      <c r="N33" s="7"/>
      <c r="O33" s="7"/>
      <c r="P33" s="7"/>
      <c r="Q33" s="7"/>
      <c r="R33" s="7"/>
      <c r="S33" s="7"/>
      <c r="T33" s="7"/>
      <c r="U33" s="7"/>
      <c r="V33" s="7"/>
      <c r="W33" s="7"/>
      <c r="X33" s="16"/>
    </row>
    <row r="34" spans="2:24" x14ac:dyDescent="0.25">
      <c r="B34" s="6"/>
      <c r="C34" s="32" t="s">
        <v>34</v>
      </c>
      <c r="D34" s="100" t="s">
        <v>96</v>
      </c>
      <c r="E34" s="33">
        <f>NFL!E35+MLB!E35+NBA!E35+NHL!E35</f>
        <v>15.680000000000001</v>
      </c>
      <c r="F34" s="33">
        <f t="shared" si="0"/>
        <v>16</v>
      </c>
      <c r="G34" s="33">
        <f t="shared" si="1"/>
        <v>0.31999999999999851</v>
      </c>
      <c r="H34" s="7"/>
      <c r="I34" s="7"/>
      <c r="J34" s="7"/>
      <c r="K34" s="7"/>
      <c r="L34" s="7"/>
      <c r="M34" s="7"/>
      <c r="N34" s="7"/>
      <c r="O34" s="7"/>
      <c r="P34" s="7"/>
      <c r="Q34" s="7"/>
      <c r="R34" s="7"/>
      <c r="S34" s="7"/>
      <c r="T34" s="7"/>
      <c r="U34" s="7"/>
      <c r="V34" s="7"/>
      <c r="W34" s="7"/>
      <c r="X34" s="16"/>
    </row>
    <row r="35" spans="2:24" ht="15.75" thickBot="1" x14ac:dyDescent="0.3">
      <c r="B35" s="6"/>
      <c r="C35" s="77" t="s">
        <v>35</v>
      </c>
      <c r="D35" s="101" t="s">
        <v>96</v>
      </c>
      <c r="E35" s="34">
        <f>NFL!E36+MLB!E36+NBA!E36+NHL!E36</f>
        <v>44.800000000000004</v>
      </c>
      <c r="F35" s="34">
        <f t="shared" si="0"/>
        <v>45</v>
      </c>
      <c r="G35" s="34">
        <f t="shared" si="1"/>
        <v>0.19999999999999574</v>
      </c>
      <c r="H35" s="7"/>
      <c r="I35" s="7"/>
      <c r="J35" s="7"/>
      <c r="K35" s="7"/>
      <c r="L35" s="7"/>
      <c r="M35" s="7"/>
      <c r="N35" s="7"/>
      <c r="O35" s="7"/>
      <c r="P35" s="7"/>
      <c r="Q35" s="7"/>
      <c r="R35" s="7"/>
      <c r="S35" s="7"/>
      <c r="T35" s="7"/>
      <c r="U35" s="7"/>
      <c r="V35" s="7"/>
      <c r="W35" s="7"/>
      <c r="X35" s="16"/>
    </row>
    <row r="36" spans="2:24" ht="15.75" thickBot="1" x14ac:dyDescent="0.3">
      <c r="B36" s="6"/>
      <c r="C36" s="7"/>
      <c r="D36" s="25"/>
      <c r="E36" s="106"/>
      <c r="F36" s="25"/>
      <c r="G36" s="25"/>
      <c r="H36" s="7"/>
      <c r="I36" s="7"/>
      <c r="J36" s="7"/>
      <c r="K36" s="7"/>
      <c r="L36" s="7"/>
      <c r="M36" s="7"/>
      <c r="N36" s="7"/>
      <c r="O36" s="7"/>
      <c r="P36" s="7"/>
      <c r="Q36" s="7"/>
      <c r="R36" s="7"/>
      <c r="S36" s="7"/>
      <c r="T36" s="7"/>
      <c r="U36" s="7"/>
      <c r="V36" s="7"/>
      <c r="W36" s="7"/>
      <c r="X36" s="16"/>
    </row>
    <row r="37" spans="2:24" ht="15.75" thickBot="1" x14ac:dyDescent="0.3">
      <c r="B37" s="6"/>
      <c r="C37" s="22" t="s">
        <v>36</v>
      </c>
      <c r="D37" s="35">
        <f>SUM(D4:D36)</f>
        <v>0</v>
      </c>
      <c r="E37" s="36">
        <f>SUM(E4:E36)</f>
        <v>891.52000000000021</v>
      </c>
      <c r="F37" s="36">
        <f>SUM(F4:F35)</f>
        <v>904</v>
      </c>
      <c r="G37" s="144">
        <f>SUM(G4:G35)</f>
        <v>12.479999999999945</v>
      </c>
      <c r="H37" s="7"/>
      <c r="I37" s="7"/>
      <c r="J37" s="7"/>
      <c r="K37" s="7"/>
      <c r="L37" s="7"/>
      <c r="M37" s="7"/>
      <c r="N37" s="7"/>
      <c r="O37" s="7"/>
      <c r="P37" s="7"/>
      <c r="Q37" s="7"/>
      <c r="R37" s="7"/>
      <c r="S37" s="7"/>
      <c r="T37" s="7"/>
      <c r="U37" s="7"/>
      <c r="V37" s="7"/>
      <c r="W37" s="7"/>
      <c r="X37" s="16"/>
    </row>
    <row r="38" spans="2:24" x14ac:dyDescent="0.25">
      <c r="B38" s="6"/>
      <c r="C38" s="7"/>
      <c r="D38" s="25"/>
      <c r="E38" s="25"/>
      <c r="F38" s="25"/>
      <c r="G38" s="25"/>
      <c r="H38" s="7"/>
      <c r="I38" s="7"/>
      <c r="J38" s="7"/>
      <c r="K38" s="7"/>
      <c r="L38" s="7"/>
      <c r="M38" s="7"/>
      <c r="N38" s="7"/>
      <c r="O38" s="7"/>
      <c r="P38" s="7"/>
      <c r="Q38" s="7"/>
      <c r="R38" s="7"/>
      <c r="S38" s="7"/>
      <c r="T38" s="7"/>
      <c r="U38" s="7"/>
      <c r="V38" s="7"/>
      <c r="W38" s="7"/>
      <c r="X38" s="16"/>
    </row>
    <row r="39" spans="2:24" ht="21" x14ac:dyDescent="0.35">
      <c r="B39" s="6"/>
      <c r="C39" s="132" t="s">
        <v>39</v>
      </c>
      <c r="D39" s="133">
        <f>SUM(E37+G37) +0.32</f>
        <v>904.32000000000016</v>
      </c>
      <c r="E39" s="25"/>
      <c r="F39" s="25"/>
      <c r="G39" s="25"/>
      <c r="H39" s="7"/>
      <c r="I39" s="7"/>
      <c r="J39" s="7"/>
      <c r="K39" s="7"/>
      <c r="L39" s="7"/>
      <c r="M39" s="7"/>
      <c r="N39" s="7"/>
      <c r="O39" s="7"/>
      <c r="P39" s="7"/>
      <c r="Q39" s="7"/>
      <c r="R39" s="7"/>
      <c r="S39" s="7"/>
      <c r="T39" s="7"/>
      <c r="U39" s="7"/>
      <c r="V39" s="7"/>
      <c r="W39" s="7"/>
      <c r="X39" s="16"/>
    </row>
    <row r="40" spans="2:24" ht="15.75" thickBot="1" x14ac:dyDescent="0.3">
      <c r="B40" s="11"/>
      <c r="C40" s="12"/>
      <c r="D40" s="96"/>
      <c r="E40" s="26"/>
      <c r="F40" s="26"/>
      <c r="G40" s="26"/>
      <c r="H40" s="12"/>
      <c r="I40" s="12"/>
      <c r="J40" s="12"/>
      <c r="K40" s="12"/>
      <c r="L40" s="12"/>
      <c r="M40" s="12"/>
      <c r="N40" s="12"/>
      <c r="O40" s="12"/>
      <c r="P40" s="12"/>
      <c r="Q40" s="12"/>
      <c r="R40" s="12"/>
      <c r="S40" s="12"/>
      <c r="T40" s="12"/>
      <c r="U40" s="12"/>
      <c r="V40" s="12"/>
      <c r="W40" s="12"/>
      <c r="X40" s="15"/>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F464D-29D3-4DEC-8FB0-4E864DAC44FD}">
  <sheetPr codeName="Sheet7"/>
  <dimension ref="B1:V44"/>
  <sheetViews>
    <sheetView zoomScale="70" zoomScaleNormal="70" workbookViewId="0">
      <selection activeCell="D8" sqref="D8"/>
    </sheetView>
  </sheetViews>
  <sheetFormatPr defaultRowHeight="15" x14ac:dyDescent="0.25"/>
  <cols>
    <col min="3" max="3" width="29" customWidth="1"/>
    <col min="4" max="4" width="42.140625" customWidth="1"/>
    <col min="5" max="5" width="13.42578125" style="1" customWidth="1"/>
    <col min="8" max="8" width="31.7109375" customWidth="1"/>
  </cols>
  <sheetData>
    <row r="1" spans="2:22" ht="15.75" thickBot="1" x14ac:dyDescent="0.3"/>
    <row r="2" spans="2:22" x14ac:dyDescent="0.25">
      <c r="B2" s="102"/>
      <c r="C2" s="103"/>
      <c r="D2" s="103"/>
      <c r="E2" s="104"/>
      <c r="F2" s="103"/>
      <c r="G2" s="105"/>
      <c r="H2" s="103"/>
      <c r="I2" s="103"/>
      <c r="J2" s="103"/>
      <c r="K2" s="103"/>
      <c r="L2" s="103"/>
      <c r="M2" s="103"/>
      <c r="N2" s="103"/>
      <c r="O2" s="103"/>
      <c r="P2" s="103"/>
      <c r="Q2" s="103"/>
      <c r="R2" s="103"/>
      <c r="S2" s="103"/>
      <c r="T2" s="103"/>
      <c r="U2" s="103"/>
      <c r="V2" s="105"/>
    </row>
    <row r="3" spans="2:22" x14ac:dyDescent="0.25">
      <c r="B3" s="6"/>
      <c r="C3" s="7"/>
      <c r="D3" s="7"/>
      <c r="E3" s="25"/>
      <c r="F3" s="7"/>
      <c r="G3" s="16"/>
      <c r="H3" s="7"/>
      <c r="I3" s="7"/>
      <c r="J3" s="7"/>
      <c r="K3" s="7"/>
      <c r="L3" s="7"/>
      <c r="M3" s="7"/>
      <c r="N3" s="7"/>
      <c r="O3" s="7"/>
      <c r="P3" s="7"/>
      <c r="Q3" s="7"/>
      <c r="R3" s="7"/>
      <c r="S3" s="7"/>
      <c r="T3" s="7"/>
      <c r="U3" s="7"/>
      <c r="V3" s="16"/>
    </row>
    <row r="4" spans="2:22" x14ac:dyDescent="0.25">
      <c r="B4" s="6"/>
      <c r="C4" s="175" t="s">
        <v>156</v>
      </c>
      <c r="D4" s="175"/>
      <c r="E4" s="175"/>
      <c r="F4" s="175"/>
      <c r="G4" s="16"/>
      <c r="H4" s="7"/>
      <c r="I4" s="7"/>
      <c r="J4" s="7"/>
      <c r="K4" s="7"/>
      <c r="L4" s="7"/>
      <c r="M4" s="7"/>
      <c r="N4" s="7"/>
      <c r="O4" s="7"/>
      <c r="P4" s="7"/>
      <c r="Q4" s="7"/>
      <c r="R4" s="7"/>
      <c r="S4" s="7"/>
      <c r="T4" s="7"/>
      <c r="U4" s="7"/>
      <c r="V4" s="16"/>
    </row>
    <row r="5" spans="2:22" x14ac:dyDescent="0.25">
      <c r="B5" s="6"/>
      <c r="C5" s="175"/>
      <c r="D5" s="175"/>
      <c r="E5" s="175"/>
      <c r="F5" s="175"/>
      <c r="G5" s="16"/>
      <c r="H5" s="7"/>
      <c r="I5" s="7"/>
      <c r="J5" s="7"/>
      <c r="K5" s="7"/>
      <c r="L5" s="7"/>
      <c r="M5" s="7"/>
      <c r="N5" s="7"/>
      <c r="O5" s="7"/>
      <c r="P5" s="7"/>
      <c r="Q5" s="7"/>
      <c r="R5" s="7"/>
      <c r="S5" s="7"/>
      <c r="T5" s="7"/>
      <c r="U5" s="7"/>
      <c r="V5" s="16"/>
    </row>
    <row r="6" spans="2:22" ht="15.75" thickBot="1" x14ac:dyDescent="0.3">
      <c r="B6" s="6"/>
      <c r="C6" s="25"/>
      <c r="D6" s="25"/>
      <c r="E6" s="25"/>
      <c r="F6" s="25"/>
      <c r="G6" s="16"/>
      <c r="H6" s="7"/>
      <c r="I6" s="7"/>
      <c r="J6" s="7"/>
      <c r="K6" s="7"/>
      <c r="L6" s="7"/>
      <c r="M6" s="7"/>
      <c r="N6" s="7"/>
      <c r="O6" s="7"/>
      <c r="P6" s="7"/>
      <c r="Q6" s="7"/>
      <c r="R6" s="7"/>
      <c r="S6" s="7"/>
      <c r="T6" s="7"/>
      <c r="U6" s="7"/>
      <c r="V6" s="16"/>
    </row>
    <row r="7" spans="2:22" ht="15.75" thickBot="1" x14ac:dyDescent="0.3">
      <c r="B7" s="6"/>
      <c r="C7" s="136" t="s">
        <v>150</v>
      </c>
      <c r="D7" s="136" t="s">
        <v>97</v>
      </c>
      <c r="E7" s="176" t="s">
        <v>151</v>
      </c>
      <c r="F7" s="177"/>
      <c r="G7" s="16"/>
      <c r="H7" s="7"/>
      <c r="I7" s="7"/>
      <c r="J7" s="7"/>
      <c r="K7" s="7"/>
      <c r="L7" s="7"/>
      <c r="M7" s="7"/>
      <c r="N7" s="7"/>
      <c r="O7" s="7"/>
      <c r="P7" s="7"/>
      <c r="Q7" s="7"/>
      <c r="R7" s="7"/>
      <c r="S7" s="7"/>
      <c r="T7" s="7"/>
      <c r="U7" s="7"/>
      <c r="V7" s="16"/>
    </row>
    <row r="8" spans="2:22" ht="15.75" thickBot="1" x14ac:dyDescent="0.3">
      <c r="B8" s="6"/>
      <c r="C8" s="88">
        <f ca="1">TODAY()</f>
        <v>45632</v>
      </c>
      <c r="D8" s="89" t="s">
        <v>157</v>
      </c>
      <c r="E8" s="178" t="s">
        <v>163</v>
      </c>
      <c r="F8" s="179"/>
      <c r="G8" s="16"/>
      <c r="H8" s="7"/>
      <c r="I8" s="7"/>
      <c r="J8" s="7"/>
      <c r="K8" s="7"/>
      <c r="L8" s="7"/>
      <c r="M8" s="7"/>
      <c r="N8" s="7"/>
      <c r="O8" s="7"/>
      <c r="P8" s="7"/>
      <c r="Q8" s="7"/>
      <c r="R8" s="7"/>
      <c r="S8" s="7"/>
      <c r="T8" s="7"/>
      <c r="U8" s="7"/>
      <c r="V8" s="16"/>
    </row>
    <row r="9" spans="2:22" ht="15.75" thickBot="1" x14ac:dyDescent="0.3">
      <c r="B9" s="6"/>
      <c r="C9" s="4"/>
      <c r="D9" s="4"/>
      <c r="E9" s="119"/>
      <c r="F9" s="4"/>
      <c r="G9" s="16"/>
      <c r="H9" s="7"/>
      <c r="I9" s="7"/>
      <c r="J9" s="7"/>
      <c r="K9" s="7"/>
      <c r="L9" s="7"/>
      <c r="M9" s="7"/>
      <c r="N9" s="7"/>
      <c r="O9" s="7"/>
      <c r="P9" s="7"/>
      <c r="Q9" s="7"/>
      <c r="R9" s="7"/>
      <c r="S9" s="7"/>
      <c r="T9" s="7"/>
      <c r="U9" s="7"/>
      <c r="V9" s="16"/>
    </row>
    <row r="10" spans="2:22" ht="15.75" thickBot="1" x14ac:dyDescent="0.3">
      <c r="B10" s="6"/>
      <c r="C10" s="137" t="s">
        <v>152</v>
      </c>
      <c r="D10" s="138" t="s">
        <v>153</v>
      </c>
      <c r="E10" s="139" t="s">
        <v>154</v>
      </c>
      <c r="F10" s="140" t="s">
        <v>155</v>
      </c>
      <c r="G10" s="16"/>
      <c r="H10" s="108"/>
      <c r="I10" s="7"/>
      <c r="J10" s="7"/>
      <c r="K10" s="7"/>
      <c r="L10" s="7"/>
      <c r="M10" s="7"/>
      <c r="N10" s="7"/>
      <c r="O10" s="7"/>
      <c r="P10" s="7"/>
      <c r="Q10" s="7"/>
      <c r="R10" s="7"/>
      <c r="S10" s="7"/>
      <c r="T10" s="7"/>
      <c r="U10" s="7"/>
      <c r="V10" s="16"/>
    </row>
    <row r="11" spans="2:22" ht="15.75" thickBot="1" x14ac:dyDescent="0.3">
      <c r="B11" s="6"/>
      <c r="C11" s="90" t="str">
        <f>IF(D8="NFL","Cardinals", IF(D8="MLB", "Diamondbacks", IF(D8="NBA", "Phoenix Suns", IF(D8="NHL", "Coyotes", IF(D8="Multi-Sport","Arizona", "")))))</f>
        <v>Cardinals</v>
      </c>
      <c r="D11" s="4"/>
      <c r="E11" s="85">
        <f>IF(D8="NFL", NFL!F5, IF(D8="MLB",MLB!F5, IF(D8="NBA",NBA!F5, IF(D8="NHL",NHL!F5, IF(D8="multi-sport",'Multi-Sport'!F4,"")))))</f>
        <v>5</v>
      </c>
      <c r="F11" s="83"/>
      <c r="G11" s="16"/>
      <c r="H11" s="108"/>
      <c r="I11" s="7"/>
      <c r="J11" s="7"/>
      <c r="K11" s="7"/>
      <c r="L11" s="7"/>
      <c r="M11" s="7"/>
      <c r="N11" s="7"/>
      <c r="O11" s="7"/>
      <c r="P11" s="7"/>
      <c r="Q11" s="7"/>
      <c r="R11" s="7"/>
      <c r="S11" s="7"/>
      <c r="T11" s="7"/>
      <c r="U11" s="7"/>
      <c r="V11" s="16"/>
    </row>
    <row r="12" spans="2:22" ht="15.75" thickBot="1" x14ac:dyDescent="0.3">
      <c r="B12" s="6"/>
      <c r="C12" s="91" t="str">
        <f>IF(D8="NFL", "Falcons", IF(D8="MLB", "Braves", IF(D8="NBA", "Hawks", IF(D8="NHL", "CGY Flames", IF(D8="Multi-Sport","Atlanta", "")))))</f>
        <v>Falcons</v>
      </c>
      <c r="D12" s="93"/>
      <c r="E12" s="86">
        <f>IF(D8="NFL", NFL!F6, IF(D8="MLB",MLB!F6, IF(D8="NBA",NBA!F6, IF(D8="NHL",NHL!F6, IF(D8="multi-sport",'Multi-Sport'!F5,"")))))</f>
        <v>16</v>
      </c>
      <c r="F12" s="83"/>
      <c r="G12" s="16"/>
      <c r="H12" s="108"/>
      <c r="I12" s="7"/>
      <c r="J12" s="7"/>
      <c r="K12" s="7"/>
      <c r="L12" s="7"/>
      <c r="M12" s="7"/>
      <c r="N12" s="7"/>
      <c r="O12" s="7"/>
      <c r="P12" s="7"/>
      <c r="Q12" s="7"/>
      <c r="R12" s="7"/>
      <c r="S12" s="7"/>
      <c r="T12" s="7"/>
      <c r="U12" s="7"/>
      <c r="V12" s="16"/>
    </row>
    <row r="13" spans="2:22" ht="15.75" thickBot="1" x14ac:dyDescent="0.3">
      <c r="B13" s="6"/>
      <c r="C13" s="91" t="str">
        <f>IF(D8="NFL", "Ravens", IF(D8="MLB", "Baltimore Oreioles", IF(D8="NBA", "Sac Kings", IF(D8="NHL", "NJ Devils", IF(D8="Multi-Sport","Baltimore", "")))))</f>
        <v>Ravens</v>
      </c>
      <c r="D13" s="93"/>
      <c r="E13" s="86">
        <f>IF(D8="NFL", NFL!F7, IF(D8="MLB",MLB!F7, IF(D8="NBA",NBA!F7, IF(D8="NHL",NHL!F7, IF(D8="multi-sport",'Multi-Sport'!F6,"")))))</f>
        <v>9</v>
      </c>
      <c r="F13" s="83"/>
      <c r="G13" s="16"/>
      <c r="H13" s="108"/>
      <c r="I13" s="7"/>
      <c r="J13" s="7"/>
      <c r="K13" s="7"/>
      <c r="L13" s="7"/>
      <c r="M13" s="7"/>
      <c r="N13" s="7"/>
      <c r="O13" s="7"/>
      <c r="P13" s="7"/>
      <c r="Q13" s="7"/>
      <c r="R13" s="7"/>
      <c r="S13" s="7"/>
      <c r="T13" s="7"/>
      <c r="U13" s="7"/>
      <c r="V13" s="16"/>
    </row>
    <row r="14" spans="2:22" ht="15.75" thickBot="1" x14ac:dyDescent="0.3">
      <c r="B14" s="6"/>
      <c r="C14" s="91" t="str">
        <f>IF(D8="NFL", "Bills", IF(D8="MLB", "Toranto Blue Jays", IF(D8="NBA", "Toronto Raptors", IF(D8="NHL", "Sabres", IF(D8="Multi-Sport", "Buffalo", "")))))</f>
        <v>Bills</v>
      </c>
      <c r="D14" s="93"/>
      <c r="E14" s="86">
        <f>IF(D8="NFL", NFL!F8, IF(D8="MLB",MLB!F8, IF(D8="NBA",NBA!F8, IF(D8="NHL",NHL!F8, IF(D8="multi-sport",'Multi-Sport'!F7,"")))))</f>
        <v>7</v>
      </c>
      <c r="F14" s="83"/>
      <c r="G14" s="16"/>
      <c r="H14" s="108"/>
      <c r="I14" s="7"/>
      <c r="J14" s="7"/>
      <c r="K14" s="7"/>
      <c r="L14" s="7"/>
      <c r="M14" s="7"/>
      <c r="N14" s="7"/>
      <c r="O14" s="7"/>
      <c r="P14" s="7"/>
      <c r="Q14" s="7"/>
      <c r="R14" s="7"/>
      <c r="S14" s="7"/>
      <c r="T14" s="7"/>
      <c r="U14" s="7"/>
      <c r="V14" s="16"/>
    </row>
    <row r="15" spans="2:22" ht="15.75" thickBot="1" x14ac:dyDescent="0.3">
      <c r="B15" s="6"/>
      <c r="C15" s="91" t="str">
        <f>IF(D8="NFL","Panthers",IF(D8="MLB","None",IF(D8="NBA","Charlotte Hornets",IF(D8="NHL","Carolina Hurricanes",IF(D8="MULTI-SPORT","Carolina","")))))</f>
        <v>Panthers</v>
      </c>
      <c r="D15" s="93"/>
      <c r="E15" s="86">
        <f>IF(D8="NFL", NFL!F9, IF(D8="MLB",MLB!F9, IF(D8="NBA",NBA!F9, IF(D8="NHL",NHL!F9, IF(D8="multi-sport",'Multi-Sport'!F8,"")))))</f>
        <v>3</v>
      </c>
      <c r="F15" s="83"/>
      <c r="G15" s="16"/>
      <c r="H15" s="108"/>
      <c r="I15" s="7"/>
      <c r="J15" s="7"/>
      <c r="K15" s="7"/>
      <c r="L15" s="7"/>
      <c r="M15" s="7"/>
      <c r="N15" s="7"/>
      <c r="O15" s="7"/>
      <c r="P15" s="7"/>
      <c r="Q15" s="7"/>
      <c r="R15" s="7"/>
      <c r="S15" s="7"/>
      <c r="T15" s="7"/>
      <c r="U15" s="7"/>
      <c r="V15" s="16"/>
    </row>
    <row r="16" spans="2:22" ht="15.75" thickBot="1" x14ac:dyDescent="0.3">
      <c r="B16" s="6"/>
      <c r="C16" s="91" t="str">
        <f>IF(D8="NFL", "Bears", IF(D8="MLB", "Cubs", IF(D8="NBA", "Bulls", IF(D8="NHL", "Blackhawks",IF(D8="Multi-Sport", "Chicago", "")))))</f>
        <v>Bears</v>
      </c>
      <c r="D16" s="93"/>
      <c r="E16" s="86">
        <f>IF(D8="NFL", NFL!F10, IF(D8="MLB",MLB!F10, IF(D8="NBA",NBA!F10, IF(D8="NHL",NHL!F10, IF(D8="multi-sport",'Multi-Sport'!F9,"")))))</f>
        <v>12</v>
      </c>
      <c r="F16" s="83"/>
      <c r="G16" s="16"/>
      <c r="H16" s="108"/>
      <c r="I16" s="7"/>
      <c r="J16" s="7"/>
      <c r="K16" s="7"/>
      <c r="L16" s="7"/>
      <c r="M16" s="7"/>
      <c r="N16" s="7"/>
      <c r="O16" s="7"/>
      <c r="P16" s="7"/>
      <c r="Q16" s="7"/>
      <c r="R16" s="7"/>
      <c r="S16" s="7"/>
      <c r="T16" s="7"/>
      <c r="U16" s="7"/>
      <c r="V16" s="16"/>
    </row>
    <row r="17" spans="2:22" ht="15.75" thickBot="1" x14ac:dyDescent="0.3">
      <c r="B17" s="6"/>
      <c r="C17" s="91" t="str">
        <f>IF(D8="NFL", "Bengals", IF(D8="MLB", "Reds", IF(D8="NBA", "None", IF(D8="NHL", "WIN Jets",IF(D8="Multi-Sport", "Cincinatti", "")))))</f>
        <v>Bengals</v>
      </c>
      <c r="D17" s="94"/>
      <c r="E17" s="86">
        <f>IF(D8="NFL", NFL!F11, IF(D8="MLB",MLB!F11, IF(D8="NBA",NBA!F11, IF(D8="NHL",NHL!F11, IF(D8="multi-sport",'Multi-Sport'!F10,"")))))</f>
        <v>3</v>
      </c>
      <c r="F17" s="83"/>
      <c r="G17" s="16"/>
      <c r="H17" s="108"/>
      <c r="I17" s="7"/>
      <c r="J17" s="7"/>
      <c r="K17" s="7"/>
      <c r="L17" s="7"/>
      <c r="M17" s="7"/>
      <c r="N17" s="7"/>
      <c r="O17" s="7"/>
      <c r="P17" s="7"/>
      <c r="Q17" s="7"/>
      <c r="R17" s="7"/>
      <c r="S17" s="7"/>
      <c r="T17" s="7"/>
      <c r="U17" s="7"/>
      <c r="V17" s="16"/>
    </row>
    <row r="18" spans="2:22" ht="15.75" thickBot="1" x14ac:dyDescent="0.3">
      <c r="B18" s="6"/>
      <c r="C18" s="91" t="str">
        <f>IF(D8="NFL", "Browns", IF(D8="MLB", "guardians", IF(D8="NBA", "Caveliers", IF(D8="NHL", "Blue Jackets",IF(D8="Multi-Sport", "Cleaveland", "")))))</f>
        <v>Browns</v>
      </c>
      <c r="D18" s="93"/>
      <c r="E18" s="86">
        <f>IF(D8="NFL", NFL!F12, IF(D8="MLB",MLB!F12, IF(D8="NBA",NBA!F12, IF(D8="NHL",NHL!F12, IF(D8="multi-sport",'Multi-Sport'!F11,"")))))</f>
        <v>3</v>
      </c>
      <c r="F18" s="83"/>
      <c r="G18" s="16"/>
      <c r="H18" s="108"/>
      <c r="I18" s="7"/>
      <c r="J18" s="7"/>
      <c r="K18" s="7"/>
      <c r="L18" s="7"/>
      <c r="M18" s="7"/>
      <c r="N18" s="7"/>
      <c r="O18" s="7"/>
      <c r="P18" s="7"/>
      <c r="Q18" s="7"/>
      <c r="R18" s="7"/>
      <c r="S18" s="7"/>
      <c r="T18" s="7"/>
      <c r="U18" s="7"/>
      <c r="V18" s="16"/>
    </row>
    <row r="19" spans="2:22" ht="15.75" thickBot="1" x14ac:dyDescent="0.3">
      <c r="B19" s="6"/>
      <c r="C19" s="91" t="str">
        <f>IF(D8="NFL", "Cowboys", IF(D8="MLB", "Rangers", IF(D8="NBA", "Mavericks", IF(D8="NHL", "Stars",IF(D8="Multi-Sport", "Dallas", "")))))</f>
        <v>Cowboys</v>
      </c>
      <c r="D19" s="93"/>
      <c r="E19" s="86">
        <f>IF(D8="NFL", NFL!F13, IF(D8="MLB",MLB!F13, IF(D8="NBA",NBA!F13, IF(D8="NHL",NHL!F13, IF(D8="multi-sport",'Multi-Sport'!F12,"")))))</f>
        <v>3</v>
      </c>
      <c r="F19" s="83"/>
      <c r="G19" s="16"/>
      <c r="H19" s="108"/>
      <c r="I19" s="7"/>
      <c r="J19" s="7"/>
      <c r="K19" s="7"/>
      <c r="L19" s="7"/>
      <c r="M19" s="7"/>
      <c r="N19" s="7"/>
      <c r="O19" s="7"/>
      <c r="P19" s="7"/>
      <c r="Q19" s="7"/>
      <c r="R19" s="7"/>
      <c r="S19" s="7"/>
      <c r="T19" s="7"/>
      <c r="U19" s="7"/>
      <c r="V19" s="16"/>
    </row>
    <row r="20" spans="2:22" ht="15.75" thickBot="1" x14ac:dyDescent="0.3">
      <c r="B20" s="6"/>
      <c r="C20" s="91" t="str">
        <f>IF(D8="NFL", "Broncos", IF(D8="MLB", "Colorado Rockies", IF(D8="NBA", "Nuggets", IF(D8="NHL", "Avalanche",IF(D8="Multi-Sport", "Denver", "")))))</f>
        <v>Broncos</v>
      </c>
      <c r="D20" s="93"/>
      <c r="E20" s="86">
        <f>IF(D8="NFL", NFL!F14, IF(D8="MLB",MLB!F14, IF(D8="NBA",NBA!F14, IF(D8="NHL",NHL!F14, IF(D8="multi-sport",'Multi-Sport'!F13,"")))))</f>
        <v>16</v>
      </c>
      <c r="F20" s="83"/>
      <c r="G20" s="16"/>
      <c r="H20" s="108"/>
      <c r="I20" s="7"/>
      <c r="J20" s="7"/>
      <c r="K20" s="7"/>
      <c r="L20" s="7"/>
      <c r="M20" s="7"/>
      <c r="N20" s="7"/>
      <c r="O20" s="7"/>
      <c r="P20" s="7"/>
      <c r="Q20" s="7"/>
      <c r="R20" s="7"/>
      <c r="S20" s="7"/>
      <c r="T20" s="7"/>
      <c r="U20" s="7"/>
      <c r="V20" s="16"/>
    </row>
    <row r="21" spans="2:22" ht="15.75" thickBot="1" x14ac:dyDescent="0.3">
      <c r="B21" s="6"/>
      <c r="C21" s="91" t="str">
        <f>IF(D8="NFL", "Lions", IF(D8="MLB", "Tigers", IF(D8="NBA","Pistons", IF(D8="NHL", "Red Wings",IF(D8="Multi-Sport", "Detroit", "")))))</f>
        <v>Lions</v>
      </c>
      <c r="D21" s="93"/>
      <c r="E21" s="86">
        <f>IF(D8="NFL", NFL!F15, IF(D8="MLB",MLB!F15, IF(D8="NBA",NBA!F15, IF(D8="NHL",NHL!F15, IF(D8="multi-sport",'Multi-Sport'!F14,"")))))</f>
        <v>7</v>
      </c>
      <c r="F21" s="83"/>
      <c r="G21" s="16"/>
      <c r="H21" s="108"/>
      <c r="I21" s="7"/>
      <c r="J21" s="7"/>
      <c r="K21" s="7"/>
      <c r="L21" s="7"/>
      <c r="M21" s="7"/>
      <c r="N21" s="7"/>
      <c r="O21" s="7"/>
      <c r="P21" s="7"/>
      <c r="Q21" s="7"/>
      <c r="R21" s="7"/>
      <c r="S21" s="7"/>
      <c r="T21" s="7"/>
      <c r="U21" s="7"/>
      <c r="V21" s="16"/>
    </row>
    <row r="22" spans="2:22" ht="15.75" thickBot="1" x14ac:dyDescent="0.3">
      <c r="B22" s="6"/>
      <c r="C22" s="91" t="str">
        <f>IF(D8="NFL", "Packers", IF(D8="MLB", "Mil Brewers", IF(D8="NBA", "Mil Bucks", IF(D8="NHL", "Van Canucks",IF(D8="Multi-Sport", "Green Bay", "")))))</f>
        <v>Packers</v>
      </c>
      <c r="D22" s="93"/>
      <c r="E22" s="86">
        <f>IF(D8="NFL", NFL!F16, IF(D8="MLB",MLB!F16, IF(D8="NBA",NBA!F16, IF(D8="NHL",NHL!F16, IF(D8="multi-sport",'Multi-Sport'!F15,"")))))</f>
        <v>7</v>
      </c>
      <c r="F22" s="83"/>
      <c r="G22" s="16"/>
      <c r="H22" s="108"/>
      <c r="I22" s="7"/>
      <c r="J22" s="7"/>
      <c r="K22" s="7"/>
      <c r="L22" s="7"/>
      <c r="M22" s="7"/>
      <c r="N22" s="7"/>
      <c r="O22" s="7"/>
      <c r="P22" s="7"/>
      <c r="Q22" s="7"/>
      <c r="R22" s="7"/>
      <c r="S22" s="7"/>
      <c r="T22" s="7"/>
      <c r="U22" s="7"/>
      <c r="V22" s="16"/>
    </row>
    <row r="23" spans="2:22" ht="15.75" thickBot="1" x14ac:dyDescent="0.3">
      <c r="B23" s="6"/>
      <c r="C23" s="91" t="str">
        <f>IF(D8="NFL", "Texans", IF(D8="MLB", "Astros", IF(D8="NBA", "Rockets", IF(D8="NHL", "Tor Maple Leafs",IF(D8="Multi-Sport", "Houston", "")))))</f>
        <v>Texans</v>
      </c>
      <c r="D23" s="93"/>
      <c r="E23" s="86">
        <f>IF(D8="NFL", NFL!F17, IF(D8="MLB",MLB!F17, IF(D8="NBA",NBA!F17, IF(D8="NHL",NHL!F17, IF(D8="multi-sport",'Multi-Sport'!F16,"")))))</f>
        <v>16</v>
      </c>
      <c r="F23" s="83"/>
      <c r="G23" s="16"/>
      <c r="H23" s="108"/>
      <c r="I23" s="7"/>
      <c r="J23" s="7"/>
      <c r="K23" s="7"/>
      <c r="L23" s="7"/>
      <c r="M23" s="7"/>
      <c r="N23" s="7"/>
      <c r="O23" s="7"/>
      <c r="P23" s="7"/>
      <c r="Q23" s="7"/>
      <c r="R23" s="7"/>
      <c r="S23" s="7"/>
      <c r="T23" s="7"/>
      <c r="U23" s="7"/>
      <c r="V23" s="16"/>
    </row>
    <row r="24" spans="2:22" ht="15.75" thickBot="1" x14ac:dyDescent="0.3">
      <c r="B24" s="6"/>
      <c r="C24" s="91" t="str">
        <f>IF(D8="NFL", "Colts", IF(D8="MLB", "Chi White Sox", IF(D8="NBA", "Pacers", IF(D8="NHL", "OTT Senators",IF(D8="Multi-Sport", "Indianapolis", "")))))</f>
        <v>Colts</v>
      </c>
      <c r="D24" s="93"/>
      <c r="E24" s="86">
        <f>IF(D8="NFL", NFL!F18, IF(D8="MLB",MLB!F18, IF(D8="NBA",NBA!F18, IF(D8="NHL",NHL!F18, IF(D8="multi-sport",'Multi-Sport'!F17,"")))))</f>
        <v>7</v>
      </c>
      <c r="F24" s="83"/>
      <c r="G24" s="16"/>
      <c r="H24" s="108"/>
      <c r="I24" s="7"/>
      <c r="J24" s="7"/>
      <c r="K24" s="7"/>
      <c r="L24" s="7"/>
      <c r="M24" s="7"/>
      <c r="N24" s="7"/>
      <c r="O24" s="7"/>
      <c r="P24" s="7"/>
      <c r="Q24" s="7"/>
      <c r="R24" s="7"/>
      <c r="S24" s="7"/>
      <c r="T24" s="7"/>
      <c r="U24" s="7"/>
      <c r="V24" s="16"/>
    </row>
    <row r="25" spans="2:22" ht="15.75" thickBot="1" x14ac:dyDescent="0.3">
      <c r="B25" s="6"/>
      <c r="C25" s="91" t="str">
        <f>IF(D8="NFL", "Jaguars", IF(D8="MLB", "SD Padres", IF(D8="NBA", "None", IF(D8="NHL", "EDM Oilers",IF(D8="Multi-Sport", "Jacksonville", "")))))</f>
        <v>Jaguars</v>
      </c>
      <c r="D25" s="93"/>
      <c r="E25" s="86">
        <f>IF(D8="NFL", NFL!F19, IF(D8="MLB",MLB!F19, IF(D8="NBA",NBA!F19, IF(D8="NHL",NHL!F19, IF(D8="multi-sport",'Multi-Sport'!F18,"")))))</f>
        <v>3</v>
      </c>
      <c r="F25" s="83"/>
      <c r="G25" s="16"/>
      <c r="H25" s="108"/>
      <c r="I25" s="7"/>
      <c r="J25" s="7"/>
      <c r="K25" s="7"/>
      <c r="L25" s="7"/>
      <c r="M25" s="7"/>
      <c r="N25" s="7"/>
      <c r="O25" s="7"/>
      <c r="P25" s="7"/>
      <c r="Q25" s="7"/>
      <c r="R25" s="7"/>
      <c r="S25" s="7"/>
      <c r="T25" s="7"/>
      <c r="U25" s="7"/>
      <c r="V25" s="16"/>
    </row>
    <row r="26" spans="2:22" ht="15.75" thickBot="1" x14ac:dyDescent="0.3">
      <c r="B26" s="6"/>
      <c r="C26" s="91" t="str">
        <f>IF(D8="NFL", "Chiefs", IF(D8="MLB", "Royals", IF(D8="NBA", "OKC Thunder", IF(D8="NHL", "STL Blues",IF(D8="Multi-Sport", "Kansas City", "")))))</f>
        <v>Chiefs</v>
      </c>
      <c r="D26" s="93"/>
      <c r="E26" s="86">
        <f>IF(D8="NFL", NFL!F20, IF(D8="MLB",MLB!F20, IF(D8="NBA",NBA!F20, IF(D8="NHL",NHL!F20, IF(D8="multi-sport",'Multi-Sport'!F19,"")))))</f>
        <v>12</v>
      </c>
      <c r="F26" s="83"/>
      <c r="G26" s="16"/>
      <c r="H26" s="108"/>
      <c r="I26" s="7"/>
      <c r="J26" s="7"/>
      <c r="K26" s="7"/>
      <c r="L26" s="7"/>
      <c r="M26" s="7"/>
      <c r="N26" s="7"/>
      <c r="O26" s="7"/>
      <c r="P26" s="7"/>
      <c r="Q26" s="7"/>
      <c r="R26" s="7"/>
      <c r="S26" s="7"/>
      <c r="T26" s="7"/>
      <c r="U26" s="7"/>
      <c r="V26" s="16"/>
    </row>
    <row r="27" spans="2:22" ht="15.75" thickBot="1" x14ac:dyDescent="0.3">
      <c r="B27" s="6"/>
      <c r="C27" s="91" t="str">
        <f>IF(D8="NFL", "Raiders", IF(D8="MLB", "Athletics", IF(D8="NBA", "Utah Jazz", IF(D8="NHL", "Golden Knights",IF(D8="Multi-Sport", "Las Vegas", "")))))</f>
        <v>Raiders</v>
      </c>
      <c r="D27" s="93"/>
      <c r="E27" s="86">
        <f>IF(D8="NFL", NFL!F21, IF(D8="MLB",MLB!F21, IF(D8="NBA",NBA!F21, IF(D8="NHL",NHL!F21, IF(D8="multi-sport",'Multi-Sport'!F20,"")))))</f>
        <v>3</v>
      </c>
      <c r="F27" s="83"/>
      <c r="G27" s="16"/>
      <c r="H27" s="108"/>
      <c r="I27" s="7"/>
      <c r="J27" s="7"/>
      <c r="K27" s="7"/>
      <c r="L27" s="7"/>
      <c r="M27" s="7"/>
      <c r="N27" s="7"/>
      <c r="O27" s="7"/>
      <c r="P27" s="7"/>
      <c r="Q27" s="7"/>
      <c r="R27" s="7"/>
      <c r="S27" s="7"/>
      <c r="T27" s="7"/>
      <c r="U27" s="7"/>
      <c r="V27" s="16"/>
    </row>
    <row r="28" spans="2:22" ht="15.75" thickBot="1" x14ac:dyDescent="0.3">
      <c r="B28" s="6"/>
      <c r="C28" s="91" t="str">
        <f>IF(D8="NFL", "Chargers", IF(D8="MLB", "Dodgers", IF(D8="NBA", "Clippers", IF(D8="NHL", "Kings",IF(D8="Multi-Sport", "Los Angeles Ch.", "")))))</f>
        <v>Chargers</v>
      </c>
      <c r="D28" s="93"/>
      <c r="E28" s="86">
        <f>IF(D8="NFL", NFL!F22, IF(D8="MLB",MLB!F22, IF(D8="NBA",NBA!F22, IF(D8="NHL",NHL!F22, IF(D8="multi-sport",'Multi-Sport'!F21,"")))))</f>
        <v>7</v>
      </c>
      <c r="F28" s="83"/>
      <c r="G28" s="16"/>
      <c r="H28" s="108"/>
      <c r="I28" s="7"/>
      <c r="J28" s="7"/>
      <c r="K28" s="7"/>
      <c r="L28" s="7"/>
      <c r="M28" s="7"/>
      <c r="N28" s="7"/>
      <c r="O28" s="7"/>
      <c r="P28" s="7"/>
      <c r="Q28" s="7"/>
      <c r="R28" s="7"/>
      <c r="S28" s="7"/>
      <c r="T28" s="7"/>
      <c r="U28" s="7"/>
      <c r="V28" s="16"/>
    </row>
    <row r="29" spans="2:22" ht="15.75" thickBot="1" x14ac:dyDescent="0.3">
      <c r="B29" s="6"/>
      <c r="C29" s="91" t="str">
        <f>IF(D8="NFL", "Rams", IF(D8="MLB", "Angels", IF(D8="NBA", "Lakers", IF(D8="NHL", "ANA Ducks",IF(D8="Multi-Sport", "Los Angeles R", "")))))</f>
        <v>Rams</v>
      </c>
      <c r="D29" s="93"/>
      <c r="E29" s="86">
        <f>IF(D8="NFL", NFL!F23, IF(D8="MLB",MLB!F23, IF(D8="NBA",NBA!F23, IF(D8="NHL",NHL!F23, IF(D8="multi-sport",'Multi-Sport'!F22,"")))))</f>
        <v>3</v>
      </c>
      <c r="F29" s="83"/>
      <c r="G29" s="16"/>
      <c r="H29" s="108"/>
      <c r="I29" s="7"/>
      <c r="J29" s="7"/>
      <c r="K29" s="7"/>
      <c r="L29" s="7"/>
      <c r="M29" s="7"/>
      <c r="N29" s="7"/>
      <c r="O29" s="7"/>
      <c r="P29" s="7"/>
      <c r="Q29" s="7"/>
      <c r="R29" s="7"/>
      <c r="S29" s="7"/>
      <c r="T29" s="7"/>
      <c r="U29" s="7"/>
      <c r="V29" s="16"/>
    </row>
    <row r="30" spans="2:22" ht="15.75" thickBot="1" x14ac:dyDescent="0.3">
      <c r="B30" s="6"/>
      <c r="C30" s="91" t="str">
        <f>IF(D8="NFL", "Dolphins", IF(D8="MLB", "Marlins", IF(D8="NBA", "Heat", IF(D8="NHL", "Panthers",IF(D8="Multi-Sport", "Miami", "")))))</f>
        <v>Dolphins</v>
      </c>
      <c r="D30" s="93"/>
      <c r="E30" s="86">
        <f>IF(D8="NFL", NFL!F24, IF(D8="MLB",MLB!F24, IF(D8="NBA",NBA!F24, IF(D8="NHL",NHL!F24, IF(D8="multi-sport",'Multi-Sport'!F23,"")))))</f>
        <v>5</v>
      </c>
      <c r="F30" s="83"/>
      <c r="G30" s="16"/>
      <c r="H30" s="108"/>
      <c r="I30" s="7"/>
      <c r="J30" s="7"/>
      <c r="K30" s="7"/>
      <c r="L30" s="7"/>
      <c r="M30" s="7"/>
      <c r="N30" s="7"/>
      <c r="O30" s="7"/>
      <c r="P30" s="7"/>
      <c r="Q30" s="7"/>
      <c r="R30" s="7"/>
      <c r="S30" s="7"/>
      <c r="T30" s="7"/>
      <c r="U30" s="7"/>
      <c r="V30" s="16"/>
    </row>
    <row r="31" spans="2:22" ht="15.75" thickBot="1" x14ac:dyDescent="0.3">
      <c r="B31" s="6"/>
      <c r="C31" s="91" t="str">
        <f>IF(D8="NFL", "Vikings", IF(D8="MLB", "Twins", IF(D8="NBA", "Timberwolves", IF(D8="NHL", "MIN Wild",IF(D8="Multi-Sport", "Minnisota", "")))))</f>
        <v>Vikings</v>
      </c>
      <c r="D31" s="93"/>
      <c r="E31" s="86">
        <f>IF(D8="NFL", NFL!F25, IF(D8="MLB",MLB!F25, IF(D8="NBA",NBA!F25, IF(D8="NHL",NHL!F25, IF(D8="multi-sport",'Multi-Sport'!F24,"")))))</f>
        <v>23</v>
      </c>
      <c r="F31" s="83"/>
      <c r="G31" s="16"/>
      <c r="H31" s="108"/>
      <c r="I31" s="7"/>
      <c r="J31" s="7"/>
      <c r="K31" s="7"/>
      <c r="L31" s="7"/>
      <c r="M31" s="7"/>
      <c r="N31" s="7"/>
      <c r="O31" s="7"/>
      <c r="P31" s="7"/>
      <c r="Q31" s="7"/>
      <c r="R31" s="7"/>
      <c r="S31" s="7"/>
      <c r="T31" s="7"/>
      <c r="U31" s="7"/>
      <c r="V31" s="16"/>
    </row>
    <row r="32" spans="2:22" ht="15.75" thickBot="1" x14ac:dyDescent="0.3">
      <c r="B32" s="6"/>
      <c r="C32" s="91" t="str">
        <f>IF(D8="NFL", "Patriots", IF(D8="MLB", "Red Sox", IF(D8="NBA", "Celtics", IF(D8="NHL", "Bruins",IF(D8="Multi-Sport", "New England / Boston", "")))))</f>
        <v>Patriots</v>
      </c>
      <c r="D32" s="93"/>
      <c r="E32" s="86">
        <f>IF(D8="NFL", NFL!F26, IF(D8="MLB",MLB!F26, IF(D8="NBA",NBA!F26, IF(D8="NHL",NHL!F26, IF(D8="multi-sport",'Multi-Sport'!F25,"")))))</f>
        <v>7</v>
      </c>
      <c r="F32" s="83"/>
      <c r="G32" s="16"/>
      <c r="H32" s="108"/>
      <c r="I32" s="7"/>
      <c r="J32" s="7"/>
      <c r="K32" s="7"/>
      <c r="L32" s="7"/>
      <c r="M32" s="7"/>
      <c r="N32" s="7"/>
      <c r="O32" s="7"/>
      <c r="P32" s="7"/>
      <c r="Q32" s="7"/>
      <c r="R32" s="7"/>
      <c r="S32" s="7"/>
      <c r="T32" s="7"/>
      <c r="U32" s="7"/>
      <c r="V32" s="16"/>
    </row>
    <row r="33" spans="2:22" ht="15.75" thickBot="1" x14ac:dyDescent="0.3">
      <c r="B33" s="6"/>
      <c r="C33" s="91" t="str">
        <f>IF(D8="NFL", "Saints", IF(D8="MLB", "None", IF(D8="NBA", "Pelicans", IF(D8="NHL", "MTL Canadians",IF(D8="Multi-Sport", "New Orleans", "")))))</f>
        <v>Saints</v>
      </c>
      <c r="D33" s="93"/>
      <c r="E33" s="86">
        <f>IF(D8="NFL", NFL!F27, IF(D8="MLB",MLB!F27, IF(D8="NBA",NBA!F27, IF(D8="NHL",NHL!F27, IF(D8="multi-sport",'Multi-Sport'!F26,"")))))</f>
        <v>3</v>
      </c>
      <c r="F33" s="83"/>
      <c r="G33" s="16"/>
      <c r="H33" s="108"/>
      <c r="I33" s="7"/>
      <c r="J33" s="7"/>
      <c r="K33" s="7"/>
      <c r="L33" s="7"/>
      <c r="M33" s="7"/>
      <c r="N33" s="7"/>
      <c r="O33" s="7"/>
      <c r="P33" s="7"/>
      <c r="Q33" s="7"/>
      <c r="R33" s="7"/>
      <c r="S33" s="7"/>
      <c r="T33" s="7"/>
      <c r="U33" s="7"/>
      <c r="V33" s="16"/>
    </row>
    <row r="34" spans="2:22" ht="15.75" thickBot="1" x14ac:dyDescent="0.3">
      <c r="B34" s="6"/>
      <c r="C34" s="91" t="str">
        <f>IF(D8="NFL", "Giants", IF(D8="MLB", "Yankees", IF(D8="NBA", "Knicks", IF(D8="NHL", "Rangers",IF(D8="Multi-Sport", "New York", "")))))</f>
        <v>Giants</v>
      </c>
      <c r="D34" s="93"/>
      <c r="E34" s="86">
        <f>IF(D8="NFL", NFL!F28, IF(D8="MLB",MLB!F28, IF(D8="NBA",NBA!F28, IF(D8="NHL",NHL!F28, IF(D8="multi-sport",'Multi-Sport'!F27,"")))))</f>
        <v>3</v>
      </c>
      <c r="F34" s="83"/>
      <c r="G34" s="16"/>
      <c r="H34" s="108"/>
      <c r="I34" s="7"/>
      <c r="J34" s="7"/>
      <c r="K34" s="7"/>
      <c r="L34" s="7"/>
      <c r="M34" s="7"/>
      <c r="N34" s="7"/>
      <c r="O34" s="7"/>
      <c r="P34" s="7"/>
      <c r="Q34" s="7"/>
      <c r="R34" s="7"/>
      <c r="S34" s="7"/>
      <c r="T34" s="7"/>
      <c r="U34" s="7"/>
      <c r="V34" s="16"/>
    </row>
    <row r="35" spans="2:22" ht="15.75" thickBot="1" x14ac:dyDescent="0.3">
      <c r="B35" s="6"/>
      <c r="C35" s="91" t="str">
        <f>IF(D8="NFL", "Jets", IF(D8="MLB", "Mets", IF(D8="NBA", "Nets", IF(D8="NHL", "Islanders",IF(D8="Multi-Sport", "New York / Brooklyn", "")))))</f>
        <v>Jets</v>
      </c>
      <c r="D35" s="93"/>
      <c r="E35" s="86">
        <f>IF(D8="NFL", NFL!F29, IF(D8="MLB",MLB!F29, IF(D8="NBA",NBA!F29, IF(D8="NHL",NHL!F29, IF(D8="multi-sport",'Multi-Sport'!F28,"")))))</f>
        <v>3</v>
      </c>
      <c r="F35" s="83"/>
      <c r="G35" s="16"/>
      <c r="H35" s="108"/>
      <c r="I35" s="7"/>
      <c r="J35" s="7"/>
      <c r="K35" s="7"/>
      <c r="L35" s="7"/>
      <c r="M35" s="7"/>
      <c r="N35" s="7"/>
      <c r="O35" s="7"/>
      <c r="P35" s="7"/>
      <c r="Q35" s="7"/>
      <c r="R35" s="7"/>
      <c r="S35" s="7"/>
      <c r="T35" s="7"/>
      <c r="U35" s="7"/>
      <c r="V35" s="16"/>
    </row>
    <row r="36" spans="2:22" ht="15.75" thickBot="1" x14ac:dyDescent="0.3">
      <c r="B36" s="6"/>
      <c r="C36" s="91" t="str">
        <f>IF(D8="NFL", "Eagles", IF(D8="MLB", "Phillies", IF(D8="NBA", "76ers", IF(D8="NHL", "FLyers",IF(D8="Multi-Sport", "Philidelphia", "")))))</f>
        <v>Eagles</v>
      </c>
      <c r="D36" s="93"/>
      <c r="E36" s="86">
        <f>IF(D8="NFL", NFL!F30, IF(D8="MLB",MLB!F30, IF(D8="NBA",NBA!F30, IF(D8="NHL",NHL!F30, IF(D8="multi-sport",'Multi-Sport'!F29,"")))))</f>
        <v>12</v>
      </c>
      <c r="F36" s="83"/>
      <c r="G36" s="16"/>
      <c r="H36" s="108"/>
      <c r="I36" s="7"/>
      <c r="J36" s="7"/>
      <c r="K36" s="7"/>
      <c r="L36" s="7"/>
      <c r="M36" s="7"/>
      <c r="N36" s="7"/>
      <c r="O36" s="7"/>
      <c r="P36" s="7"/>
      <c r="Q36" s="7"/>
      <c r="R36" s="7"/>
      <c r="S36" s="7"/>
      <c r="T36" s="7"/>
      <c r="U36" s="7"/>
      <c r="V36" s="16"/>
    </row>
    <row r="37" spans="2:22" ht="15.75" thickBot="1" x14ac:dyDescent="0.3">
      <c r="B37" s="6"/>
      <c r="C37" s="91" t="str">
        <f>IF(D8="NFL", "Steelers", IF(D8="MLB", "Pirates", IF(D8="NBA", "SA Spurs", IF(D8="NHL", "Penguins",IF(D8="Multi-Sport", "Pittsburgh", "")))))</f>
        <v>Steelers</v>
      </c>
      <c r="D37" s="93"/>
      <c r="E37" s="86">
        <f>IF(D8="NFL", NFL!F31, IF(D8="MLB",MLB!F31, IF(D8="NBA",NBA!F31, IF(D8="NHL",NHL!F31, IF(D8="multi-sport",'Multi-Sport'!F30,"")))))</f>
        <v>3</v>
      </c>
      <c r="F37" s="83"/>
      <c r="G37" s="16"/>
      <c r="H37" s="108"/>
      <c r="I37" s="7"/>
      <c r="J37" s="7"/>
      <c r="K37" s="7"/>
      <c r="L37" s="7"/>
      <c r="M37" s="7"/>
      <c r="N37" s="7"/>
      <c r="O37" s="7"/>
      <c r="P37" s="7"/>
      <c r="Q37" s="7"/>
      <c r="R37" s="7"/>
      <c r="S37" s="7"/>
      <c r="T37" s="7"/>
      <c r="U37" s="7"/>
      <c r="V37" s="16"/>
    </row>
    <row r="38" spans="2:22" ht="15.75" thickBot="1" x14ac:dyDescent="0.3">
      <c r="B38" s="6"/>
      <c r="C38" s="91" t="str">
        <f>IF(D8="NFL", "49ers", IF(D8="MLB", "Giants", IF(D8="NBA", "Warriors", IF(D8="NHL", "Sharks",IF(D8="Multi-Sport", "San Francisco", "")))))</f>
        <v>49ers</v>
      </c>
      <c r="D38" s="93"/>
      <c r="E38" s="86">
        <f>IF(D8="NFL", NFL!F32, IF(D8="MLB",MLB!F32, IF(D8="NBA",NBA!F32, IF(D8="NHL",NHL!F32, IF(D8="multi-sport",'Multi-Sport'!F31,"")))))</f>
        <v>9</v>
      </c>
      <c r="F38" s="83"/>
      <c r="G38" s="16"/>
      <c r="H38" s="108"/>
      <c r="I38" s="7"/>
      <c r="J38" s="7"/>
      <c r="K38" s="7"/>
      <c r="L38" s="7"/>
      <c r="M38" s="7"/>
      <c r="N38" s="7"/>
      <c r="O38" s="7"/>
      <c r="P38" s="7"/>
      <c r="Q38" s="7"/>
      <c r="R38" s="7"/>
      <c r="S38" s="7"/>
      <c r="T38" s="7"/>
      <c r="U38" s="7"/>
      <c r="V38" s="16"/>
    </row>
    <row r="39" spans="2:22" ht="15.75" thickBot="1" x14ac:dyDescent="0.3">
      <c r="B39" s="6"/>
      <c r="C39" s="91" t="str">
        <f>IF(D8="NFL", "Seahawks", IF(D8="MLB", "Mariners", IF(D8="NBA", "POR Trailblazers", IF(D8="NHL", "Kraken",IF(D8="Multi-Sport", "Seattle", "")))))</f>
        <v>Seahawks</v>
      </c>
      <c r="D39" s="93"/>
      <c r="E39" s="86">
        <f>IF(D8="NFL", NFL!F33, IF(D8="MLB",MLB!F33, IF(D8="NBA",NBA!F33, IF(D8="NHL",NHL!F33, IF(D8="multi-sport",'Multi-Sport'!F32,"")))))</f>
        <v>3</v>
      </c>
      <c r="F39" s="83"/>
      <c r="G39" s="16"/>
      <c r="H39" s="108"/>
      <c r="I39" s="7"/>
      <c r="J39" s="7"/>
      <c r="K39" s="7"/>
      <c r="L39" s="7"/>
      <c r="M39" s="7"/>
      <c r="N39" s="7"/>
      <c r="O39" s="7"/>
      <c r="P39" s="7"/>
      <c r="Q39" s="7"/>
      <c r="R39" s="7"/>
      <c r="S39" s="7"/>
      <c r="T39" s="7"/>
      <c r="U39" s="7"/>
      <c r="V39" s="16"/>
    </row>
    <row r="40" spans="2:22" ht="15.75" thickBot="1" x14ac:dyDescent="0.3">
      <c r="B40" s="6"/>
      <c r="C40" s="91" t="str">
        <f>IF(D8="NFL", "Buccaneers", IF(D8="MLB", "Rays", IF(D8="NBA", "ORL Magic", IF(D8="NHL", "Lightning",IF(D8="Multi-Sport", "Tampa Bay", "")))))</f>
        <v>Buccaneers</v>
      </c>
      <c r="D40" s="93"/>
      <c r="E40" s="86">
        <f>IF(D8="NFL", NFL!F34, IF(D8="MLB",MLB!F34, IF(D8="NBA",NBA!F34, IF(D8="NHL",NHL!F34, IF(D8="multi-sport",'Multi-Sport'!F33,"")))))</f>
        <v>3</v>
      </c>
      <c r="F40" s="83"/>
      <c r="G40" s="16"/>
      <c r="H40" s="108"/>
      <c r="I40" s="7"/>
      <c r="J40" s="7"/>
      <c r="K40" s="7"/>
      <c r="L40" s="7"/>
      <c r="M40" s="7"/>
      <c r="N40" s="7"/>
      <c r="O40" s="7"/>
      <c r="P40" s="7"/>
      <c r="Q40" s="7"/>
      <c r="R40" s="7"/>
      <c r="S40" s="7"/>
      <c r="T40" s="7"/>
      <c r="U40" s="7"/>
      <c r="V40" s="16"/>
    </row>
    <row r="41" spans="2:22" ht="15.75" thickBot="1" x14ac:dyDescent="0.3">
      <c r="B41" s="6"/>
      <c r="C41" s="91" t="str">
        <f>IF(D8="NFL", "Titans", IF(D8="MLB", "STL Cardinals", IF(D8="NBA", "MEM Grizzlies", IF(D8="NHL", "NSH Predators",IF(D8="Multi-Sport", "Tennessee", "")))))</f>
        <v>Titans</v>
      </c>
      <c r="D41" s="93"/>
      <c r="E41" s="86">
        <f>IF(D8="NFL", NFL!F35, IF(D8="MLB",MLB!F35, IF(D8="NBA",NBA!F35, IF(D8="NHL",NHL!F35, IF(D8="multi-sport",'Multi-Sport'!F34,"")))))</f>
        <v>3</v>
      </c>
      <c r="F41" s="83"/>
      <c r="G41" s="16"/>
      <c r="H41" s="108"/>
      <c r="I41" s="7"/>
      <c r="J41" s="7"/>
      <c r="K41" s="7"/>
      <c r="L41" s="7"/>
      <c r="M41" s="7"/>
      <c r="N41" s="7"/>
      <c r="O41" s="7"/>
      <c r="P41" s="7"/>
      <c r="Q41" s="7"/>
      <c r="R41" s="7"/>
      <c r="S41" s="7"/>
      <c r="T41" s="7"/>
      <c r="U41" s="7"/>
      <c r="V41" s="16"/>
    </row>
    <row r="42" spans="2:22" ht="15.75" thickBot="1" x14ac:dyDescent="0.3">
      <c r="B42" s="6"/>
      <c r="C42" s="92" t="str">
        <f>IF(D8="NFL", "Commanders", IF(D8="MLB", "Nationals", IF(D8="NBA", "Wizzards", IF(D8="NHL", "Capitals",IF(D8="Multi-Sport", "Washington", "")))))</f>
        <v>Commanders</v>
      </c>
      <c r="D42" s="95"/>
      <c r="E42" s="87">
        <f>IF(D8="NFL", NFL!F36, IF(D8="MLB",MLB!F36, IF(D8="NBA",NBA!F36, IF(D8="NHL",NHL!F36, IF(D8="multi-sport",'Multi-Sport'!F35,"")))))</f>
        <v>23</v>
      </c>
      <c r="F42" s="109"/>
      <c r="G42" s="16"/>
      <c r="H42" s="7"/>
      <c r="I42" s="7"/>
      <c r="J42" s="7"/>
      <c r="K42" s="7"/>
      <c r="L42" s="7"/>
      <c r="M42" s="7"/>
      <c r="N42" s="7"/>
      <c r="O42" s="7"/>
      <c r="P42" s="7"/>
      <c r="Q42" s="7"/>
      <c r="R42" s="7"/>
      <c r="S42" s="7"/>
      <c r="T42" s="7"/>
      <c r="U42" s="7"/>
      <c r="V42" s="16"/>
    </row>
    <row r="43" spans="2:22" x14ac:dyDescent="0.25">
      <c r="B43" s="6"/>
      <c r="C43" s="7"/>
      <c r="D43" s="7"/>
      <c r="E43" s="25"/>
      <c r="F43" s="7"/>
      <c r="G43" s="16"/>
      <c r="H43" s="7"/>
      <c r="I43" s="7"/>
      <c r="J43" s="7"/>
      <c r="K43" s="7"/>
      <c r="L43" s="7"/>
      <c r="M43" s="7"/>
      <c r="N43" s="7"/>
      <c r="O43" s="7"/>
      <c r="P43" s="7"/>
      <c r="Q43" s="7"/>
      <c r="R43" s="7"/>
      <c r="S43" s="7"/>
      <c r="T43" s="7"/>
      <c r="U43" s="7"/>
      <c r="V43" s="16"/>
    </row>
    <row r="44" spans="2:22" ht="15.75" thickBot="1" x14ac:dyDescent="0.3">
      <c r="B44" s="11"/>
      <c r="C44" s="12"/>
      <c r="D44" s="12"/>
      <c r="E44" s="26"/>
      <c r="F44" s="12"/>
      <c r="G44" s="15"/>
      <c r="H44" s="12"/>
      <c r="I44" s="12"/>
      <c r="J44" s="12"/>
      <c r="K44" s="12"/>
      <c r="L44" s="12"/>
      <c r="M44" s="12"/>
      <c r="N44" s="12"/>
      <c r="O44" s="12"/>
      <c r="P44" s="12"/>
      <c r="Q44" s="12"/>
      <c r="R44" s="12"/>
      <c r="S44" s="12"/>
      <c r="T44" s="12"/>
      <c r="U44" s="12"/>
      <c r="V44" s="15"/>
    </row>
  </sheetData>
  <mergeCells count="3">
    <mergeCell ref="C4:F5"/>
    <mergeCell ref="E7:F7"/>
    <mergeCell ref="E8:F8"/>
  </mergeCells>
  <conditionalFormatting sqref="D11:D41">
    <cfRule type="expression" priority="4">
      <formula>C11:C42="None"</formula>
    </cfRule>
  </conditionalFormatting>
  <conditionalFormatting sqref="D11">
    <cfRule type="expression" priority="3">
      <formula>C11="None"</formula>
    </cfRule>
  </conditionalFormatting>
  <conditionalFormatting sqref="D12">
    <cfRule type="expression" priority="2">
      <formula>C12="None"</formula>
    </cfRule>
  </conditionalFormatting>
  <conditionalFormatting sqref="D15">
    <cfRule type="expression" priority="1">
      <formula>C15="None"</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4B276A6D-C571-400B-9A15-50EFA54CABA6}">
          <x14:formula1>
            <xm:f>Sheet5!$B$2:$B$5</xm:f>
          </x14:formula1>
          <xm:sqref>D8</xm:sqref>
        </x14:dataValidation>
        <x14:dataValidation type="list" allowBlank="1" showInputMessage="1" showErrorMessage="1" xr:uid="{A6FD3CBB-A901-4C12-BB68-1BE830ED9DD0}">
          <x14:formula1>
            <xm:f>Sheet5!$B$8:$B$9</xm:f>
          </x14:formula1>
          <xm:sqref>F11:F42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155B7-460D-48F2-BA77-55ACACE078A2}">
  <sheetPr codeName="Sheet8"/>
  <dimension ref="B2:E35"/>
  <sheetViews>
    <sheetView workbookViewId="0">
      <selection activeCell="H5" sqref="H5"/>
    </sheetView>
  </sheetViews>
  <sheetFormatPr defaultRowHeight="15" x14ac:dyDescent="0.25"/>
  <sheetData>
    <row r="2" spans="2:5" x14ac:dyDescent="0.25">
      <c r="B2" t="s">
        <v>157</v>
      </c>
    </row>
    <row r="3" spans="2:5" ht="15.75" thickBot="1" x14ac:dyDescent="0.3">
      <c r="B3" t="s">
        <v>158</v>
      </c>
    </row>
    <row r="4" spans="2:5" x14ac:dyDescent="0.25">
      <c r="B4" t="s">
        <v>159</v>
      </c>
      <c r="E4" s="80" t="s">
        <v>8</v>
      </c>
    </row>
    <row r="5" spans="2:5" x14ac:dyDescent="0.25">
      <c r="B5" t="s">
        <v>160</v>
      </c>
      <c r="E5" s="81" t="s">
        <v>9</v>
      </c>
    </row>
    <row r="6" spans="2:5" x14ac:dyDescent="0.25">
      <c r="E6" s="81" t="s">
        <v>10</v>
      </c>
    </row>
    <row r="7" spans="2:5" x14ac:dyDescent="0.25">
      <c r="E7" s="81" t="s">
        <v>11</v>
      </c>
    </row>
    <row r="8" spans="2:5" x14ac:dyDescent="0.25">
      <c r="B8" t="s">
        <v>161</v>
      </c>
      <c r="E8" s="81" t="s">
        <v>12</v>
      </c>
    </row>
    <row r="9" spans="2:5" x14ac:dyDescent="0.25">
      <c r="B9" t="s">
        <v>162</v>
      </c>
      <c r="E9" s="81" t="s">
        <v>13</v>
      </c>
    </row>
    <row r="10" spans="2:5" x14ac:dyDescent="0.25">
      <c r="E10" s="81" t="s">
        <v>14</v>
      </c>
    </row>
    <row r="11" spans="2:5" x14ac:dyDescent="0.25">
      <c r="E11" s="81" t="s">
        <v>15</v>
      </c>
    </row>
    <row r="12" spans="2:5" x14ac:dyDescent="0.25">
      <c r="E12" s="81" t="s">
        <v>16</v>
      </c>
    </row>
    <row r="13" spans="2:5" x14ac:dyDescent="0.25">
      <c r="E13" s="81" t="s">
        <v>17</v>
      </c>
    </row>
    <row r="14" spans="2:5" x14ac:dyDescent="0.25">
      <c r="E14" s="81" t="s">
        <v>18</v>
      </c>
    </row>
    <row r="15" spans="2:5" x14ac:dyDescent="0.25">
      <c r="E15" s="81" t="s">
        <v>19</v>
      </c>
    </row>
    <row r="16" spans="2:5" x14ac:dyDescent="0.25">
      <c r="E16" s="81" t="s">
        <v>20</v>
      </c>
    </row>
    <row r="17" spans="5:5" x14ac:dyDescent="0.25">
      <c r="E17" s="81" t="s">
        <v>21</v>
      </c>
    </row>
    <row r="18" spans="5:5" x14ac:dyDescent="0.25">
      <c r="E18" s="81" t="s">
        <v>22</v>
      </c>
    </row>
    <row r="19" spans="5:5" x14ac:dyDescent="0.25">
      <c r="E19" s="81" t="s">
        <v>23</v>
      </c>
    </row>
    <row r="20" spans="5:5" x14ac:dyDescent="0.25">
      <c r="E20" s="81" t="s">
        <v>24</v>
      </c>
    </row>
    <row r="21" spans="5:5" x14ac:dyDescent="0.25">
      <c r="E21" s="81" t="s">
        <v>4</v>
      </c>
    </row>
    <row r="22" spans="5:5" x14ac:dyDescent="0.25">
      <c r="E22" s="81" t="s">
        <v>5</v>
      </c>
    </row>
    <row r="23" spans="5:5" x14ac:dyDescent="0.25">
      <c r="E23" s="81" t="s">
        <v>6</v>
      </c>
    </row>
    <row r="24" spans="5:5" x14ac:dyDescent="0.25">
      <c r="E24" s="81" t="s">
        <v>7</v>
      </c>
    </row>
    <row r="25" spans="5:5" x14ac:dyDescent="0.25">
      <c r="E25" s="81" t="s">
        <v>25</v>
      </c>
    </row>
    <row r="26" spans="5:5" x14ac:dyDescent="0.25">
      <c r="E26" s="81" t="s">
        <v>26</v>
      </c>
    </row>
    <row r="27" spans="5:5" x14ac:dyDescent="0.25">
      <c r="E27" s="81" t="s">
        <v>27</v>
      </c>
    </row>
    <row r="28" spans="5:5" x14ac:dyDescent="0.25">
      <c r="E28" s="81" t="s">
        <v>28</v>
      </c>
    </row>
    <row r="29" spans="5:5" x14ac:dyDescent="0.25">
      <c r="E29" s="81" t="s">
        <v>29</v>
      </c>
    </row>
    <row r="30" spans="5:5" x14ac:dyDescent="0.25">
      <c r="E30" s="81" t="s">
        <v>30</v>
      </c>
    </row>
    <row r="31" spans="5:5" x14ac:dyDescent="0.25">
      <c r="E31" s="81" t="s">
        <v>31</v>
      </c>
    </row>
    <row r="32" spans="5:5" x14ac:dyDescent="0.25">
      <c r="E32" s="81" t="s">
        <v>32</v>
      </c>
    </row>
    <row r="33" spans="5:5" x14ac:dyDescent="0.25">
      <c r="E33" s="81" t="s">
        <v>33</v>
      </c>
    </row>
    <row r="34" spans="5:5" x14ac:dyDescent="0.25">
      <c r="E34" s="81" t="s">
        <v>34</v>
      </c>
    </row>
    <row r="35" spans="5:5" ht="15.75" thickBot="1" x14ac:dyDescent="0.3">
      <c r="E35" s="82" t="s">
        <v>35</v>
      </c>
    </row>
  </sheetData>
  <dataValidations count="1">
    <dataValidation type="custom" allowBlank="1" showInputMessage="1" showErrorMessage="1" sqref="E4" xr:uid="{6BC9E5DD-85A6-4D8B-85DE-2ABEF1E3D27A}">
      <formula1>"Cardinals"</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Pricing</vt:lpstr>
      <vt:lpstr>NFL</vt:lpstr>
      <vt:lpstr>MLB</vt:lpstr>
      <vt:lpstr>NBA</vt:lpstr>
      <vt:lpstr>NHL</vt:lpstr>
      <vt:lpstr>Multi-Sport</vt:lpstr>
      <vt:lpstr>Break Report</vt:lpstr>
      <vt:lpstr>Sheet5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Stricker, Robert (FAA)</dc:creator>
  <cp:lastModifiedBy>Stricker, Robert (FAA)</cp:lastModifiedBy>
  <dcterms:created xsi:type="dcterms:W3CDTF">2024-12-02T16:26:50Z</dcterms:created>
  <dcterms:modified xsi:type="dcterms:W3CDTF">2024-12-06T16:52:22Z</dcterms:modified>
</cp:coreProperties>
</file>