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anielfootwearancar-my.sharepoint.com/personal/ian_k_accentclothing_com/Documents/Desktop/MERCH PILOT IQ/FOR FOUNDERS/"/>
    </mc:Choice>
  </mc:AlternateContent>
  <xr:revisionPtr revIDLastSave="0" documentId="8_{95AE26D1-9A6A-418B-BD52-178E670FEE6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tart Here" sheetId="1" r:id="rId1"/>
    <sheet name="Settings" sheetId="2" r:id="rId2"/>
    <sheet name="Margin Calculator" sheetId="3" r:id="rId3"/>
    <sheet name="Buy Pla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5" i="4" l="1"/>
  <c r="X24" i="4"/>
  <c r="W24" i="4"/>
  <c r="U24" i="4"/>
  <c r="R24" i="4"/>
  <c r="Q24" i="4"/>
  <c r="P24" i="4"/>
  <c r="O24" i="4"/>
  <c r="N24" i="4"/>
  <c r="M24" i="4"/>
  <c r="J24" i="4"/>
  <c r="K24" i="4" s="1"/>
  <c r="L24" i="4" s="1"/>
  <c r="X23" i="4"/>
  <c r="W23" i="4"/>
  <c r="U23" i="4"/>
  <c r="R23" i="4"/>
  <c r="Q23" i="4"/>
  <c r="P23" i="4"/>
  <c r="O23" i="4"/>
  <c r="N23" i="4"/>
  <c r="M23" i="4"/>
  <c r="J23" i="4"/>
  <c r="K23" i="4" s="1"/>
  <c r="L23" i="4" s="1"/>
  <c r="X22" i="4"/>
  <c r="W22" i="4"/>
  <c r="U22" i="4"/>
  <c r="R22" i="4"/>
  <c r="Q22" i="4"/>
  <c r="P22" i="4"/>
  <c r="O22" i="4"/>
  <c r="N22" i="4"/>
  <c r="M22" i="4"/>
  <c r="J22" i="4"/>
  <c r="K22" i="4" s="1"/>
  <c r="L22" i="4" s="1"/>
  <c r="X21" i="4"/>
  <c r="W21" i="4"/>
  <c r="U21" i="4"/>
  <c r="R21" i="4"/>
  <c r="Q21" i="4"/>
  <c r="P21" i="4"/>
  <c r="O21" i="4"/>
  <c r="N21" i="4"/>
  <c r="M21" i="4"/>
  <c r="J21" i="4"/>
  <c r="K21" i="4" s="1"/>
  <c r="L21" i="4" s="1"/>
  <c r="X20" i="4"/>
  <c r="W20" i="4"/>
  <c r="V20" i="4"/>
  <c r="U20" i="4"/>
  <c r="S20" i="4"/>
  <c r="R20" i="4"/>
  <c r="Q20" i="4"/>
  <c r="P20" i="4"/>
  <c r="O20" i="4"/>
  <c r="N20" i="4"/>
  <c r="M20" i="4"/>
  <c r="J20" i="4"/>
  <c r="K20" i="4" s="1"/>
  <c r="L20" i="4" s="1"/>
  <c r="X19" i="4"/>
  <c r="W19" i="4"/>
  <c r="U19" i="4"/>
  <c r="R19" i="4"/>
  <c r="Q19" i="4"/>
  <c r="P19" i="4"/>
  <c r="O19" i="4"/>
  <c r="N19" i="4"/>
  <c r="M19" i="4"/>
  <c r="J19" i="4"/>
  <c r="K19" i="4" s="1"/>
  <c r="L19" i="4" s="1"/>
  <c r="X18" i="4"/>
  <c r="W18" i="4"/>
  <c r="U18" i="4"/>
  <c r="R18" i="4"/>
  <c r="Q18" i="4"/>
  <c r="P18" i="4"/>
  <c r="O18" i="4"/>
  <c r="N18" i="4"/>
  <c r="M18" i="4"/>
  <c r="J18" i="4"/>
  <c r="K18" i="4" s="1"/>
  <c r="L18" i="4" s="1"/>
  <c r="X17" i="4"/>
  <c r="W17" i="4"/>
  <c r="U17" i="4"/>
  <c r="R17" i="4"/>
  <c r="Q17" i="4"/>
  <c r="P17" i="4"/>
  <c r="O17" i="4"/>
  <c r="N17" i="4"/>
  <c r="M17" i="4"/>
  <c r="J17" i="4"/>
  <c r="K17" i="4" s="1"/>
  <c r="L17" i="4" s="1"/>
  <c r="X16" i="4"/>
  <c r="W16" i="4"/>
  <c r="U16" i="4"/>
  <c r="R16" i="4"/>
  <c r="Q16" i="4"/>
  <c r="P16" i="4"/>
  <c r="O16" i="4"/>
  <c r="N16" i="4"/>
  <c r="M16" i="4"/>
  <c r="J16" i="4"/>
  <c r="K16" i="4" s="1"/>
  <c r="L16" i="4" s="1"/>
  <c r="X15" i="4"/>
  <c r="W15" i="4"/>
  <c r="U15" i="4"/>
  <c r="R15" i="4"/>
  <c r="Q15" i="4"/>
  <c r="P15" i="4"/>
  <c r="O15" i="4"/>
  <c r="N15" i="4"/>
  <c r="M15" i="4"/>
  <c r="J15" i="4"/>
  <c r="K15" i="4" s="1"/>
  <c r="L15" i="4" s="1"/>
  <c r="X14" i="4"/>
  <c r="W14" i="4"/>
  <c r="U14" i="4"/>
  <c r="R14" i="4"/>
  <c r="Q14" i="4"/>
  <c r="P14" i="4"/>
  <c r="O14" i="4"/>
  <c r="N14" i="4"/>
  <c r="M14" i="4"/>
  <c r="J14" i="4"/>
  <c r="K14" i="4" s="1"/>
  <c r="L14" i="4" s="1"/>
  <c r="X13" i="4"/>
  <c r="W13" i="4"/>
  <c r="U13" i="4"/>
  <c r="R13" i="4"/>
  <c r="Q13" i="4"/>
  <c r="P13" i="4"/>
  <c r="O13" i="4"/>
  <c r="N13" i="4"/>
  <c r="M13" i="4"/>
  <c r="J13" i="4"/>
  <c r="K13" i="4" s="1"/>
  <c r="L13" i="4" s="1"/>
  <c r="X12" i="4"/>
  <c r="W12" i="4"/>
  <c r="U12" i="4"/>
  <c r="R12" i="4"/>
  <c r="Q12" i="4"/>
  <c r="P12" i="4"/>
  <c r="O12" i="4"/>
  <c r="N12" i="4"/>
  <c r="M12" i="4"/>
  <c r="J12" i="4"/>
  <c r="K12" i="4" s="1"/>
  <c r="L12" i="4" s="1"/>
  <c r="X11" i="4"/>
  <c r="W11" i="4"/>
  <c r="U11" i="4"/>
  <c r="R11" i="4"/>
  <c r="Q11" i="4"/>
  <c r="P11" i="4"/>
  <c r="O11" i="4"/>
  <c r="N11" i="4"/>
  <c r="M11" i="4"/>
  <c r="J11" i="4"/>
  <c r="K11" i="4" s="1"/>
  <c r="L11" i="4" s="1"/>
  <c r="X10" i="4"/>
  <c r="W10" i="4"/>
  <c r="U10" i="4"/>
  <c r="R10" i="4"/>
  <c r="Q10" i="4"/>
  <c r="P10" i="4"/>
  <c r="O10" i="4"/>
  <c r="N10" i="4"/>
  <c r="M10" i="4"/>
  <c r="J10" i="4"/>
  <c r="K10" i="4" s="1"/>
  <c r="L10" i="4" s="1"/>
  <c r="X9" i="4"/>
  <c r="W9" i="4"/>
  <c r="V9" i="4"/>
  <c r="U9" i="4"/>
  <c r="R9" i="4"/>
  <c r="Q9" i="4"/>
  <c r="S9" i="4" s="1"/>
  <c r="P9" i="4"/>
  <c r="O9" i="4"/>
  <c r="N9" i="4"/>
  <c r="M9" i="4"/>
  <c r="J9" i="4"/>
  <c r="K9" i="4" s="1"/>
  <c r="L9" i="4" s="1"/>
  <c r="X8" i="4"/>
  <c r="W8" i="4"/>
  <c r="U8" i="4"/>
  <c r="R8" i="4"/>
  <c r="Q8" i="4"/>
  <c r="P8" i="4"/>
  <c r="O8" i="4"/>
  <c r="N8" i="4"/>
  <c r="M8" i="4"/>
  <c r="J8" i="4"/>
  <c r="K8" i="4" s="1"/>
  <c r="L8" i="4" s="1"/>
  <c r="X7" i="4"/>
  <c r="W7" i="4"/>
  <c r="U7" i="4"/>
  <c r="R7" i="4"/>
  <c r="Q7" i="4"/>
  <c r="P7" i="4"/>
  <c r="O7" i="4"/>
  <c r="N7" i="4"/>
  <c r="M7" i="4"/>
  <c r="K7" i="4"/>
  <c r="L7" i="4" s="1"/>
  <c r="J7" i="4"/>
  <c r="X6" i="4"/>
  <c r="R6" i="4"/>
  <c r="P6" i="4"/>
  <c r="W6" i="4" s="1"/>
  <c r="O6" i="4"/>
  <c r="N6" i="4"/>
  <c r="Q6" i="4" s="1"/>
  <c r="M6" i="4"/>
  <c r="J6" i="4"/>
  <c r="K6" i="4" s="1"/>
  <c r="L6" i="4" s="1"/>
  <c r="X5" i="4"/>
  <c r="O5" i="4"/>
  <c r="O25" i="4" s="1"/>
  <c r="N5" i="4"/>
  <c r="M5" i="4"/>
  <c r="M25" i="4" s="1"/>
  <c r="K25" i="4" s="1"/>
  <c r="J5" i="4"/>
  <c r="K5" i="4" s="1"/>
  <c r="L5" i="4" s="1"/>
  <c r="B21" i="3"/>
  <c r="B16" i="3"/>
  <c r="B17" i="3" s="1"/>
  <c r="B8" i="3"/>
  <c r="B6" i="3"/>
  <c r="V24" i="4" l="1"/>
  <c r="S24" i="4"/>
  <c r="T24" i="4" s="1"/>
  <c r="V23" i="4"/>
  <c r="S23" i="4"/>
  <c r="T23" i="4" s="1"/>
  <c r="V22" i="4"/>
  <c r="S22" i="4"/>
  <c r="T22" i="4" s="1"/>
  <c r="S21" i="4"/>
  <c r="T21" i="4" s="1"/>
  <c r="V21" i="4"/>
  <c r="V19" i="4"/>
  <c r="S19" i="4"/>
  <c r="T19" i="4" s="1"/>
  <c r="V18" i="4"/>
  <c r="S18" i="4"/>
  <c r="T18" i="4" s="1"/>
  <c r="V17" i="4"/>
  <c r="S17" i="4"/>
  <c r="T17" i="4" s="1"/>
  <c r="V16" i="4"/>
  <c r="S16" i="4"/>
  <c r="T16" i="4" s="1"/>
  <c r="V15" i="4"/>
  <c r="S15" i="4"/>
  <c r="T15" i="4" s="1"/>
  <c r="V14" i="4"/>
  <c r="S14" i="4"/>
  <c r="T14" i="4" s="1"/>
  <c r="V13" i="4"/>
  <c r="S13" i="4"/>
  <c r="T13" i="4" s="1"/>
  <c r="V12" i="4"/>
  <c r="S12" i="4"/>
  <c r="T12" i="4" s="1"/>
  <c r="V11" i="4"/>
  <c r="S11" i="4"/>
  <c r="T11" i="4" s="1"/>
  <c r="S10" i="4"/>
  <c r="T10" i="4" s="1"/>
  <c r="V10" i="4"/>
  <c r="V8" i="4"/>
  <c r="S8" i="4"/>
  <c r="T8" i="4" s="1"/>
  <c r="V7" i="4"/>
  <c r="S7" i="4"/>
  <c r="T7" i="4" s="1"/>
  <c r="U6" i="4"/>
  <c r="S6" i="4"/>
  <c r="T6" i="4" s="1"/>
  <c r="V6" i="4"/>
  <c r="N25" i="4"/>
  <c r="R5" i="4"/>
  <c r="R25" i="4" s="1"/>
  <c r="P5" i="4"/>
  <c r="Q5" i="4"/>
  <c r="B22" i="3"/>
  <c r="B23" i="3" s="1"/>
  <c r="B11" i="3"/>
  <c r="B9" i="3"/>
  <c r="B10" i="3" s="1"/>
  <c r="T20" i="4"/>
  <c r="T9" i="4"/>
  <c r="W5" i="4" l="1"/>
  <c r="W25" i="4" s="1"/>
  <c r="P25" i="4"/>
  <c r="S5" i="4"/>
  <c r="T5" i="4" s="1"/>
  <c r="U5" i="4"/>
  <c r="Q25" i="4"/>
  <c r="S25" i="4" s="1"/>
  <c r="T25" i="4" s="1"/>
  <c r="V25" i="4" l="1"/>
  <c r="U25" i="4"/>
  <c r="V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4" authorId="0" shapeId="0" xr:uid="{00000000-0006-0000-0300-000001000000}">
      <text>
        <r>
          <rPr>
            <sz val="10"/>
            <rFont val="Arial"/>
            <family val="2"/>
          </rPr>
          <t>Your honest estimate of the share of units bought that will sell at full price. Be conservative in season one.</t>
        </r>
      </text>
    </comment>
    <comment ref="G4" authorId="0" shapeId="0" xr:uid="{00000000-0006-0000-0300-000002000000}">
      <text>
        <r>
          <rPr>
            <sz val="10"/>
            <rFont val="Arial"/>
            <family val="2"/>
          </rPr>
          <t>Share of units bought that you expect to sell in a sale. Full-price + markdown must not exceed 100%.</t>
        </r>
      </text>
    </comment>
    <comment ref="I4" authorId="0" shapeId="0" xr:uid="{00000000-0006-0000-0300-000003000000}">
      <text>
        <r>
          <rPr>
            <sz val="10"/>
            <rFont val="Arial"/>
            <family val="2"/>
          </rPr>
          <t>Average pick, pack, postage, packaging and returns handling per unit sold. Example values are illustrative.</t>
        </r>
      </text>
    </comment>
    <comment ref="T4" authorId="0" shapeId="0" xr:uid="{00000000-0006-0000-0300-000005000000}">
      <text>
        <r>
          <rPr>
            <sz val="10"/>
            <rFont val="Arial"/>
            <family val="2"/>
          </rPr>
          <t>Percentage points of margin lost between what you planned at intake and what you achieved after markdowns.</t>
        </r>
      </text>
    </comment>
    <comment ref="W4" authorId="0" shapeId="0" xr:uid="{00000000-0006-0000-0300-000006000000}">
      <text>
        <r>
          <rPr>
            <sz val="10"/>
            <rFont val="Arial"/>
            <family val="2"/>
          </rPr>
          <t>Units left unsold × landed cost. This is cash sitting in your stockroom.</t>
        </r>
      </text>
    </comment>
    <comment ref="K25" authorId="0" shapeId="0" xr:uid="{00000000-0006-0000-0300-000004000000}">
      <text>
        <r>
          <rPr>
            <sz val="10"/>
            <rFont val="Arial"/>
            <family val="2"/>
          </rPr>
          <t>Weighted intake margin across the whole buy: (total buy at retail ex VAT − total buy at cost) ÷ total buy at retail ex VAT</t>
        </r>
      </text>
    </comment>
  </commentList>
</comments>
</file>

<file path=xl/sharedStrings.xml><?xml version="1.0" encoding="utf-8"?>
<sst xmlns="http://schemas.openxmlformats.org/spreadsheetml/2006/main" count="79" uniqueCount="74">
  <si>
    <t>Buy Plan &amp; Margin Starter Kit — Excel template</t>
  </si>
  <si>
    <t>www.merchpilotiq.com</t>
  </si>
  <si>
    <t>HOW TO USE THIS TEMPLATE</t>
  </si>
  <si>
    <t>1.  Settings tab: check the VAT rate (UK standard rate 20%). All retail prices you type are VAT-inclusive, as your customer sees them.</t>
  </si>
  <si>
    <t>2.  Margin Calculator tab: test any single product — what margin does this price give me, and what price do I need for my target margin?</t>
  </si>
  <si>
    <t>3.  Buy Plan tab: list every style you intend to buy. Enter units, landed cost, retail price and your honest sell-through expectations.</t>
  </si>
  <si>
    <t>4.  Read the right-hand columns: they show how your intake margin turns into the margin you actually achieve, and the stock (cash) left over.</t>
  </si>
  <si>
    <t>COLOUR KEY</t>
  </si>
  <si>
    <t>Yellow cells with blue text = your inputs. Everything else is a formula — please don't overwrite it.</t>
  </si>
  <si>
    <t>The first rows of the Buy Plan are worked examples. Overwrite them with your own styles.</t>
  </si>
  <si>
    <t>KEY DEFINITIONS</t>
  </si>
  <si>
    <t>Landed cost: the full cost to get one unit into your warehouse — factory price + freight + duty + any agent fees.</t>
  </si>
  <si>
    <t>Intake margin: the margin you plan when you buy, at full price, excluding VAT.  (RRP ex VAT − landed cost) ÷ RRP ex VAT</t>
  </si>
  <si>
    <t>Achieved margin: the margin you actually make on what you sold, after markdowns.  (Net sales ex VAT − cost of units sold) ÷ net sales</t>
  </si>
  <si>
    <t>Sell-through: the % of units bought that sold. Split here into full price and markdown.</t>
  </si>
  <si>
    <t>Fulfilment &amp; returns cost: pick, pack, postage, packaging and the cost of handling returns, averaged per unit sold.</t>
  </si>
  <si>
    <t>Want a second pair of eyes on your numbers? Book a free Commercial Clinic at www.merchpilotiq.com</t>
  </si>
  <si>
    <t>Settings</t>
  </si>
  <si>
    <t>VAT rate</t>
  </si>
  <si>
    <t>UK standard rate. Change if you sell in a market with a different rate.</t>
  </si>
  <si>
    <t>Target intake margin</t>
  </si>
  <si>
    <t>Example only. Used to flag styles below target on the Buy Plan.</t>
  </si>
  <si>
    <t>Margin Calculator</t>
  </si>
  <si>
    <t>A. What margin does my price give me?</t>
  </si>
  <si>
    <t>Factory price per unit (£)</t>
  </si>
  <si>
    <t>Freight, duty &amp; fees per unit (£)</t>
  </si>
  <si>
    <t>Example values — replace with your own</t>
  </si>
  <si>
    <t>Landed cost per unit (£)</t>
  </si>
  <si>
    <t>Retail price inc VAT (£)</t>
  </si>
  <si>
    <t>The price on your website</t>
  </si>
  <si>
    <t>Retail price ex VAT (£)</t>
  </si>
  <si>
    <t>VAT is not your money — margin is always worked on the ex-VAT price</t>
  </si>
  <si>
    <t>Cash margin per unit (£)</t>
  </si>
  <si>
    <t>Intake margin %</t>
  </si>
  <si>
    <t>Mark-up (retail ex VAT ÷ landed cost)</t>
  </si>
  <si>
    <t>B. What price do I need for my target margin?</t>
  </si>
  <si>
    <t>Target intake margin %</t>
  </si>
  <si>
    <t>Required retail price ex VAT (£)</t>
  </si>
  <si>
    <t>Required retail price inc VAT (£)</t>
  </si>
  <si>
    <t>Then round to a sensible price point, and re-check the margin in section A</t>
  </si>
  <si>
    <t>C. What does a markdown do to my margin?</t>
  </si>
  <si>
    <t>Markdown depth %</t>
  </si>
  <si>
    <t>e.g. 30% off. Applied to the product in section A</t>
  </si>
  <si>
    <t>Sale price inc VAT (£)</t>
  </si>
  <si>
    <t>Sale price ex VAT (£)</t>
  </si>
  <si>
    <t>Margin % on each unit sold at markdown</t>
  </si>
  <si>
    <t>Buy Plan — from intake margin to achieved margin</t>
  </si>
  <si>
    <t>Yellow = your inputs (one row per style). Rows 5–6 are worked examples — overwrite them. Retail prices inc VAT; all margins and sales are calculated ex VAT.</t>
  </si>
  <si>
    <t>Style</t>
  </si>
  <si>
    <t>Category</t>
  </si>
  <si>
    <t>Units bought</t>
  </si>
  <si>
    <t>Landed cost / unit (£)</t>
  </si>
  <si>
    <t>Full-price sell-through %</t>
  </si>
  <si>
    <t>Markdown sell-through %</t>
  </si>
  <si>
    <t>Fulfilment &amp; returns cost / unit sold (£)</t>
  </si>
  <si>
    <t>Below target?</t>
  </si>
  <si>
    <t>Buy at cost (£)</t>
  </si>
  <si>
    <t>Units sold full price</t>
  </si>
  <si>
    <t>Units sold on markdown</t>
  </si>
  <si>
    <t>Units left unsold</t>
  </si>
  <si>
    <t>Net sales ex VAT (£)</t>
  </si>
  <si>
    <t>Cost of units sold (£)</t>
  </si>
  <si>
    <t>Achieved margin %</t>
  </si>
  <si>
    <t>Margin lost (pts)</t>
  </si>
  <si>
    <t>Contribution after fulfilment (£)</t>
  </si>
  <si>
    <t>Contribution %</t>
  </si>
  <si>
    <t>Stock left at cost (£)</t>
  </si>
  <si>
    <t>Check</t>
  </si>
  <si>
    <t>Linen shirt (example)</t>
  </si>
  <si>
    <t>Tops</t>
  </si>
  <si>
    <t>Wool coat (example)</t>
  </si>
  <si>
    <t>Outerwear</t>
  </si>
  <si>
    <t>TOTAL / WEIGHTED</t>
  </si>
  <si>
    <t>Example values are illustrative, not benchmarks. Built by MerchPilotIQ — www.merchpilotiq.com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</si>
</sst>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;\(0.0%\);\-"/>
    <numFmt numFmtId="165" formatCode="\£#,##0.00;&quot;(£&quot;#,##0.00\);\-"/>
    <numFmt numFmtId="166" formatCode="0.00\x"/>
    <numFmt numFmtId="167" formatCode="#,##0;\(#,##0\);\-"/>
    <numFmt numFmtId="168" formatCode="\£#,##0;&quot;(£&quot;#,##0\);\-"/>
  </numFmts>
  <fonts count="17" x14ac:knownFonts="1">
    <font>
      <sz val="11"/>
      <color theme="1"/>
      <name val="Calibri"/>
      <family val="2"/>
      <charset val="1"/>
    </font>
    <font>
      <b/>
      <sz val="20"/>
      <color rgb="FF5D713E"/>
      <name val="Arial"/>
      <charset val="1"/>
    </font>
    <font>
      <b/>
      <sz val="14"/>
      <name val="Arial"/>
      <charset val="1"/>
    </font>
    <font>
      <i/>
      <sz val="10"/>
      <color rgb="FF666666"/>
      <name val="Arial"/>
      <charset val="1"/>
    </font>
    <font>
      <b/>
      <sz val="11"/>
      <color rgb="FF5D713E"/>
      <name val="Arial"/>
      <charset val="1"/>
    </font>
    <font>
      <sz val="10"/>
      <name val="Arial"/>
      <charset val="1"/>
    </font>
    <font>
      <b/>
      <sz val="10"/>
      <color rgb="FF5D713E"/>
      <name val="Arial"/>
      <charset val="1"/>
    </font>
    <font>
      <b/>
      <sz val="14"/>
      <color rgb="FF5D713E"/>
      <name val="Arial"/>
      <charset val="1"/>
    </font>
    <font>
      <sz val="11"/>
      <color rgb="FF0000FF"/>
      <name val="Arial"/>
      <charset val="1"/>
    </font>
    <font>
      <i/>
      <sz val="9"/>
      <color rgb="FF666666"/>
      <name val="Arial"/>
      <charset val="1"/>
    </font>
    <font>
      <sz val="11"/>
      <name val="Arial"/>
      <charset val="1"/>
    </font>
    <font>
      <b/>
      <sz val="10"/>
      <name val="Arial"/>
      <charset val="1"/>
    </font>
    <font>
      <b/>
      <sz val="11"/>
      <name val="Arial"/>
      <charset val="1"/>
    </font>
    <font>
      <b/>
      <sz val="9"/>
      <color rgb="FFFFFFFF"/>
      <name val="Arial"/>
      <charset val="1"/>
    </font>
    <font>
      <sz val="10"/>
      <color rgb="FF0000FF"/>
      <name val="Arial"/>
      <charset val="1"/>
    </font>
    <font>
      <b/>
      <sz val="10"/>
      <color rgb="FFC00000"/>
      <name val="Arial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8EBDD"/>
      </patternFill>
    </fill>
    <fill>
      <patternFill patternType="solid">
        <fgColor rgb="FF5D713E"/>
        <bgColor rgb="FF666666"/>
      </patternFill>
    </fill>
    <fill>
      <patternFill patternType="solid">
        <fgColor rgb="FFE8EBDD"/>
        <b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0" xfId="0" applyFont="1"/>
    <xf numFmtId="164" fontId="8" fillId="2" borderId="1" xfId="0" applyNumberFormat="1" applyFont="1" applyFill="1" applyBorder="1"/>
    <xf numFmtId="0" fontId="9" fillId="0" borderId="0" xfId="0" applyFont="1"/>
    <xf numFmtId="0" fontId="4" fillId="0" borderId="0" xfId="0" applyFont="1"/>
    <xf numFmtId="165" fontId="8" fillId="2" borderId="1" xfId="0" applyNumberFormat="1" applyFont="1" applyFill="1" applyBorder="1"/>
    <xf numFmtId="165" fontId="10" fillId="0" borderId="1" xfId="0" applyNumberFormat="1" applyFont="1" applyBorder="1"/>
    <xf numFmtId="0" fontId="11" fillId="0" borderId="0" xfId="0" applyFont="1"/>
    <xf numFmtId="164" fontId="12" fillId="0" borderId="1" xfId="0" applyNumberFormat="1" applyFont="1" applyBorder="1"/>
    <xf numFmtId="166" fontId="10" fillId="0" borderId="1" xfId="0" applyNumberFormat="1" applyFont="1" applyBorder="1"/>
    <xf numFmtId="165" fontId="12" fillId="0" borderId="1" xfId="0" applyNumberFormat="1" applyFont="1" applyBorder="1"/>
    <xf numFmtId="0" fontId="13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167" fontId="14" fillId="2" borderId="1" xfId="0" applyNumberFormat="1" applyFont="1" applyFill="1" applyBorder="1"/>
    <xf numFmtId="165" fontId="14" fillId="2" borderId="1" xfId="0" applyNumberFormat="1" applyFont="1" applyFill="1" applyBorder="1"/>
    <xf numFmtId="164" fontId="14" fillId="2" borderId="1" xfId="0" applyNumberFormat="1" applyFont="1" applyFill="1" applyBorder="1"/>
    <xf numFmtId="165" fontId="5" fillId="0" borderId="1" xfId="0" applyNumberFormat="1" applyFont="1" applyBorder="1"/>
    <xf numFmtId="164" fontId="5" fillId="0" borderId="1" xfId="0" applyNumberFormat="1" applyFont="1" applyBorder="1"/>
    <xf numFmtId="0" fontId="15" fillId="0" borderId="1" xfId="0" applyFont="1" applyBorder="1"/>
    <xf numFmtId="168" fontId="5" fillId="0" borderId="1" xfId="0" applyNumberFormat="1" applyFont="1" applyBorder="1"/>
    <xf numFmtId="167" fontId="5" fillId="0" borderId="1" xfId="0" applyNumberFormat="1" applyFont="1" applyBorder="1"/>
    <xf numFmtId="0" fontId="11" fillId="4" borderId="1" xfId="0" applyFont="1" applyFill="1" applyBorder="1"/>
    <xf numFmtId="167" fontId="11" fillId="4" borderId="1" xfId="0" applyNumberFormat="1" applyFont="1" applyFill="1" applyBorder="1"/>
    <xf numFmtId="164" fontId="11" fillId="4" borderId="1" xfId="0" applyNumberFormat="1" applyFont="1" applyFill="1" applyBorder="1"/>
    <xf numFmtId="168" fontId="1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D713E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EB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2381040</xdr:colOff>
      <xdr:row>0</xdr:row>
      <xdr:rowOff>837720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0"/>
          <a:ext cx="2381040" cy="837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2"/>
  <sheetViews>
    <sheetView showGridLines="0" tabSelected="1" zoomScaleNormal="100" workbookViewId="0"/>
  </sheetViews>
  <sheetFormatPr defaultColWidth="8.6328125" defaultRowHeight="14.5" x14ac:dyDescent="0.35"/>
  <cols>
    <col min="1" max="1" width="3" customWidth="1"/>
    <col min="2" max="2" width="95" customWidth="1"/>
  </cols>
  <sheetData>
    <row r="1" spans="2:2" ht="67.5" customHeight="1" x14ac:dyDescent="0.35">
      <c r="B1" s="1"/>
    </row>
    <row r="2" spans="2:2" ht="17.25" customHeight="1" x14ac:dyDescent="0.35">
      <c r="B2" s="2" t="s">
        <v>0</v>
      </c>
    </row>
    <row r="3" spans="2:2" ht="15" customHeight="1" x14ac:dyDescent="0.35">
      <c r="B3" s="3" t="s">
        <v>1</v>
      </c>
    </row>
    <row r="4" spans="2:2" ht="15" customHeight="1" x14ac:dyDescent="0.35">
      <c r="B4" s="4"/>
    </row>
    <row r="5" spans="2:2" ht="15" customHeight="1" x14ac:dyDescent="0.35">
      <c r="B5" s="5" t="s">
        <v>2</v>
      </c>
    </row>
    <row r="6" spans="2:2" ht="23.25" customHeight="1" x14ac:dyDescent="0.35">
      <c r="B6" s="6" t="s">
        <v>3</v>
      </c>
    </row>
    <row r="7" spans="2:2" ht="23.25" customHeight="1" x14ac:dyDescent="0.35">
      <c r="B7" s="6" t="s">
        <v>4</v>
      </c>
    </row>
    <row r="8" spans="2:2" ht="23.25" customHeight="1" x14ac:dyDescent="0.35">
      <c r="B8" s="6" t="s">
        <v>5</v>
      </c>
    </row>
    <row r="9" spans="2:2" ht="23.25" customHeight="1" x14ac:dyDescent="0.35">
      <c r="B9" s="6" t="s">
        <v>6</v>
      </c>
    </row>
    <row r="10" spans="2:2" ht="15" customHeight="1" x14ac:dyDescent="0.35">
      <c r="B10" s="4"/>
    </row>
    <row r="11" spans="2:2" ht="15" customHeight="1" x14ac:dyDescent="0.35">
      <c r="B11" s="5" t="s">
        <v>7</v>
      </c>
    </row>
    <row r="12" spans="2:2" ht="15" customHeight="1" x14ac:dyDescent="0.35">
      <c r="B12" s="6" t="s">
        <v>8</v>
      </c>
    </row>
    <row r="13" spans="2:2" ht="15" customHeight="1" x14ac:dyDescent="0.35">
      <c r="B13" s="6" t="s">
        <v>9</v>
      </c>
    </row>
    <row r="14" spans="2:2" ht="15" customHeight="1" x14ac:dyDescent="0.35">
      <c r="B14" s="4"/>
    </row>
    <row r="15" spans="2:2" ht="15" customHeight="1" x14ac:dyDescent="0.35">
      <c r="B15" s="5" t="s">
        <v>10</v>
      </c>
    </row>
    <row r="16" spans="2:2" ht="15" customHeight="1" x14ac:dyDescent="0.35">
      <c r="B16" s="6" t="s">
        <v>11</v>
      </c>
    </row>
    <row r="17" spans="2:2" ht="23.25" customHeight="1" x14ac:dyDescent="0.35">
      <c r="B17" s="6" t="s">
        <v>12</v>
      </c>
    </row>
    <row r="18" spans="2:2" ht="23.25" customHeight="1" x14ac:dyDescent="0.35">
      <c r="B18" s="6" t="s">
        <v>13</v>
      </c>
    </row>
    <row r="19" spans="2:2" ht="15" customHeight="1" x14ac:dyDescent="0.35">
      <c r="B19" s="6" t="s">
        <v>14</v>
      </c>
    </row>
    <row r="20" spans="2:2" ht="15" customHeight="1" x14ac:dyDescent="0.35">
      <c r="B20" s="6" t="s">
        <v>15</v>
      </c>
    </row>
    <row r="21" spans="2:2" ht="15" customHeight="1" x14ac:dyDescent="0.35">
      <c r="B21" s="4"/>
    </row>
    <row r="22" spans="2:2" ht="15" customHeight="1" x14ac:dyDescent="0.35">
      <c r="B22" s="7" t="s">
        <v>16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showGridLines="0" zoomScaleNormal="100" workbookViewId="0">
      <selection activeCell="C4" sqref="C4"/>
    </sheetView>
  </sheetViews>
  <sheetFormatPr defaultColWidth="8.6328125" defaultRowHeight="14.5" x14ac:dyDescent="0.35"/>
  <cols>
    <col min="1" max="1" width="34" customWidth="1"/>
    <col min="2" max="2" width="14" customWidth="1"/>
    <col min="3" max="3" width="60" customWidth="1"/>
  </cols>
  <sheetData>
    <row r="1" spans="1:3" ht="17.25" customHeight="1" x14ac:dyDescent="0.4">
      <c r="A1" s="8" t="s">
        <v>17</v>
      </c>
    </row>
    <row r="3" spans="1:3" ht="15" customHeight="1" x14ac:dyDescent="0.35">
      <c r="A3" s="9" t="s">
        <v>18</v>
      </c>
      <c r="B3" s="10">
        <v>0.2</v>
      </c>
      <c r="C3" s="11" t="s">
        <v>19</v>
      </c>
    </row>
    <row r="4" spans="1:3" ht="15" customHeight="1" x14ac:dyDescent="0.35">
      <c r="A4" s="9" t="s">
        <v>20</v>
      </c>
      <c r="B4" s="10">
        <v>0.6</v>
      </c>
      <c r="C4" s="11" t="s">
        <v>21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showGridLines="0" topLeftCell="A3" zoomScaleNormal="100" workbookViewId="0"/>
  </sheetViews>
  <sheetFormatPr defaultColWidth="8.6328125" defaultRowHeight="14.5" x14ac:dyDescent="0.35"/>
  <cols>
    <col min="1" max="1" width="40" customWidth="1"/>
    <col min="2" max="2" width="16" customWidth="1"/>
    <col min="3" max="3" width="55" customWidth="1"/>
  </cols>
  <sheetData>
    <row r="1" spans="1:3" ht="17.25" customHeight="1" x14ac:dyDescent="0.4">
      <c r="A1" s="8" t="s">
        <v>22</v>
      </c>
    </row>
    <row r="3" spans="1:3" ht="15" customHeight="1" x14ac:dyDescent="0.35">
      <c r="A3" s="12" t="s">
        <v>23</v>
      </c>
    </row>
    <row r="4" spans="1:3" ht="15" customHeight="1" x14ac:dyDescent="0.35">
      <c r="A4" s="9" t="s">
        <v>24</v>
      </c>
      <c r="B4" s="13">
        <v>18</v>
      </c>
    </row>
    <row r="5" spans="1:3" ht="15" customHeight="1" x14ac:dyDescent="0.35">
      <c r="A5" s="9" t="s">
        <v>25</v>
      </c>
      <c r="B5" s="13">
        <v>4.5</v>
      </c>
      <c r="C5" s="11" t="s">
        <v>26</v>
      </c>
    </row>
    <row r="6" spans="1:3" ht="15" customHeight="1" x14ac:dyDescent="0.35">
      <c r="A6" s="9" t="s">
        <v>27</v>
      </c>
      <c r="B6" s="14">
        <f>B4+B5</f>
        <v>22.5</v>
      </c>
    </row>
    <row r="7" spans="1:3" ht="15" customHeight="1" x14ac:dyDescent="0.35">
      <c r="A7" s="9" t="s">
        <v>28</v>
      </c>
      <c r="B7" s="13">
        <v>60</v>
      </c>
      <c r="C7" s="11" t="s">
        <v>29</v>
      </c>
    </row>
    <row r="8" spans="1:3" ht="15" customHeight="1" x14ac:dyDescent="0.35">
      <c r="A8" s="9" t="s">
        <v>30</v>
      </c>
      <c r="B8" s="14">
        <f>B7/(1+Settings!$B$3)</f>
        <v>50</v>
      </c>
      <c r="C8" s="11" t="s">
        <v>31</v>
      </c>
    </row>
    <row r="9" spans="1:3" ht="15" customHeight="1" x14ac:dyDescent="0.35">
      <c r="A9" s="9" t="s">
        <v>32</v>
      </c>
      <c r="B9" s="14">
        <f>B8-B6</f>
        <v>27.5</v>
      </c>
    </row>
    <row r="10" spans="1:3" ht="15" customHeight="1" x14ac:dyDescent="0.35">
      <c r="A10" s="15" t="s">
        <v>33</v>
      </c>
      <c r="B10" s="16">
        <f>IFERROR(B9/B8,0)</f>
        <v>0.55000000000000004</v>
      </c>
    </row>
    <row r="11" spans="1:3" ht="15" customHeight="1" x14ac:dyDescent="0.35">
      <c r="A11" s="9" t="s">
        <v>34</v>
      </c>
      <c r="B11" s="17">
        <f>IFERROR(B8/B6,0)</f>
        <v>2.2222222222222223</v>
      </c>
    </row>
    <row r="13" spans="1:3" ht="15" customHeight="1" x14ac:dyDescent="0.35">
      <c r="A13" s="12" t="s">
        <v>35</v>
      </c>
    </row>
    <row r="14" spans="1:3" ht="15" customHeight="1" x14ac:dyDescent="0.35">
      <c r="A14" s="9" t="s">
        <v>27</v>
      </c>
      <c r="B14" s="13">
        <v>30</v>
      </c>
    </row>
    <row r="15" spans="1:3" ht="15" customHeight="1" x14ac:dyDescent="0.35">
      <c r="A15" s="9" t="s">
        <v>36</v>
      </c>
      <c r="B15" s="10">
        <v>0.6</v>
      </c>
    </row>
    <row r="16" spans="1:3" ht="15" customHeight="1" x14ac:dyDescent="0.35">
      <c r="A16" s="9" t="s">
        <v>37</v>
      </c>
      <c r="B16" s="14">
        <f>IFERROR(B14/(1-B15),0)</f>
        <v>75</v>
      </c>
    </row>
    <row r="17" spans="1:3" ht="15" customHeight="1" x14ac:dyDescent="0.35">
      <c r="A17" s="15" t="s">
        <v>38</v>
      </c>
      <c r="B17" s="18">
        <f>B16*(1+Settings!$B$3)</f>
        <v>90</v>
      </c>
      <c r="C17" s="11" t="s">
        <v>39</v>
      </c>
    </row>
    <row r="19" spans="1:3" ht="15" customHeight="1" x14ac:dyDescent="0.35">
      <c r="A19" s="12" t="s">
        <v>40</v>
      </c>
    </row>
    <row r="20" spans="1:3" ht="15" customHeight="1" x14ac:dyDescent="0.35">
      <c r="A20" s="9" t="s">
        <v>41</v>
      </c>
      <c r="B20" s="10">
        <v>0.3</v>
      </c>
      <c r="C20" s="11" t="s">
        <v>42</v>
      </c>
    </row>
    <row r="21" spans="1:3" ht="15" customHeight="1" x14ac:dyDescent="0.35">
      <c r="A21" s="9" t="s">
        <v>43</v>
      </c>
      <c r="B21" s="14">
        <f>B7*(1-B20)</f>
        <v>42</v>
      </c>
    </row>
    <row r="22" spans="1:3" ht="15" customHeight="1" x14ac:dyDescent="0.35">
      <c r="A22" s="9" t="s">
        <v>44</v>
      </c>
      <c r="B22" s="14">
        <f>B8*(1-B20)</f>
        <v>35</v>
      </c>
    </row>
    <row r="23" spans="1:3" ht="15" customHeight="1" x14ac:dyDescent="0.35">
      <c r="A23" s="15" t="s">
        <v>45</v>
      </c>
      <c r="B23" s="16">
        <f>IFERROR((B22-B6)/B22,0)</f>
        <v>0.35714285714285715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6328125" defaultRowHeight="14.5" x14ac:dyDescent="0.35"/>
  <cols>
    <col min="1" max="1" width="20" customWidth="1"/>
    <col min="2" max="2" width="13" customWidth="1"/>
    <col min="3" max="3" width="10" customWidth="1"/>
    <col min="4" max="7" width="12" customWidth="1"/>
    <col min="8" max="8" width="11" customWidth="1"/>
    <col min="9" max="9" width="15" customWidth="1"/>
    <col min="10" max="10" width="12" customWidth="1"/>
    <col min="11" max="12" width="10" customWidth="1"/>
    <col min="13" max="13" width="12" customWidth="1"/>
    <col min="14" max="15" width="11" customWidth="1"/>
    <col min="16" max="16" width="10" customWidth="1"/>
    <col min="17" max="18" width="13" customWidth="1"/>
    <col min="19" max="19" width="11" customWidth="1"/>
    <col min="20" max="20" width="10" customWidth="1"/>
    <col min="21" max="21" width="15" customWidth="1"/>
    <col min="22" max="22" width="11" customWidth="1"/>
    <col min="23" max="23" width="13" customWidth="1"/>
    <col min="24" max="24" width="22" customWidth="1"/>
  </cols>
  <sheetData>
    <row r="1" spans="1:24" ht="17.25" customHeight="1" x14ac:dyDescent="0.4">
      <c r="A1" s="8" t="s">
        <v>46</v>
      </c>
    </row>
    <row r="2" spans="1:24" ht="15" customHeight="1" x14ac:dyDescent="0.35">
      <c r="A2" s="11" t="s">
        <v>47</v>
      </c>
    </row>
    <row r="4" spans="1:24" ht="48" customHeight="1" x14ac:dyDescent="0.35">
      <c r="A4" s="19" t="s">
        <v>48</v>
      </c>
      <c r="B4" s="19" t="s">
        <v>49</v>
      </c>
      <c r="C4" s="19" t="s">
        <v>50</v>
      </c>
      <c r="D4" s="19" t="s">
        <v>51</v>
      </c>
      <c r="E4" s="19" t="s">
        <v>28</v>
      </c>
      <c r="F4" s="19" t="s">
        <v>52</v>
      </c>
      <c r="G4" s="19" t="s">
        <v>53</v>
      </c>
      <c r="H4" s="19" t="s">
        <v>41</v>
      </c>
      <c r="I4" s="19" t="s">
        <v>54</v>
      </c>
      <c r="J4" s="19" t="s">
        <v>30</v>
      </c>
      <c r="K4" s="19" t="s">
        <v>33</v>
      </c>
      <c r="L4" s="19" t="s">
        <v>55</v>
      </c>
      <c r="M4" s="19" t="s">
        <v>56</v>
      </c>
      <c r="N4" s="19" t="s">
        <v>57</v>
      </c>
      <c r="O4" s="19" t="s">
        <v>58</v>
      </c>
      <c r="P4" s="19" t="s">
        <v>59</v>
      </c>
      <c r="Q4" s="19" t="s">
        <v>60</v>
      </c>
      <c r="R4" s="19" t="s">
        <v>61</v>
      </c>
      <c r="S4" s="19" t="s">
        <v>62</v>
      </c>
      <c r="T4" s="19" t="s">
        <v>63</v>
      </c>
      <c r="U4" s="19" t="s">
        <v>64</v>
      </c>
      <c r="V4" s="19" t="s">
        <v>65</v>
      </c>
      <c r="W4" s="19" t="s">
        <v>66</v>
      </c>
      <c r="X4" s="19" t="s">
        <v>67</v>
      </c>
    </row>
    <row r="5" spans="1:24" ht="15" customHeight="1" x14ac:dyDescent="0.35">
      <c r="A5" s="20" t="s">
        <v>68</v>
      </c>
      <c r="B5" s="20" t="s">
        <v>69</v>
      </c>
      <c r="C5" s="21">
        <v>200</v>
      </c>
      <c r="D5" s="22">
        <v>22.5</v>
      </c>
      <c r="E5" s="22">
        <v>60</v>
      </c>
      <c r="F5" s="23">
        <v>0.6</v>
      </c>
      <c r="G5" s="23">
        <v>0.25</v>
      </c>
      <c r="H5" s="23">
        <v>0.3</v>
      </c>
      <c r="I5" s="22">
        <v>6</v>
      </c>
      <c r="J5" s="24">
        <f>IF(E5="","",E5/(1+Settings!$B$3))</f>
        <v>50</v>
      </c>
      <c r="K5" s="25">
        <f t="shared" ref="K5:K24" si="0">IF(OR(J5="",J5=0),"",(J5-D5)/J5)</f>
        <v>0.55000000000000004</v>
      </c>
      <c r="L5" s="26" t="str">
        <f>IF(K5="","",IF(K5&lt;Settings!$B$4,"Below target",""))</f>
        <v>Below target</v>
      </c>
      <c r="M5" s="27">
        <f t="shared" ref="M5:M24" si="1">IF(C5="","",C5*D5)</f>
        <v>4500</v>
      </c>
      <c r="N5" s="28">
        <f t="shared" ref="N5:N24" si="2">IF(C5="","",C5*F5)</f>
        <v>120</v>
      </c>
      <c r="O5" s="28">
        <f t="shared" ref="O5:O24" si="3">IF(C5="","",C5*G5)</f>
        <v>50</v>
      </c>
      <c r="P5" s="28">
        <f t="shared" ref="P5:P24" si="4">IF(C5="","",C5-N5-O5)</f>
        <v>30</v>
      </c>
      <c r="Q5" s="27">
        <f t="shared" ref="Q5:Q24" si="5">IF(C5="","",N5*J5+O5*J5*(1-H5))</f>
        <v>7750</v>
      </c>
      <c r="R5" s="27">
        <f t="shared" ref="R5:R24" si="6">IF(C5="","",(N5+O5)*D5)</f>
        <v>3825</v>
      </c>
      <c r="S5" s="25">
        <f t="shared" ref="S5:S24" si="7">IF(OR(Q5="",Q5=0),"",(Q5-R5)/Q5)</f>
        <v>0.50645161290322582</v>
      </c>
      <c r="T5" s="25">
        <f t="shared" ref="T5:T24" si="8">IF(OR(S5="",K5=""),"",K5-S5)</f>
        <v>4.3548387096774221E-2</v>
      </c>
      <c r="U5" s="27">
        <f t="shared" ref="U5:U24" si="9">IF(C5="","",Q5-R5-(N5+O5)*I5)</f>
        <v>2905</v>
      </c>
      <c r="V5" s="25">
        <f t="shared" ref="V5:V24" si="10">IF(OR(Q5="",Q5=0),"",U5/Q5)</f>
        <v>0.37483870967741933</v>
      </c>
      <c r="W5" s="27">
        <f t="shared" ref="W5:W24" si="11">IF(C5="","",P5*D5)</f>
        <v>675</v>
      </c>
      <c r="X5" s="26" t="str">
        <f t="shared" ref="X5:X24" si="12">IF(C5="","",IF(F5+G5&gt;1,"Sell-through over 100%",""))</f>
        <v/>
      </c>
    </row>
    <row r="6" spans="1:24" ht="15" customHeight="1" x14ac:dyDescent="0.35">
      <c r="A6" s="20" t="s">
        <v>70</v>
      </c>
      <c r="B6" s="20" t="s">
        <v>71</v>
      </c>
      <c r="C6" s="21">
        <v>60</v>
      </c>
      <c r="D6" s="22">
        <v>85</v>
      </c>
      <c r="E6" s="22">
        <v>295</v>
      </c>
      <c r="F6" s="23">
        <v>0.45</v>
      </c>
      <c r="G6" s="23">
        <v>0.35</v>
      </c>
      <c r="H6" s="23">
        <v>0.4</v>
      </c>
      <c r="I6" s="22">
        <v>9</v>
      </c>
      <c r="J6" s="24">
        <f>IF(E6="","",E6/(1+Settings!$B$3))</f>
        <v>245.83333333333334</v>
      </c>
      <c r="K6" s="25">
        <f t="shared" si="0"/>
        <v>0.65423728813559323</v>
      </c>
      <c r="L6" s="26" t="str">
        <f>IF(K6="","",IF(K6&lt;Settings!$B$4,"Below target",""))</f>
        <v/>
      </c>
      <c r="M6" s="27">
        <f t="shared" si="1"/>
        <v>5100</v>
      </c>
      <c r="N6" s="28">
        <f t="shared" si="2"/>
        <v>27</v>
      </c>
      <c r="O6" s="28">
        <f t="shared" si="3"/>
        <v>21</v>
      </c>
      <c r="P6" s="28">
        <f t="shared" si="4"/>
        <v>12</v>
      </c>
      <c r="Q6" s="27">
        <f t="shared" si="5"/>
        <v>9735</v>
      </c>
      <c r="R6" s="27">
        <f t="shared" si="6"/>
        <v>4080</v>
      </c>
      <c r="S6" s="25">
        <f t="shared" si="7"/>
        <v>0.58089368258859786</v>
      </c>
      <c r="T6" s="25">
        <f t="shared" si="8"/>
        <v>7.3343605546995372E-2</v>
      </c>
      <c r="U6" s="27">
        <f t="shared" si="9"/>
        <v>5223</v>
      </c>
      <c r="V6" s="25">
        <f t="shared" si="10"/>
        <v>0.53651771956856698</v>
      </c>
      <c r="W6" s="27">
        <f t="shared" si="11"/>
        <v>1020</v>
      </c>
      <c r="X6" s="26" t="str">
        <f t="shared" si="12"/>
        <v/>
      </c>
    </row>
    <row r="7" spans="1:24" ht="15" customHeight="1" x14ac:dyDescent="0.35">
      <c r="A7" s="20"/>
      <c r="B7" s="20"/>
      <c r="C7" s="21"/>
      <c r="D7" s="22"/>
      <c r="E7" s="22"/>
      <c r="F7" s="23"/>
      <c r="G7" s="23"/>
      <c r="H7" s="23"/>
      <c r="I7" s="22"/>
      <c r="J7" s="24" t="str">
        <f>IF(E7="","",E7/(1+Settings!$B$3))</f>
        <v/>
      </c>
      <c r="K7" s="25" t="str">
        <f t="shared" si="0"/>
        <v/>
      </c>
      <c r="L7" s="26" t="str">
        <f>IF(K7="","",IF(K7&lt;Settings!$B$4,"Below target",""))</f>
        <v/>
      </c>
      <c r="M7" s="27" t="str">
        <f t="shared" si="1"/>
        <v/>
      </c>
      <c r="N7" s="28" t="str">
        <f t="shared" si="2"/>
        <v/>
      </c>
      <c r="O7" s="28" t="str">
        <f t="shared" si="3"/>
        <v/>
      </c>
      <c r="P7" s="28" t="str">
        <f t="shared" si="4"/>
        <v/>
      </c>
      <c r="Q7" s="27" t="str">
        <f t="shared" si="5"/>
        <v/>
      </c>
      <c r="R7" s="27" t="str">
        <f t="shared" si="6"/>
        <v/>
      </c>
      <c r="S7" s="25" t="str">
        <f t="shared" si="7"/>
        <v/>
      </c>
      <c r="T7" s="25" t="str">
        <f t="shared" si="8"/>
        <v/>
      </c>
      <c r="U7" s="27" t="str">
        <f t="shared" si="9"/>
        <v/>
      </c>
      <c r="V7" s="25" t="str">
        <f t="shared" si="10"/>
        <v/>
      </c>
      <c r="W7" s="27" t="str">
        <f t="shared" si="11"/>
        <v/>
      </c>
      <c r="X7" s="26" t="str">
        <f t="shared" si="12"/>
        <v/>
      </c>
    </row>
    <row r="8" spans="1:24" ht="15" customHeight="1" x14ac:dyDescent="0.35">
      <c r="A8" s="20"/>
      <c r="B8" s="20"/>
      <c r="C8" s="21"/>
      <c r="D8" s="22"/>
      <c r="E8" s="22"/>
      <c r="F8" s="23"/>
      <c r="G8" s="23"/>
      <c r="H8" s="23"/>
      <c r="I8" s="22"/>
      <c r="J8" s="24" t="str">
        <f>IF(E8="","",E8/(1+Settings!$B$3))</f>
        <v/>
      </c>
      <c r="K8" s="25" t="str">
        <f t="shared" si="0"/>
        <v/>
      </c>
      <c r="L8" s="26" t="str">
        <f>IF(K8="","",IF(K8&lt;Settings!$B$4,"Below target",""))</f>
        <v/>
      </c>
      <c r="M8" s="27" t="str">
        <f t="shared" si="1"/>
        <v/>
      </c>
      <c r="N8" s="28" t="str">
        <f t="shared" si="2"/>
        <v/>
      </c>
      <c r="O8" s="28" t="str">
        <f t="shared" si="3"/>
        <v/>
      </c>
      <c r="P8" s="28" t="str">
        <f t="shared" si="4"/>
        <v/>
      </c>
      <c r="Q8" s="27" t="str">
        <f t="shared" si="5"/>
        <v/>
      </c>
      <c r="R8" s="27" t="str">
        <f t="shared" si="6"/>
        <v/>
      </c>
      <c r="S8" s="25" t="str">
        <f t="shared" si="7"/>
        <v/>
      </c>
      <c r="T8" s="25" t="str">
        <f t="shared" si="8"/>
        <v/>
      </c>
      <c r="U8" s="27" t="str">
        <f t="shared" si="9"/>
        <v/>
      </c>
      <c r="V8" s="25" t="str">
        <f t="shared" si="10"/>
        <v/>
      </c>
      <c r="W8" s="27" t="str">
        <f t="shared" si="11"/>
        <v/>
      </c>
      <c r="X8" s="26" t="str">
        <f t="shared" si="12"/>
        <v/>
      </c>
    </row>
    <row r="9" spans="1:24" ht="15" customHeight="1" x14ac:dyDescent="0.35">
      <c r="A9" s="20"/>
      <c r="B9" s="20"/>
      <c r="C9" s="21"/>
      <c r="D9" s="22"/>
      <c r="E9" s="22"/>
      <c r="F9" s="23"/>
      <c r="G9" s="23"/>
      <c r="H9" s="23"/>
      <c r="I9" s="22"/>
      <c r="J9" s="24" t="str">
        <f>IF(E9="","",E9/(1+Settings!$B$3))</f>
        <v/>
      </c>
      <c r="K9" s="25" t="str">
        <f t="shared" si="0"/>
        <v/>
      </c>
      <c r="L9" s="26" t="str">
        <f>IF(K9="","",IF(K9&lt;Settings!$B$4,"Below target",""))</f>
        <v/>
      </c>
      <c r="M9" s="27" t="str">
        <f t="shared" si="1"/>
        <v/>
      </c>
      <c r="N9" s="28" t="str">
        <f t="shared" si="2"/>
        <v/>
      </c>
      <c r="O9" s="28" t="str">
        <f t="shared" si="3"/>
        <v/>
      </c>
      <c r="P9" s="28" t="str">
        <f t="shared" si="4"/>
        <v/>
      </c>
      <c r="Q9" s="27" t="str">
        <f t="shared" si="5"/>
        <v/>
      </c>
      <c r="R9" s="27" t="str">
        <f t="shared" si="6"/>
        <v/>
      </c>
      <c r="S9" s="25" t="str">
        <f t="shared" si="7"/>
        <v/>
      </c>
      <c r="T9" s="25" t="str">
        <f t="shared" si="8"/>
        <v/>
      </c>
      <c r="U9" s="27" t="str">
        <f t="shared" si="9"/>
        <v/>
      </c>
      <c r="V9" s="25" t="str">
        <f t="shared" si="10"/>
        <v/>
      </c>
      <c r="W9" s="27" t="str">
        <f t="shared" si="11"/>
        <v/>
      </c>
      <c r="X9" s="26" t="str">
        <f t="shared" si="12"/>
        <v/>
      </c>
    </row>
    <row r="10" spans="1:24" ht="15" customHeight="1" x14ac:dyDescent="0.35">
      <c r="A10" s="20"/>
      <c r="B10" s="20"/>
      <c r="C10" s="21"/>
      <c r="D10" s="22"/>
      <c r="E10" s="22"/>
      <c r="F10" s="23"/>
      <c r="G10" s="23"/>
      <c r="H10" s="23"/>
      <c r="I10" s="22"/>
      <c r="J10" s="24" t="str">
        <f>IF(E10="","",E10/(1+Settings!$B$3))</f>
        <v/>
      </c>
      <c r="K10" s="25" t="str">
        <f t="shared" si="0"/>
        <v/>
      </c>
      <c r="L10" s="26" t="str">
        <f>IF(K10="","",IF(K10&lt;Settings!$B$4,"Below target",""))</f>
        <v/>
      </c>
      <c r="M10" s="27" t="str">
        <f t="shared" si="1"/>
        <v/>
      </c>
      <c r="N10" s="28" t="str">
        <f t="shared" si="2"/>
        <v/>
      </c>
      <c r="O10" s="28" t="str">
        <f t="shared" si="3"/>
        <v/>
      </c>
      <c r="P10" s="28" t="str">
        <f t="shared" si="4"/>
        <v/>
      </c>
      <c r="Q10" s="27" t="str">
        <f t="shared" si="5"/>
        <v/>
      </c>
      <c r="R10" s="27" t="str">
        <f t="shared" si="6"/>
        <v/>
      </c>
      <c r="S10" s="25" t="str">
        <f t="shared" si="7"/>
        <v/>
      </c>
      <c r="T10" s="25" t="str">
        <f t="shared" si="8"/>
        <v/>
      </c>
      <c r="U10" s="27" t="str">
        <f t="shared" si="9"/>
        <v/>
      </c>
      <c r="V10" s="25" t="str">
        <f t="shared" si="10"/>
        <v/>
      </c>
      <c r="W10" s="27" t="str">
        <f t="shared" si="11"/>
        <v/>
      </c>
      <c r="X10" s="26" t="str">
        <f t="shared" si="12"/>
        <v/>
      </c>
    </row>
    <row r="11" spans="1:24" ht="15" customHeight="1" x14ac:dyDescent="0.35">
      <c r="A11" s="20"/>
      <c r="B11" s="20"/>
      <c r="C11" s="21"/>
      <c r="D11" s="22"/>
      <c r="E11" s="22"/>
      <c r="F11" s="23"/>
      <c r="G11" s="23"/>
      <c r="H11" s="23"/>
      <c r="I11" s="22"/>
      <c r="J11" s="24" t="str">
        <f>IF(E11="","",E11/(1+Settings!$B$3))</f>
        <v/>
      </c>
      <c r="K11" s="25" t="str">
        <f t="shared" si="0"/>
        <v/>
      </c>
      <c r="L11" s="26" t="str">
        <f>IF(K11="","",IF(K11&lt;Settings!$B$4,"Below target",""))</f>
        <v/>
      </c>
      <c r="M11" s="27" t="str">
        <f t="shared" si="1"/>
        <v/>
      </c>
      <c r="N11" s="28" t="str">
        <f t="shared" si="2"/>
        <v/>
      </c>
      <c r="O11" s="28" t="str">
        <f t="shared" si="3"/>
        <v/>
      </c>
      <c r="P11" s="28" t="str">
        <f t="shared" si="4"/>
        <v/>
      </c>
      <c r="Q11" s="27" t="str">
        <f t="shared" si="5"/>
        <v/>
      </c>
      <c r="R11" s="27" t="str">
        <f t="shared" si="6"/>
        <v/>
      </c>
      <c r="S11" s="25" t="str">
        <f t="shared" si="7"/>
        <v/>
      </c>
      <c r="T11" s="25" t="str">
        <f t="shared" si="8"/>
        <v/>
      </c>
      <c r="U11" s="27" t="str">
        <f t="shared" si="9"/>
        <v/>
      </c>
      <c r="V11" s="25" t="str">
        <f t="shared" si="10"/>
        <v/>
      </c>
      <c r="W11" s="27" t="str">
        <f t="shared" si="11"/>
        <v/>
      </c>
      <c r="X11" s="26" t="str">
        <f t="shared" si="12"/>
        <v/>
      </c>
    </row>
    <row r="12" spans="1:24" ht="15" customHeight="1" x14ac:dyDescent="0.35">
      <c r="A12" s="20"/>
      <c r="B12" s="20"/>
      <c r="C12" s="21"/>
      <c r="D12" s="22"/>
      <c r="E12" s="22"/>
      <c r="F12" s="23"/>
      <c r="G12" s="23"/>
      <c r="H12" s="23"/>
      <c r="I12" s="22"/>
      <c r="J12" s="24" t="str">
        <f>IF(E12="","",E12/(1+Settings!$B$3))</f>
        <v/>
      </c>
      <c r="K12" s="25" t="str">
        <f t="shared" si="0"/>
        <v/>
      </c>
      <c r="L12" s="26" t="str">
        <f>IF(K12="","",IF(K12&lt;Settings!$B$4,"Below target",""))</f>
        <v/>
      </c>
      <c r="M12" s="27" t="str">
        <f t="shared" si="1"/>
        <v/>
      </c>
      <c r="N12" s="28" t="str">
        <f t="shared" si="2"/>
        <v/>
      </c>
      <c r="O12" s="28" t="str">
        <f t="shared" si="3"/>
        <v/>
      </c>
      <c r="P12" s="28" t="str">
        <f t="shared" si="4"/>
        <v/>
      </c>
      <c r="Q12" s="27" t="str">
        <f t="shared" si="5"/>
        <v/>
      </c>
      <c r="R12" s="27" t="str">
        <f t="shared" si="6"/>
        <v/>
      </c>
      <c r="S12" s="25" t="str">
        <f t="shared" si="7"/>
        <v/>
      </c>
      <c r="T12" s="25" t="str">
        <f t="shared" si="8"/>
        <v/>
      </c>
      <c r="U12" s="27" t="str">
        <f t="shared" si="9"/>
        <v/>
      </c>
      <c r="V12" s="25" t="str">
        <f t="shared" si="10"/>
        <v/>
      </c>
      <c r="W12" s="27" t="str">
        <f t="shared" si="11"/>
        <v/>
      </c>
      <c r="X12" s="26" t="str">
        <f t="shared" si="12"/>
        <v/>
      </c>
    </row>
    <row r="13" spans="1:24" ht="15" customHeight="1" x14ac:dyDescent="0.35">
      <c r="A13" s="20"/>
      <c r="B13" s="20"/>
      <c r="C13" s="21"/>
      <c r="D13" s="22"/>
      <c r="E13" s="22"/>
      <c r="F13" s="23"/>
      <c r="G13" s="23"/>
      <c r="H13" s="23"/>
      <c r="I13" s="22"/>
      <c r="J13" s="24" t="str">
        <f>IF(E13="","",E13/(1+Settings!$B$3))</f>
        <v/>
      </c>
      <c r="K13" s="25" t="str">
        <f t="shared" si="0"/>
        <v/>
      </c>
      <c r="L13" s="26" t="str">
        <f>IF(K13="","",IF(K13&lt;Settings!$B$4,"Below target",""))</f>
        <v/>
      </c>
      <c r="M13" s="27" t="str">
        <f t="shared" si="1"/>
        <v/>
      </c>
      <c r="N13" s="28" t="str">
        <f t="shared" si="2"/>
        <v/>
      </c>
      <c r="O13" s="28" t="str">
        <f t="shared" si="3"/>
        <v/>
      </c>
      <c r="P13" s="28" t="str">
        <f t="shared" si="4"/>
        <v/>
      </c>
      <c r="Q13" s="27" t="str">
        <f t="shared" si="5"/>
        <v/>
      </c>
      <c r="R13" s="27" t="str">
        <f t="shared" si="6"/>
        <v/>
      </c>
      <c r="S13" s="25" t="str">
        <f t="shared" si="7"/>
        <v/>
      </c>
      <c r="T13" s="25" t="str">
        <f t="shared" si="8"/>
        <v/>
      </c>
      <c r="U13" s="27" t="str">
        <f t="shared" si="9"/>
        <v/>
      </c>
      <c r="V13" s="25" t="str">
        <f t="shared" si="10"/>
        <v/>
      </c>
      <c r="W13" s="27" t="str">
        <f t="shared" si="11"/>
        <v/>
      </c>
      <c r="X13" s="26" t="str">
        <f t="shared" si="12"/>
        <v/>
      </c>
    </row>
    <row r="14" spans="1:24" ht="15" customHeight="1" x14ac:dyDescent="0.35">
      <c r="A14" s="20"/>
      <c r="B14" s="20"/>
      <c r="C14" s="21"/>
      <c r="D14" s="22"/>
      <c r="E14" s="22"/>
      <c r="F14" s="23"/>
      <c r="G14" s="23"/>
      <c r="H14" s="23"/>
      <c r="I14" s="22"/>
      <c r="J14" s="24" t="str">
        <f>IF(E14="","",E14/(1+Settings!$B$3))</f>
        <v/>
      </c>
      <c r="K14" s="25" t="str">
        <f t="shared" si="0"/>
        <v/>
      </c>
      <c r="L14" s="26" t="str">
        <f>IF(K14="","",IF(K14&lt;Settings!$B$4,"Below target",""))</f>
        <v/>
      </c>
      <c r="M14" s="27" t="str">
        <f t="shared" si="1"/>
        <v/>
      </c>
      <c r="N14" s="28" t="str">
        <f t="shared" si="2"/>
        <v/>
      </c>
      <c r="O14" s="28" t="str">
        <f t="shared" si="3"/>
        <v/>
      </c>
      <c r="P14" s="28" t="str">
        <f t="shared" si="4"/>
        <v/>
      </c>
      <c r="Q14" s="27" t="str">
        <f t="shared" si="5"/>
        <v/>
      </c>
      <c r="R14" s="27" t="str">
        <f t="shared" si="6"/>
        <v/>
      </c>
      <c r="S14" s="25" t="str">
        <f t="shared" si="7"/>
        <v/>
      </c>
      <c r="T14" s="25" t="str">
        <f t="shared" si="8"/>
        <v/>
      </c>
      <c r="U14" s="27" t="str">
        <f t="shared" si="9"/>
        <v/>
      </c>
      <c r="V14" s="25" t="str">
        <f t="shared" si="10"/>
        <v/>
      </c>
      <c r="W14" s="27" t="str">
        <f t="shared" si="11"/>
        <v/>
      </c>
      <c r="X14" s="26" t="str">
        <f t="shared" si="12"/>
        <v/>
      </c>
    </row>
    <row r="15" spans="1:24" ht="15" customHeight="1" x14ac:dyDescent="0.35">
      <c r="A15" s="20"/>
      <c r="B15" s="20"/>
      <c r="C15" s="21"/>
      <c r="D15" s="22"/>
      <c r="E15" s="22"/>
      <c r="F15" s="23"/>
      <c r="G15" s="23"/>
      <c r="H15" s="23"/>
      <c r="I15" s="22"/>
      <c r="J15" s="24" t="str">
        <f>IF(E15="","",E15/(1+Settings!$B$3))</f>
        <v/>
      </c>
      <c r="K15" s="25" t="str">
        <f t="shared" si="0"/>
        <v/>
      </c>
      <c r="L15" s="26" t="str">
        <f>IF(K15="","",IF(K15&lt;Settings!$B$4,"Below target",""))</f>
        <v/>
      </c>
      <c r="M15" s="27" t="str">
        <f t="shared" si="1"/>
        <v/>
      </c>
      <c r="N15" s="28" t="str">
        <f t="shared" si="2"/>
        <v/>
      </c>
      <c r="O15" s="28" t="str">
        <f t="shared" si="3"/>
        <v/>
      </c>
      <c r="P15" s="28" t="str">
        <f t="shared" si="4"/>
        <v/>
      </c>
      <c r="Q15" s="27" t="str">
        <f t="shared" si="5"/>
        <v/>
      </c>
      <c r="R15" s="27" t="str">
        <f t="shared" si="6"/>
        <v/>
      </c>
      <c r="S15" s="25" t="str">
        <f t="shared" si="7"/>
        <v/>
      </c>
      <c r="T15" s="25" t="str">
        <f t="shared" si="8"/>
        <v/>
      </c>
      <c r="U15" s="27" t="str">
        <f t="shared" si="9"/>
        <v/>
      </c>
      <c r="V15" s="25" t="str">
        <f t="shared" si="10"/>
        <v/>
      </c>
      <c r="W15" s="27" t="str">
        <f t="shared" si="11"/>
        <v/>
      </c>
      <c r="X15" s="26" t="str">
        <f t="shared" si="12"/>
        <v/>
      </c>
    </row>
    <row r="16" spans="1:24" ht="15" customHeight="1" x14ac:dyDescent="0.35">
      <c r="A16" s="20"/>
      <c r="B16" s="20"/>
      <c r="C16" s="21"/>
      <c r="D16" s="22"/>
      <c r="E16" s="22"/>
      <c r="F16" s="23"/>
      <c r="G16" s="23"/>
      <c r="H16" s="23"/>
      <c r="I16" s="22"/>
      <c r="J16" s="24" t="str">
        <f>IF(E16="","",E16/(1+Settings!$B$3))</f>
        <v/>
      </c>
      <c r="K16" s="25" t="str">
        <f t="shared" si="0"/>
        <v/>
      </c>
      <c r="L16" s="26" t="str">
        <f>IF(K16="","",IF(K16&lt;Settings!$B$4,"Below target",""))</f>
        <v/>
      </c>
      <c r="M16" s="27" t="str">
        <f t="shared" si="1"/>
        <v/>
      </c>
      <c r="N16" s="28" t="str">
        <f t="shared" si="2"/>
        <v/>
      </c>
      <c r="O16" s="28" t="str">
        <f t="shared" si="3"/>
        <v/>
      </c>
      <c r="P16" s="28" t="str">
        <f t="shared" si="4"/>
        <v/>
      </c>
      <c r="Q16" s="27" t="str">
        <f t="shared" si="5"/>
        <v/>
      </c>
      <c r="R16" s="27" t="str">
        <f t="shared" si="6"/>
        <v/>
      </c>
      <c r="S16" s="25" t="str">
        <f t="shared" si="7"/>
        <v/>
      </c>
      <c r="T16" s="25" t="str">
        <f t="shared" si="8"/>
        <v/>
      </c>
      <c r="U16" s="27" t="str">
        <f t="shared" si="9"/>
        <v/>
      </c>
      <c r="V16" s="25" t="str">
        <f t="shared" si="10"/>
        <v/>
      </c>
      <c r="W16" s="27" t="str">
        <f t="shared" si="11"/>
        <v/>
      </c>
      <c r="X16" s="26" t="str">
        <f t="shared" si="12"/>
        <v/>
      </c>
    </row>
    <row r="17" spans="1:24" ht="15" customHeight="1" x14ac:dyDescent="0.35">
      <c r="A17" s="20"/>
      <c r="B17" s="20"/>
      <c r="C17" s="21"/>
      <c r="D17" s="22"/>
      <c r="E17" s="22"/>
      <c r="F17" s="23"/>
      <c r="G17" s="23"/>
      <c r="H17" s="23"/>
      <c r="I17" s="22"/>
      <c r="J17" s="24" t="str">
        <f>IF(E17="","",E17/(1+Settings!$B$3))</f>
        <v/>
      </c>
      <c r="K17" s="25" t="str">
        <f t="shared" si="0"/>
        <v/>
      </c>
      <c r="L17" s="26" t="str">
        <f>IF(K17="","",IF(K17&lt;Settings!$B$4,"Below target",""))</f>
        <v/>
      </c>
      <c r="M17" s="27" t="str">
        <f t="shared" si="1"/>
        <v/>
      </c>
      <c r="N17" s="28" t="str">
        <f t="shared" si="2"/>
        <v/>
      </c>
      <c r="O17" s="28" t="str">
        <f t="shared" si="3"/>
        <v/>
      </c>
      <c r="P17" s="28" t="str">
        <f t="shared" si="4"/>
        <v/>
      </c>
      <c r="Q17" s="27" t="str">
        <f t="shared" si="5"/>
        <v/>
      </c>
      <c r="R17" s="27" t="str">
        <f t="shared" si="6"/>
        <v/>
      </c>
      <c r="S17" s="25" t="str">
        <f t="shared" si="7"/>
        <v/>
      </c>
      <c r="T17" s="25" t="str">
        <f t="shared" si="8"/>
        <v/>
      </c>
      <c r="U17" s="27" t="str">
        <f t="shared" si="9"/>
        <v/>
      </c>
      <c r="V17" s="25" t="str">
        <f t="shared" si="10"/>
        <v/>
      </c>
      <c r="W17" s="27" t="str">
        <f t="shared" si="11"/>
        <v/>
      </c>
      <c r="X17" s="26" t="str">
        <f t="shared" si="12"/>
        <v/>
      </c>
    </row>
    <row r="18" spans="1:24" ht="15" customHeight="1" x14ac:dyDescent="0.35">
      <c r="A18" s="20"/>
      <c r="B18" s="20"/>
      <c r="C18" s="21"/>
      <c r="D18" s="22"/>
      <c r="E18" s="22"/>
      <c r="F18" s="23"/>
      <c r="G18" s="23"/>
      <c r="H18" s="23"/>
      <c r="I18" s="22"/>
      <c r="J18" s="24" t="str">
        <f>IF(E18="","",E18/(1+Settings!$B$3))</f>
        <v/>
      </c>
      <c r="K18" s="25" t="str">
        <f t="shared" si="0"/>
        <v/>
      </c>
      <c r="L18" s="26" t="str">
        <f>IF(K18="","",IF(K18&lt;Settings!$B$4,"Below target",""))</f>
        <v/>
      </c>
      <c r="M18" s="27" t="str">
        <f t="shared" si="1"/>
        <v/>
      </c>
      <c r="N18" s="28" t="str">
        <f t="shared" si="2"/>
        <v/>
      </c>
      <c r="O18" s="28" t="str">
        <f t="shared" si="3"/>
        <v/>
      </c>
      <c r="P18" s="28" t="str">
        <f t="shared" si="4"/>
        <v/>
      </c>
      <c r="Q18" s="27" t="str">
        <f t="shared" si="5"/>
        <v/>
      </c>
      <c r="R18" s="27" t="str">
        <f t="shared" si="6"/>
        <v/>
      </c>
      <c r="S18" s="25" t="str">
        <f t="shared" si="7"/>
        <v/>
      </c>
      <c r="T18" s="25" t="str">
        <f t="shared" si="8"/>
        <v/>
      </c>
      <c r="U18" s="27" t="str">
        <f t="shared" si="9"/>
        <v/>
      </c>
      <c r="V18" s="25" t="str">
        <f t="shared" si="10"/>
        <v/>
      </c>
      <c r="W18" s="27" t="str">
        <f t="shared" si="11"/>
        <v/>
      </c>
      <c r="X18" s="26" t="str">
        <f t="shared" si="12"/>
        <v/>
      </c>
    </row>
    <row r="19" spans="1:24" ht="15" customHeight="1" x14ac:dyDescent="0.35">
      <c r="A19" s="20"/>
      <c r="B19" s="20"/>
      <c r="C19" s="21"/>
      <c r="D19" s="22"/>
      <c r="E19" s="22"/>
      <c r="F19" s="23"/>
      <c r="G19" s="23"/>
      <c r="H19" s="23"/>
      <c r="I19" s="22"/>
      <c r="J19" s="24" t="str">
        <f>IF(E19="","",E19/(1+Settings!$B$3))</f>
        <v/>
      </c>
      <c r="K19" s="25" t="str">
        <f t="shared" si="0"/>
        <v/>
      </c>
      <c r="L19" s="26" t="str">
        <f>IF(K19="","",IF(K19&lt;Settings!$B$4,"Below target",""))</f>
        <v/>
      </c>
      <c r="M19" s="27" t="str">
        <f t="shared" si="1"/>
        <v/>
      </c>
      <c r="N19" s="28" t="str">
        <f t="shared" si="2"/>
        <v/>
      </c>
      <c r="O19" s="28" t="str">
        <f t="shared" si="3"/>
        <v/>
      </c>
      <c r="P19" s="28" t="str">
        <f t="shared" si="4"/>
        <v/>
      </c>
      <c r="Q19" s="27" t="str">
        <f t="shared" si="5"/>
        <v/>
      </c>
      <c r="R19" s="27" t="str">
        <f t="shared" si="6"/>
        <v/>
      </c>
      <c r="S19" s="25" t="str">
        <f t="shared" si="7"/>
        <v/>
      </c>
      <c r="T19" s="25" t="str">
        <f t="shared" si="8"/>
        <v/>
      </c>
      <c r="U19" s="27" t="str">
        <f t="shared" si="9"/>
        <v/>
      </c>
      <c r="V19" s="25" t="str">
        <f t="shared" si="10"/>
        <v/>
      </c>
      <c r="W19" s="27" t="str">
        <f t="shared" si="11"/>
        <v/>
      </c>
      <c r="X19" s="26" t="str">
        <f t="shared" si="12"/>
        <v/>
      </c>
    </row>
    <row r="20" spans="1:24" ht="15" customHeight="1" x14ac:dyDescent="0.35">
      <c r="A20" s="20"/>
      <c r="B20" s="20"/>
      <c r="C20" s="21"/>
      <c r="D20" s="22"/>
      <c r="E20" s="22"/>
      <c r="F20" s="23"/>
      <c r="G20" s="23"/>
      <c r="H20" s="23"/>
      <c r="I20" s="22"/>
      <c r="J20" s="24" t="str">
        <f>IF(E20="","",E20/(1+Settings!$B$3))</f>
        <v/>
      </c>
      <c r="K20" s="25" t="str">
        <f t="shared" si="0"/>
        <v/>
      </c>
      <c r="L20" s="26" t="str">
        <f>IF(K20="","",IF(K20&lt;Settings!$B$4,"Below target",""))</f>
        <v/>
      </c>
      <c r="M20" s="27" t="str">
        <f t="shared" si="1"/>
        <v/>
      </c>
      <c r="N20" s="28" t="str">
        <f t="shared" si="2"/>
        <v/>
      </c>
      <c r="O20" s="28" t="str">
        <f t="shared" si="3"/>
        <v/>
      </c>
      <c r="P20" s="28" t="str">
        <f t="shared" si="4"/>
        <v/>
      </c>
      <c r="Q20" s="27" t="str">
        <f t="shared" si="5"/>
        <v/>
      </c>
      <c r="R20" s="27" t="str">
        <f t="shared" si="6"/>
        <v/>
      </c>
      <c r="S20" s="25" t="str">
        <f t="shared" si="7"/>
        <v/>
      </c>
      <c r="T20" s="25" t="str">
        <f t="shared" si="8"/>
        <v/>
      </c>
      <c r="U20" s="27" t="str">
        <f t="shared" si="9"/>
        <v/>
      </c>
      <c r="V20" s="25" t="str">
        <f t="shared" si="10"/>
        <v/>
      </c>
      <c r="W20" s="27" t="str">
        <f t="shared" si="11"/>
        <v/>
      </c>
      <c r="X20" s="26" t="str">
        <f t="shared" si="12"/>
        <v/>
      </c>
    </row>
    <row r="21" spans="1:24" ht="15" customHeight="1" x14ac:dyDescent="0.35">
      <c r="A21" s="20"/>
      <c r="B21" s="20"/>
      <c r="C21" s="21"/>
      <c r="D21" s="22"/>
      <c r="E21" s="22"/>
      <c r="F21" s="23"/>
      <c r="G21" s="23"/>
      <c r="H21" s="23"/>
      <c r="I21" s="22"/>
      <c r="J21" s="24" t="str">
        <f>IF(E21="","",E21/(1+Settings!$B$3))</f>
        <v/>
      </c>
      <c r="K21" s="25" t="str">
        <f t="shared" si="0"/>
        <v/>
      </c>
      <c r="L21" s="26" t="str">
        <f>IF(K21="","",IF(K21&lt;Settings!$B$4,"Below target",""))</f>
        <v/>
      </c>
      <c r="M21" s="27" t="str">
        <f t="shared" si="1"/>
        <v/>
      </c>
      <c r="N21" s="28" t="str">
        <f t="shared" si="2"/>
        <v/>
      </c>
      <c r="O21" s="28" t="str">
        <f t="shared" si="3"/>
        <v/>
      </c>
      <c r="P21" s="28" t="str">
        <f t="shared" si="4"/>
        <v/>
      </c>
      <c r="Q21" s="27" t="str">
        <f t="shared" si="5"/>
        <v/>
      </c>
      <c r="R21" s="27" t="str">
        <f t="shared" si="6"/>
        <v/>
      </c>
      <c r="S21" s="25" t="str">
        <f t="shared" si="7"/>
        <v/>
      </c>
      <c r="T21" s="25" t="str">
        <f t="shared" si="8"/>
        <v/>
      </c>
      <c r="U21" s="27" t="str">
        <f t="shared" si="9"/>
        <v/>
      </c>
      <c r="V21" s="25" t="str">
        <f t="shared" si="10"/>
        <v/>
      </c>
      <c r="W21" s="27" t="str">
        <f t="shared" si="11"/>
        <v/>
      </c>
      <c r="X21" s="26" t="str">
        <f t="shared" si="12"/>
        <v/>
      </c>
    </row>
    <row r="22" spans="1:24" ht="15" customHeight="1" x14ac:dyDescent="0.35">
      <c r="A22" s="20"/>
      <c r="B22" s="20"/>
      <c r="C22" s="21"/>
      <c r="D22" s="22"/>
      <c r="E22" s="22"/>
      <c r="F22" s="23"/>
      <c r="G22" s="23"/>
      <c r="H22" s="23"/>
      <c r="I22" s="22"/>
      <c r="J22" s="24" t="str">
        <f>IF(E22="","",E22/(1+Settings!$B$3))</f>
        <v/>
      </c>
      <c r="K22" s="25" t="str">
        <f t="shared" si="0"/>
        <v/>
      </c>
      <c r="L22" s="26" t="str">
        <f>IF(K22="","",IF(K22&lt;Settings!$B$4,"Below target",""))</f>
        <v/>
      </c>
      <c r="M22" s="27" t="str">
        <f t="shared" si="1"/>
        <v/>
      </c>
      <c r="N22" s="28" t="str">
        <f t="shared" si="2"/>
        <v/>
      </c>
      <c r="O22" s="28" t="str">
        <f t="shared" si="3"/>
        <v/>
      </c>
      <c r="P22" s="28" t="str">
        <f t="shared" si="4"/>
        <v/>
      </c>
      <c r="Q22" s="27" t="str">
        <f t="shared" si="5"/>
        <v/>
      </c>
      <c r="R22" s="27" t="str">
        <f t="shared" si="6"/>
        <v/>
      </c>
      <c r="S22" s="25" t="str">
        <f t="shared" si="7"/>
        <v/>
      </c>
      <c r="T22" s="25" t="str">
        <f t="shared" si="8"/>
        <v/>
      </c>
      <c r="U22" s="27" t="str">
        <f t="shared" si="9"/>
        <v/>
      </c>
      <c r="V22" s="25" t="str">
        <f t="shared" si="10"/>
        <v/>
      </c>
      <c r="W22" s="27" t="str">
        <f t="shared" si="11"/>
        <v/>
      </c>
      <c r="X22" s="26" t="str">
        <f t="shared" si="12"/>
        <v/>
      </c>
    </row>
    <row r="23" spans="1:24" ht="15" customHeight="1" x14ac:dyDescent="0.35">
      <c r="A23" s="20"/>
      <c r="B23" s="20"/>
      <c r="C23" s="21"/>
      <c r="D23" s="22"/>
      <c r="E23" s="22"/>
      <c r="F23" s="23"/>
      <c r="G23" s="23"/>
      <c r="H23" s="23"/>
      <c r="I23" s="22"/>
      <c r="J23" s="24" t="str">
        <f>IF(E23="","",E23/(1+Settings!$B$3))</f>
        <v/>
      </c>
      <c r="K23" s="25" t="str">
        <f t="shared" si="0"/>
        <v/>
      </c>
      <c r="L23" s="26" t="str">
        <f>IF(K23="","",IF(K23&lt;Settings!$B$4,"Below target",""))</f>
        <v/>
      </c>
      <c r="M23" s="27" t="str">
        <f t="shared" si="1"/>
        <v/>
      </c>
      <c r="N23" s="28" t="str">
        <f t="shared" si="2"/>
        <v/>
      </c>
      <c r="O23" s="28" t="str">
        <f t="shared" si="3"/>
        <v/>
      </c>
      <c r="P23" s="28" t="str">
        <f t="shared" si="4"/>
        <v/>
      </c>
      <c r="Q23" s="27" t="str">
        <f t="shared" si="5"/>
        <v/>
      </c>
      <c r="R23" s="27" t="str">
        <f t="shared" si="6"/>
        <v/>
      </c>
      <c r="S23" s="25" t="str">
        <f t="shared" si="7"/>
        <v/>
      </c>
      <c r="T23" s="25" t="str">
        <f t="shared" si="8"/>
        <v/>
      </c>
      <c r="U23" s="27" t="str">
        <f t="shared" si="9"/>
        <v/>
      </c>
      <c r="V23" s="25" t="str">
        <f t="shared" si="10"/>
        <v/>
      </c>
      <c r="W23" s="27" t="str">
        <f t="shared" si="11"/>
        <v/>
      </c>
      <c r="X23" s="26" t="str">
        <f t="shared" si="12"/>
        <v/>
      </c>
    </row>
    <row r="24" spans="1:24" ht="15" customHeight="1" x14ac:dyDescent="0.35">
      <c r="A24" s="20"/>
      <c r="B24" s="20"/>
      <c r="C24" s="21"/>
      <c r="D24" s="22"/>
      <c r="E24" s="22"/>
      <c r="F24" s="23"/>
      <c r="G24" s="23"/>
      <c r="H24" s="23"/>
      <c r="I24" s="22"/>
      <c r="J24" s="24" t="str">
        <f>IF(E24="","",E24/(1+Settings!$B$3))</f>
        <v/>
      </c>
      <c r="K24" s="25" t="str">
        <f t="shared" si="0"/>
        <v/>
      </c>
      <c r="L24" s="26" t="str">
        <f>IF(K24="","",IF(K24&lt;Settings!$B$4,"Below target",""))</f>
        <v/>
      </c>
      <c r="M24" s="27" t="str">
        <f t="shared" si="1"/>
        <v/>
      </c>
      <c r="N24" s="28" t="str">
        <f t="shared" si="2"/>
        <v/>
      </c>
      <c r="O24" s="28" t="str">
        <f t="shared" si="3"/>
        <v/>
      </c>
      <c r="P24" s="28" t="str">
        <f t="shared" si="4"/>
        <v/>
      </c>
      <c r="Q24" s="27" t="str">
        <f t="shared" si="5"/>
        <v/>
      </c>
      <c r="R24" s="27" t="str">
        <f t="shared" si="6"/>
        <v/>
      </c>
      <c r="S24" s="25" t="str">
        <f t="shared" si="7"/>
        <v/>
      </c>
      <c r="T24" s="25" t="str">
        <f t="shared" si="8"/>
        <v/>
      </c>
      <c r="U24" s="27" t="str">
        <f t="shared" si="9"/>
        <v/>
      </c>
      <c r="V24" s="25" t="str">
        <f t="shared" si="10"/>
        <v/>
      </c>
      <c r="W24" s="27" t="str">
        <f t="shared" si="11"/>
        <v/>
      </c>
      <c r="X24" s="26" t="str">
        <f t="shared" si="12"/>
        <v/>
      </c>
    </row>
    <row r="25" spans="1:24" ht="15" customHeight="1" x14ac:dyDescent="0.35">
      <c r="A25" s="29" t="s">
        <v>72</v>
      </c>
      <c r="B25" s="29"/>
      <c r="C25" s="30">
        <f>SUM(C5:C24)</f>
        <v>260</v>
      </c>
      <c r="D25" s="29"/>
      <c r="E25" s="29"/>
      <c r="F25" s="29"/>
      <c r="G25" s="29"/>
      <c r="H25" s="29"/>
      <c r="I25" s="29"/>
      <c r="J25" s="29"/>
      <c r="K25" s="31">
        <f>IFERROR((SUMPRODUCT(C5:C24,J5:J24)-M25)/SUMPRODUCT(C5:C24,J5:J24),0)</f>
        <v>0.61212121212121207</v>
      </c>
      <c r="L25" s="29"/>
      <c r="M25" s="32">
        <f t="shared" ref="M25:R25" si="13">SUM(M5:M24)</f>
        <v>9600</v>
      </c>
      <c r="N25" s="30">
        <f t="shared" si="13"/>
        <v>147</v>
      </c>
      <c r="O25" s="30">
        <f t="shared" si="13"/>
        <v>71</v>
      </c>
      <c r="P25" s="30">
        <f t="shared" si="13"/>
        <v>42</v>
      </c>
      <c r="Q25" s="32">
        <f t="shared" si="13"/>
        <v>17485</v>
      </c>
      <c r="R25" s="32">
        <f t="shared" si="13"/>
        <v>7905</v>
      </c>
      <c r="S25" s="31">
        <f>IFERROR((Q25-R25)/Q25,0)</f>
        <v>0.54789819845581922</v>
      </c>
      <c r="T25" s="31">
        <f>K25-S25</f>
        <v>6.4223013665392847E-2</v>
      </c>
      <c r="U25" s="32">
        <f>SUM(U5:U24)</f>
        <v>8128</v>
      </c>
      <c r="V25" s="31">
        <f>IFERROR(U25/Q25,0)</f>
        <v>0.46485559050614811</v>
      </c>
      <c r="W25" s="32">
        <f>SUM(W5:W24)</f>
        <v>1695</v>
      </c>
      <c r="X25" s="29"/>
    </row>
    <row r="27" spans="1:24" ht="15" customHeight="1" x14ac:dyDescent="0.35">
      <c r="A27" s="11" t="s">
        <v>73</v>
      </c>
    </row>
  </sheetData>
  <dataValidations count="1">
    <dataValidation type="decimal" showErrorMessage="1" error="Enter a percentage between 0% and 100%" sqref="F5:H24" xr:uid="{00000000-0002-0000-0300-000000000000}">
      <formula1>0</formula1>
      <formula2>1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Settings</vt:lpstr>
      <vt:lpstr>Margin Calculator</vt:lpstr>
      <vt:lpstr>Buy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Ian Kelly</cp:lastModifiedBy>
  <cp:revision>0</cp:revision>
  <dcterms:created xsi:type="dcterms:W3CDTF">2026-10-09T22:26:09Z</dcterms:created>
  <dcterms:modified xsi:type="dcterms:W3CDTF">2026-10-09T23:14:57Z</dcterms:modified>
  <dc:language>en-US</dc:language>
</cp:coreProperties>
</file>