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/>
  <xr:revisionPtr revIDLastSave="0" documentId="13_ncr:1_{4C902169-6D63-4C53-A39A-396D9AE53A3B}" xr6:coauthVersionLast="45" xr6:coauthVersionMax="45" xr10:uidLastSave="{00000000-0000-0000-0000-000000000000}"/>
  <bookViews>
    <workbookView xWindow="-120" yWindow="-120" windowWidth="29040" windowHeight="15840" tabRatio="716" xr2:uid="{00000000-000D-0000-FFFF-FFFF00000000}"/>
  </bookViews>
  <sheets>
    <sheet name="Sheet1" sheetId="10" r:id="rId1"/>
    <sheet name="Adj Model" sheetId="3" r:id="rId2"/>
    <sheet name="Fin Stmnts" sheetId="4" r:id="rId3"/>
    <sheet name="Cost of Cap" sheetId="5" r:id="rId4"/>
    <sheet name="Ln &amp; Int Sch" sheetId="6" r:id="rId5"/>
    <sheet name="Cost of Pwr" sheetId="7" r:id="rId6"/>
    <sheet name="Alpine" sheetId="8" r:id="rId7"/>
  </sheets>
  <definedNames>
    <definedName name="_xlnm.Print_Area" localSheetId="1">'Adj Model'!$A$6:$B$15,'Adj Model'!$D$6:$H$11</definedName>
    <definedName name="wrn.Project._.Performance._.Report." hidden="1">{"Assumptions",#N/A,TRUE,"Adj Model";#N/A,#N/A,TRUE,"Cost of Cap";"Performance Indicators",#N/A,TRUE,"Adj Model";"Detail Print",#N/A,TRUE,"Adj Model"}</definedName>
    <definedName name="Z_1C4F1D44_A361_480C_ADF0_4C9869BE30FD_.wvu.Cols" localSheetId="2" hidden="1">'Fin Stmnts'!$B:$W,'Fin Stmnts'!$Y:$CI</definedName>
    <definedName name="Z_1C4F1D44_A361_480C_ADF0_4C9869BE30FD_.wvu.PrintArea" localSheetId="1" hidden="1">'Adj Model'!$A$6:$B$15,'Adj Model'!$D$6:$H$11</definedName>
    <definedName name="Z_1C4F1D44_A361_480C_ADF0_4C9869BE30FD_.wvu.Rows" localSheetId="2" hidden="1">'Fin Stmnts'!$27:$129</definedName>
    <definedName name="Z_45E2C907_21A9_4DE3_B8AC_8D4C138C71A5_.wvu.Cols" localSheetId="1" hidden="1">'Adj Model'!$C:$AA</definedName>
    <definedName name="Z_45E2C907_21A9_4DE3_B8AC_8D4C138C71A5_.wvu.PrintArea" localSheetId="1" hidden="1">'Adj Model'!$A$6:$B$15,'Adj Model'!$D$6:$H$11</definedName>
    <definedName name="Z_45E2C907_21A9_4DE3_B8AC_8D4C138C71A5_.wvu.Rows" localSheetId="1" hidden="1">'Adj Model'!$16:$106</definedName>
    <definedName name="Z_4845B082_CC6D_40B1_A19C_F7A3857AE7CF_.wvu.PrintArea" localSheetId="1" hidden="1">'Adj Model'!$A$6:$B$15,'Adj Model'!$D$6:$H$11</definedName>
  </definedNames>
  <calcPr calcId="191029"/>
  <customWorkbookViews>
    <customWorkbookView name="Assumptions" guid="{45E2C907-21A9-4DE3-B8AC-8D4C138C71A5}" maximized="1" xWindow="1" yWindow="1" windowWidth="1280" windowHeight="580" tabRatio="716" activeSheetId="3" showComments="commNone"/>
    <customWorkbookView name="Loan and Interest Schedule" guid="{4845B082-CC6D-40B1-A19C-F7A3857AE7CF}" maximized="1" xWindow="1" yWindow="1" windowWidth="1280" windowHeight="580" tabRatio="716" activeSheetId="6" showComments="commNone"/>
    <customWorkbookView name="2016 Income Statement" guid="{1C4F1D44-A361-480C-ADF0-4C9869BE30FD}" maximized="1" xWindow="-1928" yWindow="69" windowWidth="1936" windowHeight="1176" tabRatio="716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8" l="1"/>
  <c r="B18" i="8"/>
  <c r="C18" i="8"/>
  <c r="D40" i="3"/>
  <c r="D18" i="8" s="1"/>
  <c r="D21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D31" i="8"/>
  <c r="E76" i="3"/>
  <c r="E31" i="8" s="1"/>
  <c r="F76" i="3"/>
  <c r="F31" i="8" s="1"/>
  <c r="G76" i="3"/>
  <c r="G31" i="8" s="1"/>
  <c r="H76" i="3"/>
  <c r="H31" i="8" s="1"/>
  <c r="I76" i="3"/>
  <c r="I31" i="8" s="1"/>
  <c r="J76" i="3"/>
  <c r="J31" i="8" s="1"/>
  <c r="K76" i="3"/>
  <c r="K31" i="8" s="1"/>
  <c r="L76" i="3"/>
  <c r="L31" i="8" s="1"/>
  <c r="M76" i="3"/>
  <c r="M31" i="8" s="1"/>
  <c r="N76" i="3"/>
  <c r="N31" i="8" s="1"/>
  <c r="O76" i="3"/>
  <c r="O31" i="8" s="1"/>
  <c r="P76" i="3"/>
  <c r="P31" i="8" s="1"/>
  <c r="Q76" i="3"/>
  <c r="Q31" i="8" s="1"/>
  <c r="R76" i="3"/>
  <c r="R31" i="8" s="1"/>
  <c r="S76" i="3"/>
  <c r="S31" i="8" s="1"/>
  <c r="T76" i="3"/>
  <c r="T31" i="8" s="1"/>
  <c r="U76" i="3"/>
  <c r="U31" i="8" s="1"/>
  <c r="V76" i="3"/>
  <c r="V31" i="8" s="1"/>
  <c r="W76" i="3"/>
  <c r="W31" i="8" s="1"/>
  <c r="X76" i="3"/>
  <c r="X31" i="8" s="1"/>
  <c r="Y76" i="3"/>
  <c r="Y31" i="8" s="1"/>
  <c r="Z76" i="3"/>
  <c r="Z31" i="8" s="1"/>
  <c r="AA76" i="3"/>
  <c r="AA31" i="8" s="1"/>
  <c r="AB76" i="3"/>
  <c r="AB31" i="8" s="1"/>
  <c r="AC76" i="3"/>
  <c r="AC31" i="8" s="1"/>
  <c r="AD76" i="3"/>
  <c r="AD31" i="8" s="1"/>
  <c r="AE76" i="3"/>
  <c r="AE31" i="8" s="1"/>
  <c r="AF76" i="3"/>
  <c r="AF31" i="8" s="1"/>
  <c r="AG76" i="3"/>
  <c r="AG31" i="8" s="1"/>
  <c r="AH76" i="3"/>
  <c r="AH31" i="8" s="1"/>
  <c r="AI76" i="3"/>
  <c r="AI31" i="8" s="1"/>
  <c r="AJ76" i="3"/>
  <c r="AJ31" i="8" s="1"/>
  <c r="AK76" i="3"/>
  <c r="AK31" i="8" s="1"/>
  <c r="AL76" i="3"/>
  <c r="AL31" i="8" s="1"/>
  <c r="AM76" i="3"/>
  <c r="AM31" i="8" s="1"/>
  <c r="AN76" i="3"/>
  <c r="AN31" i="8" s="1"/>
  <c r="AO76" i="3"/>
  <c r="AO31" i="8" s="1"/>
  <c r="AP76" i="3"/>
  <c r="AP31" i="8" s="1"/>
  <c r="AQ76" i="3"/>
  <c r="AQ31" i="8" s="1"/>
  <c r="AR76" i="3"/>
  <c r="AR31" i="8" s="1"/>
  <c r="AS76" i="3"/>
  <c r="AS31" i="8" s="1"/>
  <c r="AT76" i="3"/>
  <c r="AT31" i="8" s="1"/>
  <c r="AU76" i="3"/>
  <c r="AU31" i="8" s="1"/>
  <c r="AV43" i="3"/>
  <c r="AV76" i="3" s="1"/>
  <c r="AW43" i="3"/>
  <c r="AW76" i="3" s="1"/>
  <c r="C11" i="7"/>
  <c r="C12" i="7" s="1"/>
  <c r="C13" i="7" s="1"/>
  <c r="D7" i="7"/>
  <c r="G6" i="6"/>
  <c r="H6" i="6" s="1"/>
  <c r="I6" i="6" s="1"/>
  <c r="J6" i="6" s="1"/>
  <c r="U6" i="6"/>
  <c r="W6" i="6"/>
  <c r="X6" i="6" s="1"/>
  <c r="D7" i="6"/>
  <c r="E7" i="6"/>
  <c r="F7" i="6" s="1"/>
  <c r="G7" i="6" s="1"/>
  <c r="H7" i="6" s="1"/>
  <c r="T7" i="6"/>
  <c r="U7" i="6" s="1"/>
  <c r="U20" i="6" s="1"/>
  <c r="W7" i="6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AJ7" i="6" s="1"/>
  <c r="AK7" i="6" s="1"/>
  <c r="AL7" i="6" s="1"/>
  <c r="AM7" i="6" s="1"/>
  <c r="AN7" i="6" s="1"/>
  <c r="AO7" i="6" s="1"/>
  <c r="AP7" i="6" s="1"/>
  <c r="AQ7" i="6" s="1"/>
  <c r="AR7" i="6" s="1"/>
  <c r="AS7" i="6" s="1"/>
  <c r="AT7" i="6" s="1"/>
  <c r="AU7" i="6" s="1"/>
  <c r="AV7" i="6" s="1"/>
  <c r="AW7" i="6" s="1"/>
  <c r="AX7" i="6" s="1"/>
  <c r="AY7" i="6" s="1"/>
  <c r="AZ7" i="6" s="1"/>
  <c r="BA7" i="6" s="1"/>
  <c r="BA20" i="6" s="1"/>
  <c r="G8" i="6"/>
  <c r="H8" i="6" s="1"/>
  <c r="I8" i="6" s="1"/>
  <c r="J8" i="6" s="1"/>
  <c r="G11" i="6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G12" i="6"/>
  <c r="H12" i="6" s="1"/>
  <c r="G13" i="6"/>
  <c r="H13" i="6" s="1"/>
  <c r="H15" i="6"/>
  <c r="I15" i="6" s="1"/>
  <c r="D19" i="6"/>
  <c r="E19" i="6"/>
  <c r="F19" i="6"/>
  <c r="G19" i="6"/>
  <c r="R19" i="6"/>
  <c r="S19" i="6"/>
  <c r="T19" i="6"/>
  <c r="U19" i="6"/>
  <c r="V19" i="6"/>
  <c r="D20" i="6"/>
  <c r="E20" i="6"/>
  <c r="R20" i="6"/>
  <c r="S20" i="6"/>
  <c r="V20" i="6"/>
  <c r="X20" i="6"/>
  <c r="AC20" i="6"/>
  <c r="AH20" i="6"/>
  <c r="AN20" i="6"/>
  <c r="D21" i="6"/>
  <c r="E21" i="6"/>
  <c r="F21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D24" i="6"/>
  <c r="E24" i="6"/>
  <c r="F24" i="6"/>
  <c r="G24" i="6"/>
  <c r="K24" i="6"/>
  <c r="O24" i="6"/>
  <c r="S24" i="6"/>
  <c r="W24" i="6"/>
  <c r="D25" i="6"/>
  <c r="E25" i="6"/>
  <c r="F25" i="6"/>
  <c r="D26" i="6"/>
  <c r="E26" i="6"/>
  <c r="F26" i="6"/>
  <c r="D27" i="6"/>
  <c r="D28" i="6"/>
  <c r="E28" i="6"/>
  <c r="E31" i="6" s="1"/>
  <c r="F28" i="6"/>
  <c r="G28" i="6"/>
  <c r="C31" i="6"/>
  <c r="C32" i="6"/>
  <c r="A2" i="5"/>
  <c r="R3" i="5"/>
  <c r="S3" i="5"/>
  <c r="R4" i="5"/>
  <c r="S4" i="5"/>
  <c r="R5" i="5"/>
  <c r="S5" i="5"/>
  <c r="R6" i="5"/>
  <c r="S6" i="5"/>
  <c r="R7" i="5"/>
  <c r="S7" i="5"/>
  <c r="D8" i="5"/>
  <c r="R8" i="5"/>
  <c r="S8" i="5"/>
  <c r="R9" i="5"/>
  <c r="S9" i="5"/>
  <c r="R10" i="5"/>
  <c r="S10" i="5"/>
  <c r="S11" i="5"/>
  <c r="D21" i="5"/>
  <c r="D22" i="5"/>
  <c r="F6" i="4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AJ6" i="4" s="1"/>
  <c r="AK6" i="4" s="1"/>
  <c r="AL6" i="4" s="1"/>
  <c r="AM6" i="4" s="1"/>
  <c r="AN6" i="4" s="1"/>
  <c r="AO6" i="4" s="1"/>
  <c r="AP6" i="4" s="1"/>
  <c r="AQ6" i="4" s="1"/>
  <c r="AR6" i="4" s="1"/>
  <c r="AS6" i="4" s="1"/>
  <c r="AT6" i="4" s="1"/>
  <c r="AU6" i="4" s="1"/>
  <c r="AV6" i="4" s="1"/>
  <c r="AW6" i="4" s="1"/>
  <c r="AX6" i="4" s="1"/>
  <c r="AY6" i="4" s="1"/>
  <c r="AZ6" i="4" s="1"/>
  <c r="BA6" i="4" s="1"/>
  <c r="E44" i="3"/>
  <c r="E74" i="3" s="1"/>
  <c r="E9" i="4" s="1"/>
  <c r="F44" i="3"/>
  <c r="F74" i="3" s="1"/>
  <c r="F9" i="4" s="1"/>
  <c r="G44" i="3"/>
  <c r="G74" i="3" s="1"/>
  <c r="G9" i="4" s="1"/>
  <c r="H44" i="3"/>
  <c r="H74" i="3" s="1"/>
  <c r="H9" i="4" s="1"/>
  <c r="I44" i="3"/>
  <c r="I74" i="3" s="1"/>
  <c r="I9" i="4" s="1"/>
  <c r="J44" i="3"/>
  <c r="J74" i="3" s="1"/>
  <c r="J9" i="4" s="1"/>
  <c r="K44" i="3"/>
  <c r="K74" i="3" s="1"/>
  <c r="K9" i="4" s="1"/>
  <c r="L44" i="3"/>
  <c r="L74" i="3" s="1"/>
  <c r="L9" i="4" s="1"/>
  <c r="M44" i="3"/>
  <c r="M74" i="3" s="1"/>
  <c r="M9" i="4" s="1"/>
  <c r="N44" i="3"/>
  <c r="N74" i="3" s="1"/>
  <c r="N9" i="4" s="1"/>
  <c r="O44" i="3"/>
  <c r="O74" i="3" s="1"/>
  <c r="O9" i="4" s="1"/>
  <c r="P44" i="3"/>
  <c r="P74" i="3" s="1"/>
  <c r="P9" i="4" s="1"/>
  <c r="Q44" i="3"/>
  <c r="Q74" i="3" s="1"/>
  <c r="Q9" i="4" s="1"/>
  <c r="R44" i="3"/>
  <c r="R74" i="3" s="1"/>
  <c r="R9" i="4" s="1"/>
  <c r="S44" i="3"/>
  <c r="S74" i="3" s="1"/>
  <c r="S9" i="4" s="1"/>
  <c r="T44" i="3"/>
  <c r="T74" i="3" s="1"/>
  <c r="T9" i="4" s="1"/>
  <c r="U44" i="3"/>
  <c r="U74" i="3" s="1"/>
  <c r="U9" i="4" s="1"/>
  <c r="V44" i="3"/>
  <c r="V74" i="3" s="1"/>
  <c r="V9" i="4" s="1"/>
  <c r="W44" i="3"/>
  <c r="W74" i="3" s="1"/>
  <c r="W9" i="4" s="1"/>
  <c r="X44" i="3"/>
  <c r="X74" i="3" s="1"/>
  <c r="X9" i="4" s="1"/>
  <c r="Y44" i="3"/>
  <c r="Y74" i="3" s="1"/>
  <c r="Y9" i="4" s="1"/>
  <c r="Z44" i="3"/>
  <c r="Z74" i="3" s="1"/>
  <c r="Z9" i="4" s="1"/>
  <c r="AA44" i="3"/>
  <c r="AA74" i="3" s="1"/>
  <c r="AA9" i="4" s="1"/>
  <c r="AB44" i="3"/>
  <c r="AB74" i="3" s="1"/>
  <c r="AB9" i="4" s="1"/>
  <c r="AC44" i="3"/>
  <c r="AC74" i="3" s="1"/>
  <c r="AC9" i="4" s="1"/>
  <c r="AD44" i="3"/>
  <c r="AD74" i="3" s="1"/>
  <c r="AD9" i="4" s="1"/>
  <c r="AE44" i="3"/>
  <c r="AE74" i="3" s="1"/>
  <c r="AE9" i="4" s="1"/>
  <c r="AF44" i="3"/>
  <c r="AF74" i="3" s="1"/>
  <c r="AF9" i="4" s="1"/>
  <c r="AG44" i="3"/>
  <c r="AG74" i="3" s="1"/>
  <c r="AG9" i="4" s="1"/>
  <c r="AH44" i="3"/>
  <c r="AH74" i="3" s="1"/>
  <c r="AH9" i="4" s="1"/>
  <c r="AI44" i="3"/>
  <c r="AI74" i="3" s="1"/>
  <c r="AI9" i="4" s="1"/>
  <c r="AJ44" i="3"/>
  <c r="AJ74" i="3" s="1"/>
  <c r="AJ9" i="4" s="1"/>
  <c r="AK44" i="3"/>
  <c r="AK74" i="3" s="1"/>
  <c r="AK9" i="4" s="1"/>
  <c r="AL44" i="3"/>
  <c r="AL74" i="3" s="1"/>
  <c r="AL9" i="4" s="1"/>
  <c r="AM44" i="3"/>
  <c r="AM74" i="3" s="1"/>
  <c r="AM9" i="4" s="1"/>
  <c r="AN44" i="3"/>
  <c r="AN74" i="3" s="1"/>
  <c r="AN9" i="4" s="1"/>
  <c r="AO44" i="3"/>
  <c r="AO74" i="3" s="1"/>
  <c r="AO9" i="4" s="1"/>
  <c r="AP44" i="3"/>
  <c r="AP74" i="3" s="1"/>
  <c r="AP9" i="4" s="1"/>
  <c r="AQ44" i="3"/>
  <c r="AQ74" i="3" s="1"/>
  <c r="AQ9" i="4" s="1"/>
  <c r="AR44" i="3"/>
  <c r="AR74" i="3" s="1"/>
  <c r="AR9" i="4" s="1"/>
  <c r="AS44" i="3"/>
  <c r="AS74" i="3" s="1"/>
  <c r="AS9" i="4" s="1"/>
  <c r="AT44" i="3"/>
  <c r="AT74" i="3" s="1"/>
  <c r="AT9" i="4" s="1"/>
  <c r="AU44" i="3"/>
  <c r="AU74" i="3" s="1"/>
  <c r="AU9" i="4" s="1"/>
  <c r="AV44" i="3"/>
  <c r="AV74" i="3" s="1"/>
  <c r="AV9" i="4" s="1"/>
  <c r="AW44" i="3"/>
  <c r="AX44" i="3"/>
  <c r="AY44" i="3"/>
  <c r="AZ44" i="3"/>
  <c r="BA44" i="3"/>
  <c r="E75" i="3"/>
  <c r="E10" i="4" s="1"/>
  <c r="F75" i="3"/>
  <c r="F10" i="4" s="1"/>
  <c r="G75" i="3"/>
  <c r="G10" i="4" s="1"/>
  <c r="H75" i="3"/>
  <c r="H10" i="4" s="1"/>
  <c r="I75" i="3"/>
  <c r="I10" i="4" s="1"/>
  <c r="J75" i="3"/>
  <c r="J10" i="4" s="1"/>
  <c r="K75" i="3"/>
  <c r="K10" i="4" s="1"/>
  <c r="L75" i="3"/>
  <c r="L10" i="4" s="1"/>
  <c r="M75" i="3"/>
  <c r="M10" i="4" s="1"/>
  <c r="N75" i="3"/>
  <c r="N10" i="4" s="1"/>
  <c r="O75" i="3"/>
  <c r="O10" i="4" s="1"/>
  <c r="P75" i="3"/>
  <c r="P10" i="4" s="1"/>
  <c r="Q75" i="3"/>
  <c r="Q10" i="4" s="1"/>
  <c r="R75" i="3"/>
  <c r="R10" i="4" s="1"/>
  <c r="S75" i="3"/>
  <c r="S10" i="4" s="1"/>
  <c r="T75" i="3"/>
  <c r="T10" i="4" s="1"/>
  <c r="U75" i="3"/>
  <c r="U10" i="4" s="1"/>
  <c r="V75" i="3"/>
  <c r="V10" i="4" s="1"/>
  <c r="W75" i="3"/>
  <c r="W10" i="4" s="1"/>
  <c r="X75" i="3"/>
  <c r="X10" i="4" s="1"/>
  <c r="Y75" i="3"/>
  <c r="Y10" i="4" s="1"/>
  <c r="Z75" i="3"/>
  <c r="Z10" i="4" s="1"/>
  <c r="AA75" i="3"/>
  <c r="AA10" i="4" s="1"/>
  <c r="AB75" i="3"/>
  <c r="AB10" i="4" s="1"/>
  <c r="AC75" i="3"/>
  <c r="AC10" i="4" s="1"/>
  <c r="AD75" i="3"/>
  <c r="AD10" i="4" s="1"/>
  <c r="AE75" i="3"/>
  <c r="AE10" i="4" s="1"/>
  <c r="AF75" i="3"/>
  <c r="AF10" i="4" s="1"/>
  <c r="AG75" i="3"/>
  <c r="AG10" i="4" s="1"/>
  <c r="AH75" i="3"/>
  <c r="AH10" i="4" s="1"/>
  <c r="AI75" i="3"/>
  <c r="AI10" i="4" s="1"/>
  <c r="AJ75" i="3"/>
  <c r="AJ10" i="4" s="1"/>
  <c r="AK75" i="3"/>
  <c r="AK10" i="4" s="1"/>
  <c r="AL75" i="3"/>
  <c r="AL10" i="4" s="1"/>
  <c r="AM75" i="3"/>
  <c r="AM10" i="4" s="1"/>
  <c r="AN75" i="3"/>
  <c r="AN10" i="4" s="1"/>
  <c r="AO75" i="3"/>
  <c r="AO10" i="4" s="1"/>
  <c r="AP75" i="3"/>
  <c r="AP10" i="4" s="1"/>
  <c r="AQ75" i="3"/>
  <c r="AQ10" i="4" s="1"/>
  <c r="AR75" i="3"/>
  <c r="AR10" i="4" s="1"/>
  <c r="AS75" i="3"/>
  <c r="AS10" i="4" s="1"/>
  <c r="AT75" i="3"/>
  <c r="AT10" i="4" s="1"/>
  <c r="AU75" i="3"/>
  <c r="AU10" i="4" s="1"/>
  <c r="AV75" i="3"/>
  <c r="AV10" i="4" s="1"/>
  <c r="AW75" i="3"/>
  <c r="AW10" i="4" s="1"/>
  <c r="AX75" i="3"/>
  <c r="AX10" i="4" s="1"/>
  <c r="AY75" i="3"/>
  <c r="AY10" i="4" s="1"/>
  <c r="AZ75" i="3"/>
  <c r="AZ10" i="4" s="1"/>
  <c r="BA75" i="3"/>
  <c r="BA10" i="4" s="1"/>
  <c r="H11" i="4"/>
  <c r="J11" i="4"/>
  <c r="L11" i="4"/>
  <c r="P11" i="4"/>
  <c r="Q11" i="4"/>
  <c r="R11" i="4"/>
  <c r="T11" i="4"/>
  <c r="X11" i="4"/>
  <c r="Z11" i="4"/>
  <c r="AB11" i="4"/>
  <c r="AF11" i="4"/>
  <c r="AG11" i="4"/>
  <c r="AJ11" i="4"/>
  <c r="AL11" i="4"/>
  <c r="AN11" i="4"/>
  <c r="AR11" i="4"/>
  <c r="AT11" i="4"/>
  <c r="D43" i="4"/>
  <c r="E78" i="3"/>
  <c r="E14" i="4" s="1"/>
  <c r="E79" i="3"/>
  <c r="E15" i="4" s="1"/>
  <c r="E80" i="3"/>
  <c r="E16" i="4" s="1"/>
  <c r="E81" i="3"/>
  <c r="E17" i="4" s="1"/>
  <c r="C56" i="3"/>
  <c r="D53" i="3" s="1"/>
  <c r="D56" i="3" s="1"/>
  <c r="E53" i="3" s="1"/>
  <c r="C62" i="3"/>
  <c r="D59" i="3" s="1"/>
  <c r="C50" i="3"/>
  <c r="D47" i="3" s="1"/>
  <c r="D50" i="3" s="1"/>
  <c r="E47" i="3" s="1"/>
  <c r="D68" i="3"/>
  <c r="E65" i="3" s="1"/>
  <c r="E67" i="3" s="1"/>
  <c r="E43" i="4"/>
  <c r="F78" i="3"/>
  <c r="F14" i="4" s="1"/>
  <c r="F79" i="3"/>
  <c r="F15" i="4" s="1"/>
  <c r="F80" i="3"/>
  <c r="F16" i="4" s="1"/>
  <c r="F81" i="3"/>
  <c r="F17" i="4" s="1"/>
  <c r="G78" i="3"/>
  <c r="G14" i="4" s="1"/>
  <c r="G79" i="3"/>
  <c r="G15" i="4" s="1"/>
  <c r="G80" i="3"/>
  <c r="G16" i="4" s="1"/>
  <c r="G81" i="3"/>
  <c r="G17" i="4" s="1"/>
  <c r="H78" i="3"/>
  <c r="H14" i="4" s="1"/>
  <c r="H79" i="3"/>
  <c r="H15" i="4" s="1"/>
  <c r="H80" i="3"/>
  <c r="H16" i="4" s="1"/>
  <c r="H81" i="3"/>
  <c r="H17" i="4" s="1"/>
  <c r="I78" i="3"/>
  <c r="I14" i="4" s="1"/>
  <c r="I79" i="3"/>
  <c r="I15" i="4" s="1"/>
  <c r="I80" i="3"/>
  <c r="I16" i="4" s="1"/>
  <c r="I81" i="3"/>
  <c r="I17" i="4" s="1"/>
  <c r="J78" i="3"/>
  <c r="J14" i="4" s="1"/>
  <c r="J79" i="3"/>
  <c r="J15" i="4" s="1"/>
  <c r="J80" i="3"/>
  <c r="J16" i="4" s="1"/>
  <c r="J81" i="3"/>
  <c r="J17" i="4" s="1"/>
  <c r="K78" i="3"/>
  <c r="K14" i="4" s="1"/>
  <c r="K79" i="3"/>
  <c r="K15" i="4" s="1"/>
  <c r="K80" i="3"/>
  <c r="K16" i="4" s="1"/>
  <c r="K81" i="3"/>
  <c r="K17" i="4" s="1"/>
  <c r="L78" i="3"/>
  <c r="L14" i="4" s="1"/>
  <c r="L79" i="3"/>
  <c r="L15" i="4" s="1"/>
  <c r="L80" i="3"/>
  <c r="L16" i="4" s="1"/>
  <c r="L81" i="3"/>
  <c r="L17" i="4" s="1"/>
  <c r="M78" i="3"/>
  <c r="M14" i="4" s="1"/>
  <c r="M79" i="3"/>
  <c r="M15" i="4" s="1"/>
  <c r="M80" i="3"/>
  <c r="M16" i="4" s="1"/>
  <c r="M81" i="3"/>
  <c r="M17" i="4" s="1"/>
  <c r="N78" i="3"/>
  <c r="N14" i="4" s="1"/>
  <c r="N79" i="3"/>
  <c r="N15" i="4" s="1"/>
  <c r="N80" i="3"/>
  <c r="N16" i="4" s="1"/>
  <c r="N81" i="3"/>
  <c r="N17" i="4" s="1"/>
  <c r="O78" i="3"/>
  <c r="O14" i="4" s="1"/>
  <c r="O79" i="3"/>
  <c r="O15" i="4" s="1"/>
  <c r="O80" i="3"/>
  <c r="O16" i="4" s="1"/>
  <c r="O81" i="3"/>
  <c r="O17" i="4" s="1"/>
  <c r="P78" i="3"/>
  <c r="P14" i="4" s="1"/>
  <c r="P79" i="3"/>
  <c r="P15" i="4" s="1"/>
  <c r="P80" i="3"/>
  <c r="P16" i="4" s="1"/>
  <c r="P81" i="3"/>
  <c r="P17" i="4" s="1"/>
  <c r="Q78" i="3"/>
  <c r="Q14" i="4" s="1"/>
  <c r="Q79" i="3"/>
  <c r="Q15" i="4" s="1"/>
  <c r="Q80" i="3"/>
  <c r="Q16" i="4" s="1"/>
  <c r="Q81" i="3"/>
  <c r="Q17" i="4" s="1"/>
  <c r="R78" i="3"/>
  <c r="R14" i="4" s="1"/>
  <c r="R79" i="3"/>
  <c r="R15" i="4" s="1"/>
  <c r="R80" i="3"/>
  <c r="R16" i="4" s="1"/>
  <c r="R81" i="3"/>
  <c r="R17" i="4" s="1"/>
  <c r="S78" i="3"/>
  <c r="S14" i="4" s="1"/>
  <c r="S79" i="3"/>
  <c r="S15" i="4" s="1"/>
  <c r="S80" i="3"/>
  <c r="S16" i="4" s="1"/>
  <c r="S81" i="3"/>
  <c r="S17" i="4" s="1"/>
  <c r="T78" i="3"/>
  <c r="T14" i="4" s="1"/>
  <c r="T79" i="3"/>
  <c r="T15" i="4" s="1"/>
  <c r="T80" i="3"/>
  <c r="T16" i="4" s="1"/>
  <c r="T81" i="3"/>
  <c r="T17" i="4" s="1"/>
  <c r="U78" i="3"/>
  <c r="U14" i="4" s="1"/>
  <c r="U79" i="3"/>
  <c r="U15" i="4" s="1"/>
  <c r="U80" i="3"/>
  <c r="U16" i="4" s="1"/>
  <c r="U81" i="3"/>
  <c r="U17" i="4" s="1"/>
  <c r="V78" i="3"/>
  <c r="V14" i="4" s="1"/>
  <c r="V79" i="3"/>
  <c r="V15" i="4" s="1"/>
  <c r="V80" i="3"/>
  <c r="V16" i="4" s="1"/>
  <c r="V81" i="3"/>
  <c r="V17" i="4" s="1"/>
  <c r="W78" i="3"/>
  <c r="W14" i="4" s="1"/>
  <c r="W79" i="3"/>
  <c r="W15" i="4" s="1"/>
  <c r="W80" i="3"/>
  <c r="W16" i="4" s="1"/>
  <c r="W81" i="3"/>
  <c r="W17" i="4" s="1"/>
  <c r="X78" i="3"/>
  <c r="X14" i="4" s="1"/>
  <c r="X79" i="3"/>
  <c r="X15" i="4" s="1"/>
  <c r="X80" i="3"/>
  <c r="X16" i="4" s="1"/>
  <c r="X81" i="3"/>
  <c r="X17" i="4" s="1"/>
  <c r="Y78" i="3"/>
  <c r="Y14" i="4" s="1"/>
  <c r="Y79" i="3"/>
  <c r="Y80" i="3"/>
  <c r="Y16" i="4" s="1"/>
  <c r="Y81" i="3"/>
  <c r="Y17" i="4" s="1"/>
  <c r="Z78" i="3"/>
  <c r="Z14" i="4" s="1"/>
  <c r="Z79" i="3"/>
  <c r="Z15" i="4" s="1"/>
  <c r="Z80" i="3"/>
  <c r="Z16" i="4" s="1"/>
  <c r="Z81" i="3"/>
  <c r="Z17" i="4" s="1"/>
  <c r="AA78" i="3"/>
  <c r="AA14" i="4" s="1"/>
  <c r="AA79" i="3"/>
  <c r="AA80" i="3"/>
  <c r="AA16" i="4" s="1"/>
  <c r="AA81" i="3"/>
  <c r="AA17" i="4" s="1"/>
  <c r="AB78" i="3"/>
  <c r="AB14" i="4" s="1"/>
  <c r="AB79" i="3"/>
  <c r="AB15" i="4" s="1"/>
  <c r="AB80" i="3"/>
  <c r="AB16" i="4" s="1"/>
  <c r="AB81" i="3"/>
  <c r="AB17" i="4" s="1"/>
  <c r="AC78" i="3"/>
  <c r="AC14" i="4" s="1"/>
  <c r="AC79" i="3"/>
  <c r="AC80" i="3"/>
  <c r="AC16" i="4" s="1"/>
  <c r="AC81" i="3"/>
  <c r="AC17" i="4" s="1"/>
  <c r="AD78" i="3"/>
  <c r="AD14" i="4" s="1"/>
  <c r="AD79" i="3"/>
  <c r="AD15" i="4" s="1"/>
  <c r="AD80" i="3"/>
  <c r="AD16" i="4" s="1"/>
  <c r="AD81" i="3"/>
  <c r="AD17" i="4" s="1"/>
  <c r="AE78" i="3"/>
  <c r="AE14" i="4" s="1"/>
  <c r="AE79" i="3"/>
  <c r="AE80" i="3"/>
  <c r="AE16" i="4" s="1"/>
  <c r="AE81" i="3"/>
  <c r="AE17" i="4" s="1"/>
  <c r="AF78" i="3"/>
  <c r="AF14" i="4" s="1"/>
  <c r="AF79" i="3"/>
  <c r="AF15" i="4" s="1"/>
  <c r="AF80" i="3"/>
  <c r="AF16" i="4" s="1"/>
  <c r="AF81" i="3"/>
  <c r="AF17" i="4" s="1"/>
  <c r="AG78" i="3"/>
  <c r="AG14" i="4" s="1"/>
  <c r="AG79" i="3"/>
  <c r="AG80" i="3"/>
  <c r="AG16" i="4" s="1"/>
  <c r="AG81" i="3"/>
  <c r="AG17" i="4" s="1"/>
  <c r="AH78" i="3"/>
  <c r="AH14" i="4" s="1"/>
  <c r="AH79" i="3"/>
  <c r="AH15" i="4" s="1"/>
  <c r="AH80" i="3"/>
  <c r="AH16" i="4" s="1"/>
  <c r="AH81" i="3"/>
  <c r="AH17" i="4" s="1"/>
  <c r="AI78" i="3"/>
  <c r="AI14" i="4" s="1"/>
  <c r="AI79" i="3"/>
  <c r="AI80" i="3"/>
  <c r="AI16" i="4" s="1"/>
  <c r="AI81" i="3"/>
  <c r="AI17" i="4" s="1"/>
  <c r="AJ78" i="3"/>
  <c r="AJ14" i="4" s="1"/>
  <c r="AJ79" i="3"/>
  <c r="AJ15" i="4" s="1"/>
  <c r="AJ80" i="3"/>
  <c r="AJ16" i="4" s="1"/>
  <c r="AJ81" i="3"/>
  <c r="AJ17" i="4" s="1"/>
  <c r="AK78" i="3"/>
  <c r="AK14" i="4" s="1"/>
  <c r="AK79" i="3"/>
  <c r="AK80" i="3"/>
  <c r="AK16" i="4" s="1"/>
  <c r="AK81" i="3"/>
  <c r="AK17" i="4" s="1"/>
  <c r="AL78" i="3"/>
  <c r="AL14" i="4" s="1"/>
  <c r="AL79" i="3"/>
  <c r="AL15" i="4" s="1"/>
  <c r="AL80" i="3"/>
  <c r="AL16" i="4" s="1"/>
  <c r="AL81" i="3"/>
  <c r="AL17" i="4" s="1"/>
  <c r="AM78" i="3"/>
  <c r="AM14" i="4" s="1"/>
  <c r="AM79" i="3"/>
  <c r="AM80" i="3"/>
  <c r="AM16" i="4" s="1"/>
  <c r="AM81" i="3"/>
  <c r="AM17" i="4" s="1"/>
  <c r="AN78" i="3"/>
  <c r="AN14" i="4" s="1"/>
  <c r="AN79" i="3"/>
  <c r="AN15" i="4" s="1"/>
  <c r="AN80" i="3"/>
  <c r="AN16" i="4" s="1"/>
  <c r="AN81" i="3"/>
  <c r="AN17" i="4" s="1"/>
  <c r="AO78" i="3"/>
  <c r="AO79" i="3"/>
  <c r="AO15" i="4" s="1"/>
  <c r="AO80" i="3"/>
  <c r="AO16" i="4" s="1"/>
  <c r="AO81" i="3"/>
  <c r="AO17" i="4" s="1"/>
  <c r="AP78" i="3"/>
  <c r="AP14" i="4" s="1"/>
  <c r="AP79" i="3"/>
  <c r="AP15" i="4" s="1"/>
  <c r="AP80" i="3"/>
  <c r="AP16" i="4" s="1"/>
  <c r="AP81" i="3"/>
  <c r="AP17" i="4" s="1"/>
  <c r="AQ78" i="3"/>
  <c r="AQ79" i="3"/>
  <c r="AQ15" i="4" s="1"/>
  <c r="AQ80" i="3"/>
  <c r="AQ16" i="4" s="1"/>
  <c r="AQ81" i="3"/>
  <c r="AQ17" i="4" s="1"/>
  <c r="AR78" i="3"/>
  <c r="AR14" i="4" s="1"/>
  <c r="AR79" i="3"/>
  <c r="AR15" i="4" s="1"/>
  <c r="AR80" i="3"/>
  <c r="AR16" i="4" s="1"/>
  <c r="AR81" i="3"/>
  <c r="AR17" i="4" s="1"/>
  <c r="AS78" i="3"/>
  <c r="AS79" i="3"/>
  <c r="AS15" i="4" s="1"/>
  <c r="AS80" i="3"/>
  <c r="AS16" i="4" s="1"/>
  <c r="AS81" i="3"/>
  <c r="AS17" i="4" s="1"/>
  <c r="AT78" i="3"/>
  <c r="AT14" i="4" s="1"/>
  <c r="AT79" i="3"/>
  <c r="AT15" i="4" s="1"/>
  <c r="AT80" i="3"/>
  <c r="AT16" i="4" s="1"/>
  <c r="AT81" i="3"/>
  <c r="AT17" i="4" s="1"/>
  <c r="AU78" i="3"/>
  <c r="AU79" i="3"/>
  <c r="AU15" i="4" s="1"/>
  <c r="AU80" i="3"/>
  <c r="AU16" i="4" s="1"/>
  <c r="AU81" i="3"/>
  <c r="AU17" i="4" s="1"/>
  <c r="AV78" i="3"/>
  <c r="AV14" i="4" s="1"/>
  <c r="AV79" i="3"/>
  <c r="AV15" i="4" s="1"/>
  <c r="AV80" i="3"/>
  <c r="AV16" i="4" s="1"/>
  <c r="AV81" i="3"/>
  <c r="AV17" i="4" s="1"/>
  <c r="AW78" i="3"/>
  <c r="AW79" i="3"/>
  <c r="AW15" i="4" s="1"/>
  <c r="AW80" i="3"/>
  <c r="AW16" i="4" s="1"/>
  <c r="AW81" i="3"/>
  <c r="AW17" i="4" s="1"/>
  <c r="AX78" i="3"/>
  <c r="AX14" i="4" s="1"/>
  <c r="AX79" i="3"/>
  <c r="AX15" i="4" s="1"/>
  <c r="AX80" i="3"/>
  <c r="AX16" i="4" s="1"/>
  <c r="AX81" i="3"/>
  <c r="AX17" i="4" s="1"/>
  <c r="AY78" i="3"/>
  <c r="AY14" i="4" s="1"/>
  <c r="AY79" i="3"/>
  <c r="AY15" i="4" s="1"/>
  <c r="AY80" i="3"/>
  <c r="AY16" i="4" s="1"/>
  <c r="AY81" i="3"/>
  <c r="AY17" i="4" s="1"/>
  <c r="AZ78" i="3"/>
  <c r="AZ14" i="4" s="1"/>
  <c r="AZ79" i="3"/>
  <c r="AZ15" i="4" s="1"/>
  <c r="AZ80" i="3"/>
  <c r="AZ16" i="4" s="1"/>
  <c r="AZ81" i="3"/>
  <c r="AZ17" i="4" s="1"/>
  <c r="BA78" i="3"/>
  <c r="BA14" i="4" s="1"/>
  <c r="BA79" i="3"/>
  <c r="BA15" i="4" s="1"/>
  <c r="BA80" i="3"/>
  <c r="BA16" i="4" s="1"/>
  <c r="BA81" i="3"/>
  <c r="BA17" i="4" s="1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D46" i="4"/>
  <c r="H9" i="3"/>
  <c r="C95" i="3"/>
  <c r="D87" i="3"/>
  <c r="D88" i="3" s="1"/>
  <c r="D91" i="3" s="1"/>
  <c r="D95" i="3" s="1"/>
  <c r="B13" i="3"/>
  <c r="B14" i="3"/>
  <c r="B15" i="3"/>
  <c r="E28" i="4" s="1"/>
  <c r="D20" i="3"/>
  <c r="C37" i="3"/>
  <c r="B48" i="3"/>
  <c r="B54" i="3"/>
  <c r="B60" i="3"/>
  <c r="B66" i="3"/>
  <c r="F71" i="3"/>
  <c r="G71" i="3" s="1"/>
  <c r="H71" i="3" s="1"/>
  <c r="I71" i="3" s="1"/>
  <c r="J71" i="3" s="1"/>
  <c r="K71" i="3" s="1"/>
  <c r="L71" i="3" s="1"/>
  <c r="M71" i="3" s="1"/>
  <c r="N71" i="3" s="1"/>
  <c r="O71" i="3" s="1"/>
  <c r="P71" i="3" s="1"/>
  <c r="Q71" i="3" s="1"/>
  <c r="R71" i="3" s="1"/>
  <c r="S71" i="3" s="1"/>
  <c r="T71" i="3" s="1"/>
  <c r="U71" i="3" s="1"/>
  <c r="V71" i="3" s="1"/>
  <c r="W71" i="3" s="1"/>
  <c r="X71" i="3" s="1"/>
  <c r="Y71" i="3" s="1"/>
  <c r="Z71" i="3" s="1"/>
  <c r="AA71" i="3" s="1"/>
  <c r="AB71" i="3" s="1"/>
  <c r="AC71" i="3" s="1"/>
  <c r="AD71" i="3" s="1"/>
  <c r="AE71" i="3" s="1"/>
  <c r="AF71" i="3" s="1"/>
  <c r="AG71" i="3" s="1"/>
  <c r="AH71" i="3" s="1"/>
  <c r="AI71" i="3" s="1"/>
  <c r="AJ71" i="3" s="1"/>
  <c r="AK71" i="3" s="1"/>
  <c r="AL71" i="3" s="1"/>
  <c r="AM71" i="3" s="1"/>
  <c r="AN71" i="3" s="1"/>
  <c r="AO71" i="3" s="1"/>
  <c r="AP71" i="3" s="1"/>
  <c r="AQ71" i="3" s="1"/>
  <c r="AR71" i="3" s="1"/>
  <c r="AS71" i="3" s="1"/>
  <c r="AT71" i="3" s="1"/>
  <c r="AU71" i="3" s="1"/>
  <c r="AV71" i="3" s="1"/>
  <c r="AW71" i="3" s="1"/>
  <c r="AX71" i="3" s="1"/>
  <c r="AY71" i="3" s="1"/>
  <c r="AZ71" i="3" s="1"/>
  <c r="BA71" i="3" s="1"/>
  <c r="B94" i="3"/>
  <c r="D10" i="7"/>
  <c r="K6" i="6" l="1"/>
  <c r="L6" i="6" s="1"/>
  <c r="J19" i="6"/>
  <c r="AX20" i="6"/>
  <c r="AW20" i="6"/>
  <c r="AR20" i="6"/>
  <c r="AG20" i="6"/>
  <c r="AD11" i="4"/>
  <c r="V11" i="4"/>
  <c r="AV20" i="6"/>
  <c r="AP20" i="6"/>
  <c r="AK20" i="6"/>
  <c r="AF20" i="6"/>
  <c r="Z20" i="6"/>
  <c r="T20" i="6"/>
  <c r="D32" i="8"/>
  <c r="D34" i="8" s="1"/>
  <c r="AS20" i="6"/>
  <c r="D29" i="6"/>
  <c r="D23" i="4" s="1"/>
  <c r="D24" i="4" s="1"/>
  <c r="AL20" i="6"/>
  <c r="AB20" i="6"/>
  <c r="D8" i="7"/>
  <c r="D11" i="7" s="1"/>
  <c r="D14" i="7" s="1"/>
  <c r="D16" i="7" s="1"/>
  <c r="D9" i="7"/>
  <c r="AP11" i="4"/>
  <c r="AH11" i="4"/>
  <c r="N11" i="4"/>
  <c r="F11" i="4"/>
  <c r="G26" i="6"/>
  <c r="G25" i="6"/>
  <c r="AZ20" i="6"/>
  <c r="AT20" i="6"/>
  <c r="AO20" i="6"/>
  <c r="AJ20" i="6"/>
  <c r="AD20" i="6"/>
  <c r="Y20" i="6"/>
  <c r="I13" i="6"/>
  <c r="J13" i="6" s="1"/>
  <c r="K13" i="6" s="1"/>
  <c r="L13" i="6" s="1"/>
  <c r="H26" i="6"/>
  <c r="I7" i="6"/>
  <c r="J7" i="6" s="1"/>
  <c r="K7" i="6" s="1"/>
  <c r="L7" i="6" s="1"/>
  <c r="H20" i="6"/>
  <c r="K8" i="6"/>
  <c r="L8" i="6" s="1"/>
  <c r="M8" i="6" s="1"/>
  <c r="N8" i="6" s="1"/>
  <c r="J21" i="6"/>
  <c r="AO11" i="4"/>
  <c r="Y11" i="4"/>
  <c r="I11" i="4"/>
  <c r="H28" i="6"/>
  <c r="U24" i="6"/>
  <c r="Q24" i="6"/>
  <c r="M24" i="6"/>
  <c r="I24" i="6"/>
  <c r="AU32" i="8"/>
  <c r="AU34" i="8" s="1"/>
  <c r="AQ32" i="8"/>
  <c r="AQ34" i="8" s="1"/>
  <c r="AM32" i="8"/>
  <c r="AM34" i="8" s="1"/>
  <c r="AI32" i="8"/>
  <c r="AI34" i="8" s="1"/>
  <c r="AE32" i="8"/>
  <c r="AE34" i="8" s="1"/>
  <c r="AA32" i="8"/>
  <c r="AA34" i="8" s="1"/>
  <c r="W32" i="8"/>
  <c r="W34" i="8" s="1"/>
  <c r="S32" i="8"/>
  <c r="S34" i="8" s="1"/>
  <c r="O32" i="8"/>
  <c r="O34" i="8" s="1"/>
  <c r="K32" i="8"/>
  <c r="K34" i="8" s="1"/>
  <c r="G32" i="8"/>
  <c r="G34" i="8" s="1"/>
  <c r="AS11" i="4"/>
  <c r="AC11" i="4"/>
  <c r="M11" i="4"/>
  <c r="T24" i="6"/>
  <c r="P24" i="6"/>
  <c r="L24" i="6"/>
  <c r="H24" i="6"/>
  <c r="D32" i="6"/>
  <c r="G21" i="6"/>
  <c r="D31" i="6"/>
  <c r="H19" i="6"/>
  <c r="AK11" i="4"/>
  <c r="U11" i="4"/>
  <c r="E11" i="4"/>
  <c r="V24" i="6"/>
  <c r="R24" i="6"/>
  <c r="N24" i="6"/>
  <c r="J24" i="6"/>
  <c r="K19" i="6"/>
  <c r="AR32" i="8"/>
  <c r="AR34" i="8" s="1"/>
  <c r="AN32" i="8"/>
  <c r="AN34" i="8" s="1"/>
  <c r="AJ32" i="8"/>
  <c r="AJ34" i="8" s="1"/>
  <c r="AF32" i="8"/>
  <c r="AF34" i="8" s="1"/>
  <c r="AB32" i="8"/>
  <c r="AB34" i="8" s="1"/>
  <c r="X32" i="8"/>
  <c r="X34" i="8" s="1"/>
  <c r="T32" i="8"/>
  <c r="T34" i="8" s="1"/>
  <c r="P32" i="8"/>
  <c r="P34" i="8" s="1"/>
  <c r="L32" i="8"/>
  <c r="L34" i="8" s="1"/>
  <c r="H32" i="8"/>
  <c r="H34" i="8" s="1"/>
  <c r="E14" i="6"/>
  <c r="E27" i="6" s="1"/>
  <c r="D30" i="4"/>
  <c r="Y6" i="6"/>
  <c r="X19" i="6"/>
  <c r="AU11" i="4"/>
  <c r="AQ11" i="4"/>
  <c r="AM11" i="4"/>
  <c r="AI11" i="4"/>
  <c r="AE11" i="4"/>
  <c r="AA11" i="4"/>
  <c r="W11" i="4"/>
  <c r="S11" i="4"/>
  <c r="O11" i="4"/>
  <c r="K11" i="4"/>
  <c r="G11" i="4"/>
  <c r="D26" i="5"/>
  <c r="K26" i="6"/>
  <c r="M21" i="6"/>
  <c r="I21" i="6"/>
  <c r="AY20" i="6"/>
  <c r="AU20" i="6"/>
  <c r="AQ20" i="6"/>
  <c r="AM20" i="6"/>
  <c r="AI20" i="6"/>
  <c r="AE20" i="6"/>
  <c r="AA20" i="6"/>
  <c r="W20" i="6"/>
  <c r="G20" i="6"/>
  <c r="G31" i="6" s="1"/>
  <c r="I19" i="6"/>
  <c r="J26" i="6"/>
  <c r="L21" i="6"/>
  <c r="H21" i="6"/>
  <c r="F20" i="6"/>
  <c r="F31" i="6" s="1"/>
  <c r="AS32" i="8"/>
  <c r="AS34" i="8" s="1"/>
  <c r="AO32" i="8"/>
  <c r="AO34" i="8" s="1"/>
  <c r="AK32" i="8"/>
  <c r="AK34" i="8" s="1"/>
  <c r="AG32" i="8"/>
  <c r="AG34" i="8" s="1"/>
  <c r="AC32" i="8"/>
  <c r="AC34" i="8" s="1"/>
  <c r="Y32" i="8"/>
  <c r="Y34" i="8" s="1"/>
  <c r="U32" i="8"/>
  <c r="U34" i="8" s="1"/>
  <c r="Q32" i="8"/>
  <c r="Q34" i="8" s="1"/>
  <c r="M32" i="8"/>
  <c r="M34" i="8" s="1"/>
  <c r="I32" i="8"/>
  <c r="I34" i="8" s="1"/>
  <c r="E32" i="8"/>
  <c r="E34" i="8" s="1"/>
  <c r="I26" i="6"/>
  <c r="K21" i="6"/>
  <c r="W19" i="6"/>
  <c r="E90" i="3"/>
  <c r="I12" i="6"/>
  <c r="H25" i="6"/>
  <c r="Y11" i="6"/>
  <c r="X24" i="6"/>
  <c r="D55" i="4"/>
  <c r="D25" i="4"/>
  <c r="D26" i="4" s="1"/>
  <c r="D29" i="4" s="1"/>
  <c r="D31" i="4" s="1"/>
  <c r="D35" i="4" s="1"/>
  <c r="D45" i="4" s="1"/>
  <c r="D47" i="4" s="1"/>
  <c r="E12" i="4" s="1"/>
  <c r="D54" i="4"/>
  <c r="S12" i="5"/>
  <c r="J15" i="6"/>
  <c r="I28" i="6"/>
  <c r="AV31" i="8"/>
  <c r="AV32" i="8" s="1"/>
  <c r="AV34" i="8" s="1"/>
  <c r="AV11" i="4"/>
  <c r="AW74" i="3"/>
  <c r="AW9" i="4" s="1"/>
  <c r="AT32" i="8"/>
  <c r="AT34" i="8" s="1"/>
  <c r="AP32" i="8"/>
  <c r="AP34" i="8" s="1"/>
  <c r="AL32" i="8"/>
  <c r="AL34" i="8" s="1"/>
  <c r="AH32" i="8"/>
  <c r="AH34" i="8" s="1"/>
  <c r="AD32" i="8"/>
  <c r="AD34" i="8" s="1"/>
  <c r="Z32" i="8"/>
  <c r="Z34" i="8" s="1"/>
  <c r="V32" i="8"/>
  <c r="V34" i="8" s="1"/>
  <c r="R32" i="8"/>
  <c r="R34" i="8" s="1"/>
  <c r="N32" i="8"/>
  <c r="N34" i="8" s="1"/>
  <c r="J32" i="8"/>
  <c r="J34" i="8" s="1"/>
  <c r="F32" i="8"/>
  <c r="F34" i="8" s="1"/>
  <c r="E61" i="3"/>
  <c r="D62" i="3"/>
  <c r="E59" i="3" s="1"/>
  <c r="E62" i="3" s="1"/>
  <c r="F59" i="3" s="1"/>
  <c r="E40" i="3"/>
  <c r="AK15" i="4"/>
  <c r="AG15" i="4"/>
  <c r="AC15" i="4"/>
  <c r="Y15" i="4"/>
  <c r="AW14" i="4"/>
  <c r="AU14" i="4"/>
  <c r="AS14" i="4"/>
  <c r="AQ14" i="4"/>
  <c r="AO14" i="4"/>
  <c r="AM15" i="4"/>
  <c r="AI15" i="4"/>
  <c r="AE15" i="4"/>
  <c r="AA15" i="4"/>
  <c r="E85" i="3"/>
  <c r="E21" i="4" s="1"/>
  <c r="E68" i="3"/>
  <c r="F65" i="3" s="1"/>
  <c r="E49" i="3"/>
  <c r="E84" i="3" s="1"/>
  <c r="E20" i="4" s="1"/>
  <c r="E55" i="3"/>
  <c r="AW31" i="8"/>
  <c r="AW32" i="8" s="1"/>
  <c r="AW34" i="8" s="1"/>
  <c r="AW11" i="4"/>
  <c r="AX43" i="3"/>
  <c r="T3" i="5"/>
  <c r="U3" i="5" s="1"/>
  <c r="T4" i="5"/>
  <c r="U4" i="5" s="1"/>
  <c r="T5" i="5"/>
  <c r="U5" i="5" s="1"/>
  <c r="T6" i="5"/>
  <c r="U6" i="5" s="1"/>
  <c r="T7" i="5"/>
  <c r="U7" i="5" s="1"/>
  <c r="T8" i="5"/>
  <c r="U8" i="5" s="1"/>
  <c r="T9" i="5"/>
  <c r="U9" i="5" s="1"/>
  <c r="T10" i="5"/>
  <c r="U10" i="5" s="1"/>
  <c r="T11" i="5"/>
  <c r="U11" i="5" s="1"/>
  <c r="T12" i="5"/>
  <c r="I20" i="6" l="1"/>
  <c r="M6" i="6"/>
  <c r="L19" i="6"/>
  <c r="E83" i="3"/>
  <c r="E19" i="4" s="1"/>
  <c r="E22" i="4" s="1"/>
  <c r="J20" i="6"/>
  <c r="H31" i="6"/>
  <c r="M7" i="6"/>
  <c r="L20" i="6"/>
  <c r="K20" i="6"/>
  <c r="O8" i="6"/>
  <c r="N21" i="6"/>
  <c r="M13" i="6"/>
  <c r="L26" i="6"/>
  <c r="Z6" i="6"/>
  <c r="Y19" i="6"/>
  <c r="D56" i="4"/>
  <c r="E53" i="4" s="1"/>
  <c r="E46" i="4"/>
  <c r="Z11" i="6"/>
  <c r="Y24" i="6"/>
  <c r="J12" i="6"/>
  <c r="I25" i="6"/>
  <c r="E29" i="6"/>
  <c r="E23" i="4" s="1"/>
  <c r="E32" i="6"/>
  <c r="K15" i="6"/>
  <c r="J28" i="6"/>
  <c r="I31" i="6"/>
  <c r="E18" i="8"/>
  <c r="F40" i="3"/>
  <c r="E50" i="3"/>
  <c r="F47" i="3" s="1"/>
  <c r="F49" i="3" s="1"/>
  <c r="AX76" i="3"/>
  <c r="AY43" i="3"/>
  <c r="AX74" i="3"/>
  <c r="F67" i="3"/>
  <c r="F85" i="3" s="1"/>
  <c r="F21" i="4" s="1"/>
  <c r="E56" i="3"/>
  <c r="F53" i="3" s="1"/>
  <c r="F61" i="3"/>
  <c r="F62" i="3" s="1"/>
  <c r="G59" i="3" s="1"/>
  <c r="U12" i="5"/>
  <c r="D12" i="5" s="1"/>
  <c r="D23" i="5" s="1"/>
  <c r="D27" i="5" s="1"/>
  <c r="I9" i="3" s="1"/>
  <c r="N6" i="6" l="1"/>
  <c r="M19" i="6"/>
  <c r="E86" i="3"/>
  <c r="E87" i="3" s="1"/>
  <c r="E88" i="3" s="1"/>
  <c r="E91" i="3" s="1"/>
  <c r="E95" i="3" s="1"/>
  <c r="P8" i="6"/>
  <c r="O21" i="6"/>
  <c r="E24" i="4"/>
  <c r="E55" i="4" s="1"/>
  <c r="N7" i="6"/>
  <c r="M20" i="6"/>
  <c r="N13" i="6"/>
  <c r="M26" i="6"/>
  <c r="AA6" i="6"/>
  <c r="Z19" i="6"/>
  <c r="E30" i="4"/>
  <c r="F14" i="6"/>
  <c r="K12" i="6"/>
  <c r="J25" i="6"/>
  <c r="AA11" i="6"/>
  <c r="Z24" i="6"/>
  <c r="L15" i="6"/>
  <c r="K28" i="6"/>
  <c r="J31" i="6"/>
  <c r="F84" i="3"/>
  <c r="F20" i="4" s="1"/>
  <c r="F50" i="3"/>
  <c r="G47" i="3" s="1"/>
  <c r="G49" i="3" s="1"/>
  <c r="G84" i="3" s="1"/>
  <c r="G20" i="4" s="1"/>
  <c r="F18" i="8"/>
  <c r="G40" i="3"/>
  <c r="F68" i="3"/>
  <c r="G65" i="3" s="1"/>
  <c r="G67" i="3" s="1"/>
  <c r="G61" i="3"/>
  <c r="G62" i="3" s="1"/>
  <c r="H59" i="3" s="1"/>
  <c r="AX11" i="4"/>
  <c r="AX31" i="8"/>
  <c r="AX32" i="8" s="1"/>
  <c r="AX34" i="8" s="1"/>
  <c r="AX9" i="4"/>
  <c r="F55" i="3"/>
  <c r="F83" i="3" s="1"/>
  <c r="E54" i="4"/>
  <c r="E25" i="4"/>
  <c r="E26" i="4" s="1"/>
  <c r="E29" i="4" s="1"/>
  <c r="E31" i="4" s="1"/>
  <c r="E35" i="4" s="1"/>
  <c r="E45" i="4" s="1"/>
  <c r="E47" i="4" s="1"/>
  <c r="AY76" i="3"/>
  <c r="AZ43" i="3"/>
  <c r="AY74" i="3"/>
  <c r="I8" i="3"/>
  <c r="O6" i="6" l="1"/>
  <c r="N19" i="6"/>
  <c r="O7" i="6"/>
  <c r="N20" i="6"/>
  <c r="O13" i="6"/>
  <c r="N26" i="6"/>
  <c r="Q8" i="6"/>
  <c r="P21" i="6"/>
  <c r="AB6" i="6"/>
  <c r="AA19" i="6"/>
  <c r="F27" i="6"/>
  <c r="AB11" i="6"/>
  <c r="AA24" i="6"/>
  <c r="L12" i="6"/>
  <c r="K25" i="6"/>
  <c r="M15" i="6"/>
  <c r="L28" i="6"/>
  <c r="K31" i="6"/>
  <c r="G50" i="3"/>
  <c r="H47" i="3" s="1"/>
  <c r="H49" i="3" s="1"/>
  <c r="H84" i="3" s="1"/>
  <c r="H20" i="4" s="1"/>
  <c r="G85" i="3"/>
  <c r="G21" i="4" s="1"/>
  <c r="G68" i="3"/>
  <c r="H65" i="3" s="1"/>
  <c r="E56" i="4"/>
  <c r="F53" i="4" s="1"/>
  <c r="G18" i="8"/>
  <c r="H40" i="3"/>
  <c r="F46" i="4"/>
  <c r="F12" i="4"/>
  <c r="AZ76" i="3"/>
  <c r="BA43" i="3"/>
  <c r="AZ74" i="3"/>
  <c r="AY9" i="4"/>
  <c r="AY31" i="8"/>
  <c r="AY32" i="8" s="1"/>
  <c r="AY34" i="8" s="1"/>
  <c r="AY11" i="4"/>
  <c r="H61" i="3"/>
  <c r="H62" i="3" s="1"/>
  <c r="I59" i="3" s="1"/>
  <c r="F56" i="3"/>
  <c r="G53" i="3" s="1"/>
  <c r="F19" i="4"/>
  <c r="F86" i="3"/>
  <c r="H67" i="3"/>
  <c r="H85" i="3" s="1"/>
  <c r="H21" i="4" s="1"/>
  <c r="P6" i="6" l="1"/>
  <c r="O19" i="6"/>
  <c r="P13" i="6"/>
  <c r="O26" i="6"/>
  <c r="R8" i="6"/>
  <c r="Q21" i="6"/>
  <c r="P7" i="6"/>
  <c r="O20" i="6"/>
  <c r="AC6" i="6"/>
  <c r="AB19" i="6"/>
  <c r="M12" i="6"/>
  <c r="L25" i="6"/>
  <c r="AC11" i="6"/>
  <c r="AB24" i="6"/>
  <c r="F32" i="6"/>
  <c r="F29" i="6"/>
  <c r="F23" i="4" s="1"/>
  <c r="N15" i="6"/>
  <c r="M28" i="6"/>
  <c r="L31" i="6"/>
  <c r="H50" i="3"/>
  <c r="I47" i="3" s="1"/>
  <c r="I49" i="3" s="1"/>
  <c r="I84" i="3" s="1"/>
  <c r="I20" i="4" s="1"/>
  <c r="H68" i="3"/>
  <c r="I65" i="3" s="1"/>
  <c r="I67" i="3" s="1"/>
  <c r="I85" i="3" s="1"/>
  <c r="I21" i="4" s="1"/>
  <c r="H18" i="8"/>
  <c r="I40" i="3"/>
  <c r="F87" i="3"/>
  <c r="F88" i="3" s="1"/>
  <c r="F91" i="3" s="1"/>
  <c r="F95" i="3" s="1"/>
  <c r="G55" i="3"/>
  <c r="G83" i="3" s="1"/>
  <c r="I61" i="3"/>
  <c r="I62" i="3" s="1"/>
  <c r="J59" i="3" s="1"/>
  <c r="BA76" i="3"/>
  <c r="BA74" i="3"/>
  <c r="F22" i="4"/>
  <c r="AZ9" i="4"/>
  <c r="AZ11" i="4"/>
  <c r="AZ31" i="8"/>
  <c r="AZ32" i="8" s="1"/>
  <c r="AZ34" i="8" s="1"/>
  <c r="Q6" i="6" l="1"/>
  <c r="Q19" i="6" s="1"/>
  <c r="P19" i="6"/>
  <c r="S8" i="6"/>
  <c r="R21" i="6"/>
  <c r="Q7" i="6"/>
  <c r="Q20" i="6" s="1"/>
  <c r="P20" i="6"/>
  <c r="Q13" i="6"/>
  <c r="P26" i="6"/>
  <c r="F24" i="4"/>
  <c r="F54" i="4" s="1"/>
  <c r="AD6" i="6"/>
  <c r="AC19" i="6"/>
  <c r="F30" i="4"/>
  <c r="G14" i="6"/>
  <c r="AD11" i="6"/>
  <c r="AC24" i="6"/>
  <c r="N12" i="6"/>
  <c r="M25" i="6"/>
  <c r="O15" i="6"/>
  <c r="N28" i="6"/>
  <c r="M31" i="6"/>
  <c r="G56" i="3"/>
  <c r="H53" i="3" s="1"/>
  <c r="I18" i="8"/>
  <c r="J40" i="3"/>
  <c r="BA31" i="8"/>
  <c r="BA32" i="8" s="1"/>
  <c r="BA34" i="8" s="1"/>
  <c r="B36" i="8" s="1"/>
  <c r="BA11" i="4"/>
  <c r="J61" i="3"/>
  <c r="J62" i="3" s="1"/>
  <c r="K59" i="3" s="1"/>
  <c r="F25" i="4"/>
  <c r="F26" i="4" s="1"/>
  <c r="F29" i="4" s="1"/>
  <c r="F55" i="4"/>
  <c r="BA9" i="4"/>
  <c r="G19" i="4"/>
  <c r="G86" i="3"/>
  <c r="I68" i="3"/>
  <c r="J65" i="3" s="1"/>
  <c r="I50" i="3"/>
  <c r="J47" i="3" s="1"/>
  <c r="F56" i="4" l="1"/>
  <c r="G53" i="4" s="1"/>
  <c r="H55" i="3"/>
  <c r="H83" i="3" s="1"/>
  <c r="R13" i="6"/>
  <c r="Q26" i="6"/>
  <c r="T8" i="6"/>
  <c r="S21" i="6"/>
  <c r="F31" i="4"/>
  <c r="F35" i="4" s="1"/>
  <c r="F45" i="4" s="1"/>
  <c r="F47" i="4" s="1"/>
  <c r="G12" i="4" s="1"/>
  <c r="G22" i="4" s="1"/>
  <c r="AE6" i="6"/>
  <c r="AD19" i="6"/>
  <c r="G27" i="6"/>
  <c r="O12" i="6"/>
  <c r="N25" i="6"/>
  <c r="AE11" i="6"/>
  <c r="AD24" i="6"/>
  <c r="N31" i="6"/>
  <c r="P15" i="6"/>
  <c r="O28" i="6"/>
  <c r="J18" i="8"/>
  <c r="K40" i="3"/>
  <c r="G46" i="4"/>
  <c r="J67" i="3"/>
  <c r="J85" i="3" s="1"/>
  <c r="J21" i="4" s="1"/>
  <c r="K61" i="3"/>
  <c r="K62" i="3" s="1"/>
  <c r="L59" i="3" s="1"/>
  <c r="J49" i="3"/>
  <c r="J84" i="3" s="1"/>
  <c r="J20" i="4" s="1"/>
  <c r="G87" i="3"/>
  <c r="G88" i="3" s="1"/>
  <c r="G91" i="3" s="1"/>
  <c r="G95" i="3" s="1"/>
  <c r="H19" i="4"/>
  <c r="H86" i="3"/>
  <c r="S13" i="6" l="1"/>
  <c r="R26" i="6"/>
  <c r="U8" i="6"/>
  <c r="T21" i="6"/>
  <c r="H56" i="3"/>
  <c r="I53" i="3" s="1"/>
  <c r="I55" i="3" s="1"/>
  <c r="I83" i="3" s="1"/>
  <c r="AF6" i="6"/>
  <c r="AE19" i="6"/>
  <c r="AF11" i="6"/>
  <c r="AE24" i="6"/>
  <c r="P12" i="6"/>
  <c r="O25" i="6"/>
  <c r="G29" i="6"/>
  <c r="G23" i="4" s="1"/>
  <c r="G24" i="4" s="1"/>
  <c r="G32" i="6"/>
  <c r="O31" i="6"/>
  <c r="Q15" i="6"/>
  <c r="P28" i="6"/>
  <c r="I56" i="3"/>
  <c r="J53" i="3" s="1"/>
  <c r="K18" i="8"/>
  <c r="L40" i="3"/>
  <c r="L61" i="3"/>
  <c r="L62" i="3" s="1"/>
  <c r="M59" i="3" s="1"/>
  <c r="J55" i="3"/>
  <c r="J83" i="3" s="1"/>
  <c r="H87" i="3"/>
  <c r="H88" i="3" s="1"/>
  <c r="H91" i="3" s="1"/>
  <c r="H95" i="3" s="1"/>
  <c r="I19" i="4"/>
  <c r="I86" i="3"/>
  <c r="J50" i="3"/>
  <c r="K47" i="3" s="1"/>
  <c r="J68" i="3"/>
  <c r="K65" i="3" s="1"/>
  <c r="V8" i="6" l="1"/>
  <c r="U21" i="6"/>
  <c r="T13" i="6"/>
  <c r="S26" i="6"/>
  <c r="G25" i="4"/>
  <c r="G26" i="4" s="1"/>
  <c r="G29" i="4" s="1"/>
  <c r="G54" i="4"/>
  <c r="G55" i="4"/>
  <c r="G56" i="4" s="1"/>
  <c r="H53" i="4" s="1"/>
  <c r="AG6" i="6"/>
  <c r="AF19" i="6"/>
  <c r="G30" i="4"/>
  <c r="H14" i="6"/>
  <c r="Q12" i="6"/>
  <c r="P25" i="6"/>
  <c r="AG11" i="6"/>
  <c r="AF24" i="6"/>
  <c r="P31" i="6"/>
  <c r="R15" i="6"/>
  <c r="Q28" i="6"/>
  <c r="L18" i="8"/>
  <c r="M40" i="3"/>
  <c r="M61" i="3"/>
  <c r="M62" i="3" s="1"/>
  <c r="N59" i="3" s="1"/>
  <c r="K67" i="3"/>
  <c r="K85" i="3" s="1"/>
  <c r="K21" i="4" s="1"/>
  <c r="I87" i="3"/>
  <c r="I88" i="3" s="1"/>
  <c r="I91" i="3" s="1"/>
  <c r="I95" i="3" s="1"/>
  <c r="J19" i="4"/>
  <c r="J86" i="3"/>
  <c r="K49" i="3"/>
  <c r="K84" i="3" s="1"/>
  <c r="K20" i="4" s="1"/>
  <c r="J56" i="3"/>
  <c r="K53" i="3" s="1"/>
  <c r="U13" i="6" l="1"/>
  <c r="T26" i="6"/>
  <c r="G31" i="4"/>
  <c r="G35" i="4" s="1"/>
  <c r="G45" i="4" s="1"/>
  <c r="G47" i="4" s="1"/>
  <c r="H46" i="4" s="1"/>
  <c r="W8" i="6"/>
  <c r="V21" i="6"/>
  <c r="AH6" i="6"/>
  <c r="AG19" i="6"/>
  <c r="H12" i="4"/>
  <c r="H22" i="4" s="1"/>
  <c r="AH11" i="6"/>
  <c r="AG24" i="6"/>
  <c r="R12" i="6"/>
  <c r="Q25" i="6"/>
  <c r="H27" i="6"/>
  <c r="Q31" i="6"/>
  <c r="S15" i="6"/>
  <c r="R28" i="6"/>
  <c r="M18" i="8"/>
  <c r="N40" i="3"/>
  <c r="K55" i="3"/>
  <c r="K83" i="3" s="1"/>
  <c r="N61" i="3"/>
  <c r="N62" i="3" s="1"/>
  <c r="O59" i="3" s="1"/>
  <c r="J87" i="3"/>
  <c r="J88" i="3" s="1"/>
  <c r="J91" i="3" s="1"/>
  <c r="J95" i="3" s="1"/>
  <c r="K50" i="3"/>
  <c r="L47" i="3" s="1"/>
  <c r="K68" i="3"/>
  <c r="L65" i="3" s="1"/>
  <c r="X8" i="6" l="1"/>
  <c r="W21" i="6"/>
  <c r="V13" i="6"/>
  <c r="U26" i="6"/>
  <c r="AI6" i="6"/>
  <c r="AH19" i="6"/>
  <c r="H32" i="6"/>
  <c r="H29" i="6"/>
  <c r="H23" i="4" s="1"/>
  <c r="H24" i="4" s="1"/>
  <c r="S12" i="6"/>
  <c r="R25" i="6"/>
  <c r="AI11" i="6"/>
  <c r="AH24" i="6"/>
  <c r="R31" i="6"/>
  <c r="T15" i="6"/>
  <c r="S28" i="6"/>
  <c r="N18" i="8"/>
  <c r="O40" i="3"/>
  <c r="O61" i="3"/>
  <c r="O62" i="3" s="1"/>
  <c r="P59" i="3" s="1"/>
  <c r="K19" i="4"/>
  <c r="K86" i="3"/>
  <c r="L49" i="3"/>
  <c r="L84" i="3" s="1"/>
  <c r="L20" i="4" s="1"/>
  <c r="L67" i="3"/>
  <c r="L85" i="3" s="1"/>
  <c r="L21" i="4" s="1"/>
  <c r="K56" i="3"/>
  <c r="L53" i="3" s="1"/>
  <c r="W13" i="6" l="1"/>
  <c r="V26" i="6"/>
  <c r="Y8" i="6"/>
  <c r="X21" i="6"/>
  <c r="AJ6" i="6"/>
  <c r="AI19" i="6"/>
  <c r="H55" i="4"/>
  <c r="H54" i="4"/>
  <c r="H25" i="4"/>
  <c r="H26" i="4" s="1"/>
  <c r="H29" i="4" s="1"/>
  <c r="AJ11" i="6"/>
  <c r="AI24" i="6"/>
  <c r="T12" i="6"/>
  <c r="S25" i="6"/>
  <c r="H30" i="4"/>
  <c r="I14" i="6"/>
  <c r="U15" i="6"/>
  <c r="T28" i="6"/>
  <c r="O18" i="8"/>
  <c r="P40" i="3"/>
  <c r="P61" i="3"/>
  <c r="P62" i="3" s="1"/>
  <c r="Q59" i="3" s="1"/>
  <c r="L55" i="3"/>
  <c r="L83" i="3" s="1"/>
  <c r="K87" i="3"/>
  <c r="K88" i="3" s="1"/>
  <c r="K91" i="3" s="1"/>
  <c r="K95" i="3" s="1"/>
  <c r="L68" i="3"/>
  <c r="M65" i="3" s="1"/>
  <c r="L50" i="3"/>
  <c r="M47" i="3" s="1"/>
  <c r="Z8" i="6" l="1"/>
  <c r="Y21" i="6"/>
  <c r="X13" i="6"/>
  <c r="W26" i="6"/>
  <c r="H31" i="4"/>
  <c r="H35" i="4" s="1"/>
  <c r="H45" i="4" s="1"/>
  <c r="H47" i="4" s="1"/>
  <c r="I46" i="4" s="1"/>
  <c r="H56" i="4"/>
  <c r="I53" i="4" s="1"/>
  <c r="AK6" i="6"/>
  <c r="AJ19" i="6"/>
  <c r="I27" i="6"/>
  <c r="U12" i="6"/>
  <c r="T25" i="6"/>
  <c r="AK11" i="6"/>
  <c r="AJ24" i="6"/>
  <c r="I12" i="4"/>
  <c r="I22" i="4" s="1"/>
  <c r="V15" i="6"/>
  <c r="U28" i="6"/>
  <c r="P18" i="8"/>
  <c r="Q40" i="3"/>
  <c r="Q61" i="3"/>
  <c r="Q62" i="3" s="1"/>
  <c r="R59" i="3" s="1"/>
  <c r="M49" i="3"/>
  <c r="M84" i="3" s="1"/>
  <c r="M20" i="4" s="1"/>
  <c r="M67" i="3"/>
  <c r="M85" i="3" s="1"/>
  <c r="M21" i="4" s="1"/>
  <c r="L56" i="3"/>
  <c r="M53" i="3" s="1"/>
  <c r="L19" i="4"/>
  <c r="L86" i="3"/>
  <c r="Y13" i="6" l="1"/>
  <c r="X26" i="6"/>
  <c r="AA8" i="6"/>
  <c r="Z21" i="6"/>
  <c r="AL6" i="6"/>
  <c r="AK19" i="6"/>
  <c r="AL11" i="6"/>
  <c r="AK24" i="6"/>
  <c r="V12" i="6"/>
  <c r="U25" i="6"/>
  <c r="I29" i="6"/>
  <c r="I23" i="4" s="1"/>
  <c r="I24" i="4" s="1"/>
  <c r="I32" i="6"/>
  <c r="W15" i="6"/>
  <c r="V28" i="6"/>
  <c r="Q18" i="8"/>
  <c r="R40" i="3"/>
  <c r="R61" i="3"/>
  <c r="R62" i="3" s="1"/>
  <c r="S59" i="3" s="1"/>
  <c r="L87" i="3"/>
  <c r="L88" i="3" s="1"/>
  <c r="L91" i="3" s="1"/>
  <c r="L95" i="3" s="1"/>
  <c r="M55" i="3"/>
  <c r="M83" i="3" s="1"/>
  <c r="M68" i="3"/>
  <c r="N65" i="3" s="1"/>
  <c r="M50" i="3"/>
  <c r="N47" i="3" s="1"/>
  <c r="AB8" i="6" l="1"/>
  <c r="AA21" i="6"/>
  <c r="Z13" i="6"/>
  <c r="Y26" i="6"/>
  <c r="AM6" i="6"/>
  <c r="AL19" i="6"/>
  <c r="I54" i="4"/>
  <c r="I55" i="4"/>
  <c r="I25" i="4"/>
  <c r="I26" i="4" s="1"/>
  <c r="I29" i="4" s="1"/>
  <c r="I30" i="4"/>
  <c r="J14" i="6"/>
  <c r="W12" i="6"/>
  <c r="V25" i="6"/>
  <c r="AM11" i="6"/>
  <c r="AL24" i="6"/>
  <c r="X15" i="6"/>
  <c r="W28" i="6"/>
  <c r="R18" i="8"/>
  <c r="S40" i="3"/>
  <c r="S61" i="3"/>
  <c r="S62" i="3" s="1"/>
  <c r="T59" i="3" s="1"/>
  <c r="N49" i="3"/>
  <c r="N84" i="3" s="1"/>
  <c r="N20" i="4" s="1"/>
  <c r="M56" i="3"/>
  <c r="N53" i="3" s="1"/>
  <c r="N67" i="3"/>
  <c r="N85" i="3" s="1"/>
  <c r="N21" i="4" s="1"/>
  <c r="M19" i="4"/>
  <c r="M86" i="3"/>
  <c r="I31" i="4" l="1"/>
  <c r="I35" i="4" s="1"/>
  <c r="I45" i="4" s="1"/>
  <c r="I47" i="4" s="1"/>
  <c r="AA13" i="6"/>
  <c r="Z26" i="6"/>
  <c r="AC8" i="6"/>
  <c r="AB21" i="6"/>
  <c r="I56" i="4"/>
  <c r="J53" i="4" s="1"/>
  <c r="AN6" i="6"/>
  <c r="AM19" i="6"/>
  <c r="J46" i="4"/>
  <c r="J12" i="4"/>
  <c r="J22" i="4" s="1"/>
  <c r="AN11" i="6"/>
  <c r="AM24" i="6"/>
  <c r="X12" i="6"/>
  <c r="W25" i="6"/>
  <c r="J27" i="6"/>
  <c r="Y15" i="6"/>
  <c r="X28" i="6"/>
  <c r="N50" i="3"/>
  <c r="O47" i="3" s="1"/>
  <c r="O49" i="3" s="1"/>
  <c r="O84" i="3" s="1"/>
  <c r="O20" i="4" s="1"/>
  <c r="S18" i="8"/>
  <c r="T40" i="3"/>
  <c r="T61" i="3"/>
  <c r="T62" i="3" s="1"/>
  <c r="U59" i="3" s="1"/>
  <c r="M87" i="3"/>
  <c r="M88" i="3" s="1"/>
  <c r="M91" i="3" s="1"/>
  <c r="M95" i="3" s="1"/>
  <c r="N55" i="3"/>
  <c r="N83" i="3" s="1"/>
  <c r="N68" i="3"/>
  <c r="O65" i="3" s="1"/>
  <c r="AD8" i="6" l="1"/>
  <c r="AC21" i="6"/>
  <c r="AB13" i="6"/>
  <c r="AA26" i="6"/>
  <c r="AO6" i="6"/>
  <c r="AN19" i="6"/>
  <c r="J29" i="6"/>
  <c r="J23" i="4" s="1"/>
  <c r="J24" i="4" s="1"/>
  <c r="J32" i="6"/>
  <c r="Y12" i="6"/>
  <c r="X25" i="6"/>
  <c r="AO11" i="6"/>
  <c r="AN24" i="6"/>
  <c r="Z15" i="6"/>
  <c r="Y28" i="6"/>
  <c r="T18" i="8"/>
  <c r="U40" i="3"/>
  <c r="N56" i="3"/>
  <c r="O53" i="3" s="1"/>
  <c r="O55" i="3" s="1"/>
  <c r="O83" i="3" s="1"/>
  <c r="U61" i="3"/>
  <c r="U62" i="3" s="1"/>
  <c r="V59" i="3" s="1"/>
  <c r="O67" i="3"/>
  <c r="O85" i="3" s="1"/>
  <c r="O21" i="4" s="1"/>
  <c r="N19" i="4"/>
  <c r="N86" i="3"/>
  <c r="O50" i="3"/>
  <c r="P47" i="3" s="1"/>
  <c r="AC13" i="6" l="1"/>
  <c r="AB26" i="6"/>
  <c r="AE8" i="6"/>
  <c r="AD21" i="6"/>
  <c r="AP6" i="6"/>
  <c r="AO19" i="6"/>
  <c r="AP11" i="6"/>
  <c r="AO24" i="6"/>
  <c r="Z12" i="6"/>
  <c r="Y25" i="6"/>
  <c r="J30" i="4"/>
  <c r="K14" i="6"/>
  <c r="J55" i="4"/>
  <c r="J25" i="4"/>
  <c r="J26" i="4" s="1"/>
  <c r="J29" i="4" s="1"/>
  <c r="J54" i="4"/>
  <c r="J56" i="4" s="1"/>
  <c r="K53" i="4" s="1"/>
  <c r="AA15" i="6"/>
  <c r="Z28" i="6"/>
  <c r="O68" i="3"/>
  <c r="P65" i="3" s="1"/>
  <c r="P67" i="3" s="1"/>
  <c r="P85" i="3" s="1"/>
  <c r="P21" i="4" s="1"/>
  <c r="U18" i="8"/>
  <c r="V40" i="3"/>
  <c r="V61" i="3"/>
  <c r="V62" i="3" s="1"/>
  <c r="W59" i="3" s="1"/>
  <c r="N87" i="3"/>
  <c r="N88" i="3" s="1"/>
  <c r="N91" i="3" s="1"/>
  <c r="N95" i="3" s="1"/>
  <c r="O56" i="3"/>
  <c r="P53" i="3" s="1"/>
  <c r="P49" i="3"/>
  <c r="P84" i="3" s="1"/>
  <c r="P20" i="4" s="1"/>
  <c r="O19" i="4"/>
  <c r="O86" i="3"/>
  <c r="J31" i="4" l="1"/>
  <c r="J35" i="4" s="1"/>
  <c r="J45" i="4" s="1"/>
  <c r="J47" i="4" s="1"/>
  <c r="AF8" i="6"/>
  <c r="AE21" i="6"/>
  <c r="AD13" i="6"/>
  <c r="AC26" i="6"/>
  <c r="AQ6" i="6"/>
  <c r="AP19" i="6"/>
  <c r="AA12" i="6"/>
  <c r="Z25" i="6"/>
  <c r="AQ11" i="6"/>
  <c r="AP24" i="6"/>
  <c r="K12" i="4"/>
  <c r="K22" i="4" s="1"/>
  <c r="K46" i="4"/>
  <c r="K27" i="6"/>
  <c r="AB15" i="6"/>
  <c r="AA28" i="6"/>
  <c r="V18" i="8"/>
  <c r="W40" i="3"/>
  <c r="W61" i="3"/>
  <c r="W62" i="3" s="1"/>
  <c r="X59" i="3" s="1"/>
  <c r="O87" i="3"/>
  <c r="O88" i="3" s="1"/>
  <c r="O91" i="3" s="1"/>
  <c r="O95" i="3" s="1"/>
  <c r="P55" i="3"/>
  <c r="P83" i="3" s="1"/>
  <c r="P68" i="3"/>
  <c r="Q65" i="3" s="1"/>
  <c r="P50" i="3"/>
  <c r="Q47" i="3" s="1"/>
  <c r="AE13" i="6" l="1"/>
  <c r="AD26" i="6"/>
  <c r="AG8" i="6"/>
  <c r="AF21" i="6"/>
  <c r="AR6" i="6"/>
  <c r="AQ19" i="6"/>
  <c r="K29" i="6"/>
  <c r="K23" i="4" s="1"/>
  <c r="K24" i="4" s="1"/>
  <c r="K32" i="6"/>
  <c r="AR11" i="6"/>
  <c r="AQ24" i="6"/>
  <c r="AB12" i="6"/>
  <c r="AA25" i="6"/>
  <c r="AC15" i="6"/>
  <c r="AB28" i="6"/>
  <c r="W18" i="8"/>
  <c r="X40" i="3"/>
  <c r="X61" i="3"/>
  <c r="X62" i="3" s="1"/>
  <c r="Y59" i="3" s="1"/>
  <c r="P19" i="4"/>
  <c r="P86" i="3"/>
  <c r="Q49" i="3"/>
  <c r="Q84" i="3" s="1"/>
  <c r="Q20" i="4" s="1"/>
  <c r="Q67" i="3"/>
  <c r="Q85" i="3" s="1"/>
  <c r="Q21" i="4" s="1"/>
  <c r="Q68" i="3"/>
  <c r="R65" i="3" s="1"/>
  <c r="P56" i="3"/>
  <c r="Q53" i="3" s="1"/>
  <c r="AH8" i="6" l="1"/>
  <c r="AG21" i="6"/>
  <c r="AF13" i="6"/>
  <c r="AE26" i="6"/>
  <c r="Q50" i="3"/>
  <c r="R47" i="3" s="1"/>
  <c r="AS6" i="6"/>
  <c r="AR19" i="6"/>
  <c r="K54" i="4"/>
  <c r="K56" i="4" s="1"/>
  <c r="L53" i="4" s="1"/>
  <c r="K55" i="4"/>
  <c r="K25" i="4"/>
  <c r="K26" i="4" s="1"/>
  <c r="K29" i="4" s="1"/>
  <c r="AC12" i="6"/>
  <c r="AB25" i="6"/>
  <c r="AS11" i="6"/>
  <c r="AR24" i="6"/>
  <c r="K30" i="4"/>
  <c r="L14" i="6"/>
  <c r="AD15" i="6"/>
  <c r="AC28" i="6"/>
  <c r="X18" i="8"/>
  <c r="Y40" i="3"/>
  <c r="Y61" i="3"/>
  <c r="Y62" i="3" s="1"/>
  <c r="Z59" i="3" s="1"/>
  <c r="Q55" i="3"/>
  <c r="Q83" i="3" s="1"/>
  <c r="R67" i="3"/>
  <c r="R85" i="3" s="1"/>
  <c r="R21" i="4" s="1"/>
  <c r="R49" i="3"/>
  <c r="R84" i="3" s="1"/>
  <c r="R20" i="4" s="1"/>
  <c r="P87" i="3"/>
  <c r="P88" i="3" s="1"/>
  <c r="P91" i="3" s="1"/>
  <c r="P95" i="3" s="1"/>
  <c r="AG13" i="6" l="1"/>
  <c r="AF26" i="6"/>
  <c r="AI8" i="6"/>
  <c r="AH21" i="6"/>
  <c r="Q56" i="3"/>
  <c r="R53" i="3" s="1"/>
  <c r="AT6" i="6"/>
  <c r="AS19" i="6"/>
  <c r="L27" i="6"/>
  <c r="AT11" i="6"/>
  <c r="AS24" i="6"/>
  <c r="AD12" i="6"/>
  <c r="AC25" i="6"/>
  <c r="K31" i="4"/>
  <c r="K35" i="4" s="1"/>
  <c r="K45" i="4" s="1"/>
  <c r="K47" i="4" s="1"/>
  <c r="AE15" i="6"/>
  <c r="AD28" i="6"/>
  <c r="Y18" i="8"/>
  <c r="Z40" i="3"/>
  <c r="R55" i="3"/>
  <c r="R83" i="3" s="1"/>
  <c r="Z61" i="3"/>
  <c r="Z62" i="3" s="1"/>
  <c r="AA59" i="3" s="1"/>
  <c r="Q19" i="4"/>
  <c r="Q86" i="3"/>
  <c r="R50" i="3"/>
  <c r="S47" i="3" s="1"/>
  <c r="R68" i="3"/>
  <c r="S65" i="3" s="1"/>
  <c r="AJ8" i="6" l="1"/>
  <c r="AI21" i="6"/>
  <c r="AH13" i="6"/>
  <c r="AG26" i="6"/>
  <c r="AU6" i="6"/>
  <c r="AT19" i="6"/>
  <c r="AE12" i="6"/>
  <c r="AD25" i="6"/>
  <c r="AU11" i="6"/>
  <c r="AT24" i="6"/>
  <c r="L29" i="6"/>
  <c r="L23" i="4" s="1"/>
  <c r="L32" i="6"/>
  <c r="L12" i="4"/>
  <c r="L22" i="4" s="1"/>
  <c r="L46" i="4"/>
  <c r="AF15" i="6"/>
  <c r="AE28" i="6"/>
  <c r="Z18" i="8"/>
  <c r="AA40" i="3"/>
  <c r="AA61" i="3"/>
  <c r="AA62" i="3" s="1"/>
  <c r="AB59" i="3" s="1"/>
  <c r="Q87" i="3"/>
  <c r="Q88" i="3" s="1"/>
  <c r="Q91" i="3" s="1"/>
  <c r="Q95" i="3" s="1"/>
  <c r="S67" i="3"/>
  <c r="S85" i="3" s="1"/>
  <c r="S21" i="4" s="1"/>
  <c r="R56" i="3"/>
  <c r="S53" i="3" s="1"/>
  <c r="S49" i="3"/>
  <c r="S84" i="3" s="1"/>
  <c r="S20" i="4" s="1"/>
  <c r="R19" i="4"/>
  <c r="R86" i="3"/>
  <c r="AI13" i="6" l="1"/>
  <c r="AH26" i="6"/>
  <c r="L24" i="4"/>
  <c r="L25" i="4" s="1"/>
  <c r="L26" i="4" s="1"/>
  <c r="L29" i="4" s="1"/>
  <c r="AK8" i="6"/>
  <c r="AJ21" i="6"/>
  <c r="AV6" i="6"/>
  <c r="AU19" i="6"/>
  <c r="AV11" i="6"/>
  <c r="AU24" i="6"/>
  <c r="AF12" i="6"/>
  <c r="AE25" i="6"/>
  <c r="L55" i="4"/>
  <c r="L30" i="4"/>
  <c r="M14" i="6"/>
  <c r="AG15" i="6"/>
  <c r="AF28" i="6"/>
  <c r="S68" i="3"/>
  <c r="T65" i="3" s="1"/>
  <c r="T67" i="3" s="1"/>
  <c r="T85" i="3" s="1"/>
  <c r="T21" i="4" s="1"/>
  <c r="AA18" i="8"/>
  <c r="AB40" i="3"/>
  <c r="AB61" i="3"/>
  <c r="AB62" i="3" s="1"/>
  <c r="AC59" i="3" s="1"/>
  <c r="R87" i="3"/>
  <c r="R88" i="3" s="1"/>
  <c r="R91" i="3" s="1"/>
  <c r="R95" i="3" s="1"/>
  <c r="S55" i="3"/>
  <c r="S83" i="3" s="1"/>
  <c r="S50" i="3"/>
  <c r="T47" i="3" s="1"/>
  <c r="L54" i="4" l="1"/>
  <c r="AL8" i="6"/>
  <c r="AK21" i="6"/>
  <c r="AJ13" i="6"/>
  <c r="AI26" i="6"/>
  <c r="L56" i="4"/>
  <c r="M53" i="4" s="1"/>
  <c r="AW6" i="6"/>
  <c r="AV19" i="6"/>
  <c r="M27" i="6"/>
  <c r="AG12" i="6"/>
  <c r="AF25" i="6"/>
  <c r="AW11" i="6"/>
  <c r="AV24" i="6"/>
  <c r="L31" i="4"/>
  <c r="L35" i="4" s="1"/>
  <c r="L45" i="4" s="1"/>
  <c r="L47" i="4" s="1"/>
  <c r="AH15" i="6"/>
  <c r="AG28" i="6"/>
  <c r="AB18" i="8"/>
  <c r="AC40" i="3"/>
  <c r="S56" i="3"/>
  <c r="T53" i="3" s="1"/>
  <c r="T55" i="3" s="1"/>
  <c r="T83" i="3" s="1"/>
  <c r="T49" i="3"/>
  <c r="T84" i="3" s="1"/>
  <c r="T20" i="4" s="1"/>
  <c r="AC61" i="3"/>
  <c r="AC62" i="3" s="1"/>
  <c r="AD59" i="3" s="1"/>
  <c r="S19" i="4"/>
  <c r="S86" i="3"/>
  <c r="T68" i="3"/>
  <c r="U65" i="3" s="1"/>
  <c r="AM8" i="6" l="1"/>
  <c r="AL21" i="6"/>
  <c r="AK13" i="6"/>
  <c r="AJ26" i="6"/>
  <c r="AX6" i="6"/>
  <c r="AW19" i="6"/>
  <c r="AX11" i="6"/>
  <c r="AW24" i="6"/>
  <c r="AH12" i="6"/>
  <c r="AG25" i="6"/>
  <c r="M29" i="6"/>
  <c r="M23" i="4" s="1"/>
  <c r="M32" i="6"/>
  <c r="M46" i="4"/>
  <c r="M12" i="4"/>
  <c r="M22" i="4" s="1"/>
  <c r="AI15" i="6"/>
  <c r="AH28" i="6"/>
  <c r="T50" i="3"/>
  <c r="U47" i="3" s="1"/>
  <c r="AC18" i="8"/>
  <c r="AD40" i="3"/>
  <c r="AD61" i="3"/>
  <c r="AD62" i="3" s="1"/>
  <c r="AE59" i="3" s="1"/>
  <c r="T19" i="4"/>
  <c r="T86" i="3"/>
  <c r="U67" i="3"/>
  <c r="U85" i="3" s="1"/>
  <c r="U21" i="4" s="1"/>
  <c r="T56" i="3"/>
  <c r="U53" i="3" s="1"/>
  <c r="S87" i="3"/>
  <c r="S88" i="3" s="1"/>
  <c r="S91" i="3" s="1"/>
  <c r="S95" i="3" s="1"/>
  <c r="U49" i="3"/>
  <c r="U84" i="3" s="1"/>
  <c r="U20" i="4" s="1"/>
  <c r="AL13" i="6" l="1"/>
  <c r="AK26" i="6"/>
  <c r="AN8" i="6"/>
  <c r="AM21" i="6"/>
  <c r="AY6" i="6"/>
  <c r="AX19" i="6"/>
  <c r="M24" i="4"/>
  <c r="M30" i="4"/>
  <c r="N14" i="6"/>
  <c r="AI12" i="6"/>
  <c r="AH25" i="6"/>
  <c r="AY11" i="6"/>
  <c r="AX24" i="6"/>
  <c r="AJ15" i="6"/>
  <c r="AI28" i="6"/>
  <c r="AD18" i="8"/>
  <c r="AE40" i="3"/>
  <c r="AE61" i="3"/>
  <c r="AE62" i="3" s="1"/>
  <c r="AF59" i="3" s="1"/>
  <c r="U55" i="3"/>
  <c r="U83" i="3" s="1"/>
  <c r="T87" i="3"/>
  <c r="T88" i="3" s="1"/>
  <c r="T91" i="3" s="1"/>
  <c r="T95" i="3" s="1"/>
  <c r="U50" i="3"/>
  <c r="V47" i="3" s="1"/>
  <c r="U68" i="3"/>
  <c r="V65" i="3" s="1"/>
  <c r="AO8" i="6" l="1"/>
  <c r="AN21" i="6"/>
  <c r="AM13" i="6"/>
  <c r="AL26" i="6"/>
  <c r="AZ6" i="6"/>
  <c r="AY19" i="6"/>
  <c r="AZ11" i="6"/>
  <c r="AY24" i="6"/>
  <c r="AJ12" i="6"/>
  <c r="AI25" i="6"/>
  <c r="N27" i="6"/>
  <c r="M25" i="4"/>
  <c r="M26" i="4" s="1"/>
  <c r="M29" i="4" s="1"/>
  <c r="M31" i="4" s="1"/>
  <c r="M35" i="4" s="1"/>
  <c r="M45" i="4" s="1"/>
  <c r="M47" i="4" s="1"/>
  <c r="M54" i="4"/>
  <c r="M55" i="4"/>
  <c r="AK15" i="6"/>
  <c r="AJ28" i="6"/>
  <c r="AE18" i="8"/>
  <c r="AF40" i="3"/>
  <c r="V49" i="3"/>
  <c r="V84" i="3" s="1"/>
  <c r="V20" i="4" s="1"/>
  <c r="V67" i="3"/>
  <c r="V85" i="3" s="1"/>
  <c r="V21" i="4" s="1"/>
  <c r="U56" i="3"/>
  <c r="V53" i="3" s="1"/>
  <c r="U19" i="4"/>
  <c r="U86" i="3"/>
  <c r="AF61" i="3"/>
  <c r="AF62" i="3" s="1"/>
  <c r="AG59" i="3" s="1"/>
  <c r="AN13" i="6" l="1"/>
  <c r="AM26" i="6"/>
  <c r="AP8" i="6"/>
  <c r="AO21" i="6"/>
  <c r="BA6" i="6"/>
  <c r="BA19" i="6" s="1"/>
  <c r="AZ19" i="6"/>
  <c r="AK12" i="6"/>
  <c r="AJ25" i="6"/>
  <c r="M56" i="4"/>
  <c r="N53" i="4" s="1"/>
  <c r="N29" i="6"/>
  <c r="N23" i="4" s="1"/>
  <c r="N32" i="6"/>
  <c r="N46" i="4"/>
  <c r="N12" i="4"/>
  <c r="N22" i="4" s="1"/>
  <c r="BA11" i="6"/>
  <c r="BA24" i="6" s="1"/>
  <c r="AZ24" i="6"/>
  <c r="AL15" i="6"/>
  <c r="AK28" i="6"/>
  <c r="AF18" i="8"/>
  <c r="AG40" i="3"/>
  <c r="AG61" i="3"/>
  <c r="AG62" i="3" s="1"/>
  <c r="AH59" i="3" s="1"/>
  <c r="V55" i="3"/>
  <c r="V83" i="3" s="1"/>
  <c r="U87" i="3"/>
  <c r="U88" i="3" s="1"/>
  <c r="U91" i="3" s="1"/>
  <c r="U95" i="3" s="1"/>
  <c r="V68" i="3"/>
  <c r="W65" i="3" s="1"/>
  <c r="V50" i="3"/>
  <c r="W47" i="3" s="1"/>
  <c r="AQ8" i="6" l="1"/>
  <c r="AP21" i="6"/>
  <c r="AO13" i="6"/>
  <c r="AN26" i="6"/>
  <c r="N24" i="4"/>
  <c r="N30" i="4"/>
  <c r="O14" i="6"/>
  <c r="AL12" i="6"/>
  <c r="AK25" i="6"/>
  <c r="AM15" i="6"/>
  <c r="AL28" i="6"/>
  <c r="AG18" i="8"/>
  <c r="AH40" i="3"/>
  <c r="AH61" i="3"/>
  <c r="AH62" i="3" s="1"/>
  <c r="AI59" i="3" s="1"/>
  <c r="W49" i="3"/>
  <c r="W84" i="3" s="1"/>
  <c r="W20" i="4" s="1"/>
  <c r="V19" i="4"/>
  <c r="V86" i="3"/>
  <c r="W67" i="3"/>
  <c r="W85" i="3" s="1"/>
  <c r="W21" i="4" s="1"/>
  <c r="V56" i="3"/>
  <c r="W53" i="3" s="1"/>
  <c r="AP13" i="6" l="1"/>
  <c r="AO26" i="6"/>
  <c r="AR8" i="6"/>
  <c r="AQ21" i="6"/>
  <c r="AM12" i="6"/>
  <c r="AL25" i="6"/>
  <c r="O27" i="6"/>
  <c r="N55" i="4"/>
  <c r="N25" i="4"/>
  <c r="N26" i="4" s="1"/>
  <c r="N29" i="4" s="1"/>
  <c r="N31" i="4" s="1"/>
  <c r="N35" i="4" s="1"/>
  <c r="N45" i="4" s="1"/>
  <c r="N47" i="4" s="1"/>
  <c r="N54" i="4"/>
  <c r="AN15" i="6"/>
  <c r="AM28" i="6"/>
  <c r="AH18" i="8"/>
  <c r="AI40" i="3"/>
  <c r="AI61" i="3"/>
  <c r="AI62" i="3" s="1"/>
  <c r="AJ59" i="3" s="1"/>
  <c r="W55" i="3"/>
  <c r="W83" i="3" s="1"/>
  <c r="V87" i="3"/>
  <c r="V88" i="3" s="1"/>
  <c r="V91" i="3" s="1"/>
  <c r="V95" i="3" s="1"/>
  <c r="W68" i="3"/>
  <c r="X65" i="3" s="1"/>
  <c r="W50" i="3"/>
  <c r="X47" i="3" s="1"/>
  <c r="AS8" i="6" l="1"/>
  <c r="AR21" i="6"/>
  <c r="AQ13" i="6"/>
  <c r="AP26" i="6"/>
  <c r="N56" i="4"/>
  <c r="O53" i="4" s="1"/>
  <c r="O12" i="4"/>
  <c r="O22" i="4" s="1"/>
  <c r="O46" i="4"/>
  <c r="O29" i="6"/>
  <c r="O23" i="4" s="1"/>
  <c r="O32" i="6"/>
  <c r="AN12" i="6"/>
  <c r="AM25" i="6"/>
  <c r="AO15" i="6"/>
  <c r="AN28" i="6"/>
  <c r="W56" i="3"/>
  <c r="X53" i="3" s="1"/>
  <c r="AI18" i="8"/>
  <c r="AJ40" i="3"/>
  <c r="AJ61" i="3"/>
  <c r="AJ62" i="3" s="1"/>
  <c r="AK59" i="3" s="1"/>
  <c r="X49" i="3"/>
  <c r="X84" i="3" s="1"/>
  <c r="X20" i="4" s="1"/>
  <c r="X67" i="3"/>
  <c r="X85" i="3" s="1"/>
  <c r="X21" i="4" s="1"/>
  <c r="W19" i="4"/>
  <c r="W86" i="3"/>
  <c r="X55" i="3"/>
  <c r="X83" i="3" s="1"/>
  <c r="X50" i="3" l="1"/>
  <c r="Y47" i="3" s="1"/>
  <c r="AR13" i="6"/>
  <c r="AQ26" i="6"/>
  <c r="AT8" i="6"/>
  <c r="AS21" i="6"/>
  <c r="O24" i="4"/>
  <c r="O54" i="4" s="1"/>
  <c r="AO12" i="6"/>
  <c r="AN25" i="6"/>
  <c r="O30" i="4"/>
  <c r="P14" i="6"/>
  <c r="O55" i="4"/>
  <c r="O25" i="4"/>
  <c r="O26" i="4" s="1"/>
  <c r="O29" i="4" s="1"/>
  <c r="AP15" i="6"/>
  <c r="AO28" i="6"/>
  <c r="X68" i="3"/>
  <c r="Y65" i="3" s="1"/>
  <c r="Y67" i="3" s="1"/>
  <c r="Y85" i="3" s="1"/>
  <c r="Y21" i="4" s="1"/>
  <c r="AJ18" i="8"/>
  <c r="AK40" i="3"/>
  <c r="AK61" i="3"/>
  <c r="AK62" i="3" s="1"/>
  <c r="AL59" i="3" s="1"/>
  <c r="X19" i="4"/>
  <c r="X86" i="3"/>
  <c r="X56" i="3"/>
  <c r="Y53" i="3" s="1"/>
  <c r="W87" i="3"/>
  <c r="W88" i="3" s="1"/>
  <c r="W91" i="3" s="1"/>
  <c r="W95" i="3" s="1"/>
  <c r="Y49" i="3"/>
  <c r="Y84" i="3" s="1"/>
  <c r="Y20" i="4" s="1"/>
  <c r="AU8" i="6" l="1"/>
  <c r="AT21" i="6"/>
  <c r="AS13" i="6"/>
  <c r="AR26" i="6"/>
  <c r="O56" i="4"/>
  <c r="P53" i="4" s="1"/>
  <c r="O31" i="4"/>
  <c r="O35" i="4" s="1"/>
  <c r="O45" i="4" s="1"/>
  <c r="O47" i="4" s="1"/>
  <c r="P27" i="6"/>
  <c r="AP12" i="6"/>
  <c r="AO25" i="6"/>
  <c r="AQ15" i="6"/>
  <c r="AP28" i="6"/>
  <c r="AK18" i="8"/>
  <c r="AL40" i="3"/>
  <c r="AL61" i="3"/>
  <c r="AL62" i="3" s="1"/>
  <c r="AM59" i="3" s="1"/>
  <c r="X87" i="3"/>
  <c r="X88" i="3" s="1"/>
  <c r="X91" i="3" s="1"/>
  <c r="X95" i="3" s="1"/>
  <c r="Y55" i="3"/>
  <c r="Y83" i="3" s="1"/>
  <c r="Y50" i="3"/>
  <c r="Z47" i="3" s="1"/>
  <c r="Y68" i="3"/>
  <c r="Z65" i="3" s="1"/>
  <c r="AT13" i="6" l="1"/>
  <c r="AS26" i="6"/>
  <c r="AV8" i="6"/>
  <c r="AU21" i="6"/>
  <c r="P46" i="4"/>
  <c r="P12" i="4"/>
  <c r="P22" i="4" s="1"/>
  <c r="P24" i="4" s="1"/>
  <c r="AQ12" i="6"/>
  <c r="AP25" i="6"/>
  <c r="P29" i="6"/>
  <c r="P23" i="4" s="1"/>
  <c r="P32" i="6"/>
  <c r="AR15" i="6"/>
  <c r="AQ28" i="6"/>
  <c r="AL18" i="8"/>
  <c r="AM40" i="3"/>
  <c r="AM61" i="3"/>
  <c r="AM62" i="3" s="1"/>
  <c r="AN59" i="3" s="1"/>
  <c r="Y19" i="4"/>
  <c r="Y86" i="3"/>
  <c r="Z49" i="3"/>
  <c r="Z84" i="3" s="1"/>
  <c r="Z20" i="4" s="1"/>
  <c r="Z67" i="3"/>
  <c r="Z85" i="3" s="1"/>
  <c r="Z21" i="4" s="1"/>
  <c r="Y56" i="3"/>
  <c r="Z53" i="3" s="1"/>
  <c r="AW8" i="6" l="1"/>
  <c r="AV21" i="6"/>
  <c r="AU13" i="6"/>
  <c r="AT26" i="6"/>
  <c r="P30" i="4"/>
  <c r="Q14" i="6"/>
  <c r="AR12" i="6"/>
  <c r="AQ25" i="6"/>
  <c r="P54" i="4"/>
  <c r="P25" i="4"/>
  <c r="P26" i="4" s="1"/>
  <c r="P29" i="4" s="1"/>
  <c r="P31" i="4" s="1"/>
  <c r="P35" i="4" s="1"/>
  <c r="P45" i="4" s="1"/>
  <c r="P47" i="4" s="1"/>
  <c r="P55" i="4"/>
  <c r="AS15" i="6"/>
  <c r="AR28" i="6"/>
  <c r="AM18" i="8"/>
  <c r="AN40" i="3"/>
  <c r="Z55" i="3"/>
  <c r="Z83" i="3" s="1"/>
  <c r="AN61" i="3"/>
  <c r="AN62" i="3" s="1"/>
  <c r="AO59" i="3" s="1"/>
  <c r="Y87" i="3"/>
  <c r="Y88" i="3" s="1"/>
  <c r="Y91" i="3" s="1"/>
  <c r="Y95" i="3" s="1"/>
  <c r="Z68" i="3"/>
  <c r="AA65" i="3" s="1"/>
  <c r="Z50" i="3"/>
  <c r="AA47" i="3" s="1"/>
  <c r="AV13" i="6" l="1"/>
  <c r="AU26" i="6"/>
  <c r="AX8" i="6"/>
  <c r="AW21" i="6"/>
  <c r="Q46" i="4"/>
  <c r="Q12" i="4"/>
  <c r="Q22" i="4" s="1"/>
  <c r="Q27" i="6"/>
  <c r="P56" i="4"/>
  <c r="Q53" i="4" s="1"/>
  <c r="AS12" i="6"/>
  <c r="AR25" i="6"/>
  <c r="AT15" i="6"/>
  <c r="AS28" i="6"/>
  <c r="Z56" i="3"/>
  <c r="AA53" i="3" s="1"/>
  <c r="AN18" i="8"/>
  <c r="AO40" i="3"/>
  <c r="AO61" i="3"/>
  <c r="AO62" i="3" s="1"/>
  <c r="AP59" i="3" s="1"/>
  <c r="AA67" i="3"/>
  <c r="AA85" i="3" s="1"/>
  <c r="AA21" i="4" s="1"/>
  <c r="AA49" i="3"/>
  <c r="AA84" i="3" s="1"/>
  <c r="AA20" i="4" s="1"/>
  <c r="Z19" i="4"/>
  <c r="Z86" i="3"/>
  <c r="AA55" i="3"/>
  <c r="AA83" i="3" s="1"/>
  <c r="AY8" i="6" l="1"/>
  <c r="AX21" i="6"/>
  <c r="AW13" i="6"/>
  <c r="AV26" i="6"/>
  <c r="AT12" i="6"/>
  <c r="AS25" i="6"/>
  <c r="Q32" i="6"/>
  <c r="Q29" i="6"/>
  <c r="Q23" i="4" s="1"/>
  <c r="Q24" i="4" s="1"/>
  <c r="AU15" i="6"/>
  <c r="AT28" i="6"/>
  <c r="AO18" i="8"/>
  <c r="AP40" i="3"/>
  <c r="AP61" i="3"/>
  <c r="AP62" i="3" s="1"/>
  <c r="AQ59" i="3" s="1"/>
  <c r="AA56" i="3"/>
  <c r="AB53" i="3" s="1"/>
  <c r="AA19" i="4"/>
  <c r="AA86" i="3"/>
  <c r="Z87" i="3"/>
  <c r="Z88" i="3" s="1"/>
  <c r="Z91" i="3" s="1"/>
  <c r="Z95" i="3" s="1"/>
  <c r="AA50" i="3"/>
  <c r="AB47" i="3" s="1"/>
  <c r="AA68" i="3"/>
  <c r="AB65" i="3" s="1"/>
  <c r="AX13" i="6" l="1"/>
  <c r="AW26" i="6"/>
  <c r="AZ8" i="6"/>
  <c r="AY21" i="6"/>
  <c r="Q30" i="4"/>
  <c r="R14" i="6"/>
  <c r="AU12" i="6"/>
  <c r="AT25" i="6"/>
  <c r="Q55" i="4"/>
  <c r="Q54" i="4"/>
  <c r="Q25" i="4"/>
  <c r="Q26" i="4" s="1"/>
  <c r="Q29" i="4" s="1"/>
  <c r="AV15" i="6"/>
  <c r="AU28" i="6"/>
  <c r="AP18" i="8"/>
  <c r="AQ40" i="3"/>
  <c r="AB67" i="3"/>
  <c r="AB85" i="3" s="1"/>
  <c r="AB21" i="4" s="1"/>
  <c r="AA87" i="3"/>
  <c r="AA88" i="3" s="1"/>
  <c r="AA91" i="3" s="1"/>
  <c r="AA95" i="3" s="1"/>
  <c r="AB55" i="3"/>
  <c r="AB83" i="3" s="1"/>
  <c r="AQ61" i="3"/>
  <c r="AQ62" i="3" s="1"/>
  <c r="AR59" i="3" s="1"/>
  <c r="AB49" i="3"/>
  <c r="AB84" i="3" s="1"/>
  <c r="AB20" i="4" s="1"/>
  <c r="BA8" i="6" l="1"/>
  <c r="BA21" i="6" s="1"/>
  <c r="AZ21" i="6"/>
  <c r="Q56" i="4"/>
  <c r="R53" i="4" s="1"/>
  <c r="AY13" i="6"/>
  <c r="AX26" i="6"/>
  <c r="Q31" i="4"/>
  <c r="Q35" i="4" s="1"/>
  <c r="Q45" i="4" s="1"/>
  <c r="Q47" i="4" s="1"/>
  <c r="R27" i="6"/>
  <c r="AV12" i="6"/>
  <c r="AU25" i="6"/>
  <c r="AW15" i="6"/>
  <c r="AV28" i="6"/>
  <c r="AQ18" i="8"/>
  <c r="AR40" i="3"/>
  <c r="AB19" i="4"/>
  <c r="AB86" i="3"/>
  <c r="AR61" i="3"/>
  <c r="AR62" i="3" s="1"/>
  <c r="AS59" i="3" s="1"/>
  <c r="AB50" i="3"/>
  <c r="AC47" i="3" s="1"/>
  <c r="AB56" i="3"/>
  <c r="AC53" i="3" s="1"/>
  <c r="AB68" i="3"/>
  <c r="AC65" i="3" s="1"/>
  <c r="AZ13" i="6" l="1"/>
  <c r="AY26" i="6"/>
  <c r="R32" i="6"/>
  <c r="R29" i="6"/>
  <c r="R23" i="4" s="1"/>
  <c r="R46" i="4"/>
  <c r="R12" i="4"/>
  <c r="R22" i="4" s="1"/>
  <c r="AW12" i="6"/>
  <c r="AV25" i="6"/>
  <c r="AX15" i="6"/>
  <c r="AW28" i="6"/>
  <c r="AR18" i="8"/>
  <c r="AS40" i="3"/>
  <c r="AC67" i="3"/>
  <c r="AC85" i="3" s="1"/>
  <c r="AC21" i="4" s="1"/>
  <c r="AC55" i="3"/>
  <c r="AC83" i="3" s="1"/>
  <c r="AC49" i="3"/>
  <c r="AC84" i="3" s="1"/>
  <c r="AC20" i="4" s="1"/>
  <c r="AS61" i="3"/>
  <c r="AS62" i="3" s="1"/>
  <c r="AT59" i="3" s="1"/>
  <c r="AB87" i="3"/>
  <c r="AB88" i="3" s="1"/>
  <c r="AB91" i="3" s="1"/>
  <c r="AB95" i="3" s="1"/>
  <c r="R24" i="4" l="1"/>
  <c r="BA13" i="6"/>
  <c r="BA26" i="6" s="1"/>
  <c r="AZ26" i="6"/>
  <c r="R30" i="4"/>
  <c r="S14" i="6"/>
  <c r="R54" i="4"/>
  <c r="R25" i="4"/>
  <c r="R26" i="4" s="1"/>
  <c r="R29" i="4" s="1"/>
  <c r="R55" i="4"/>
  <c r="AX12" i="6"/>
  <c r="AW25" i="6"/>
  <c r="AY15" i="6"/>
  <c r="AX28" i="6"/>
  <c r="AS18" i="8"/>
  <c r="AT40" i="3"/>
  <c r="AT61" i="3"/>
  <c r="AT62" i="3" s="1"/>
  <c r="AU59" i="3" s="1"/>
  <c r="AC50" i="3"/>
  <c r="AD47" i="3" s="1"/>
  <c r="AC56" i="3"/>
  <c r="AD53" i="3" s="1"/>
  <c r="AC68" i="3"/>
  <c r="AD65" i="3" s="1"/>
  <c r="AC19" i="4"/>
  <c r="AC86" i="3"/>
  <c r="R31" i="4" l="1"/>
  <c r="R35" i="4" s="1"/>
  <c r="R45" i="4" s="1"/>
  <c r="R47" i="4" s="1"/>
  <c r="R56" i="4"/>
  <c r="S53" i="4" s="1"/>
  <c r="S12" i="4"/>
  <c r="S22" i="4" s="1"/>
  <c r="S46" i="4"/>
  <c r="S27" i="6"/>
  <c r="T14" i="6"/>
  <c r="AY12" i="6"/>
  <c r="AX25" i="6"/>
  <c r="AZ15" i="6"/>
  <c r="AY28" i="6"/>
  <c r="AT18" i="8"/>
  <c r="AU40" i="3"/>
  <c r="AC87" i="3"/>
  <c r="AC88" i="3" s="1"/>
  <c r="AC91" i="3" s="1"/>
  <c r="AC95" i="3" s="1"/>
  <c r="AD67" i="3"/>
  <c r="AD85" i="3" s="1"/>
  <c r="AD21" i="4" s="1"/>
  <c r="AD49" i="3"/>
  <c r="AD84" i="3" s="1"/>
  <c r="AD20" i="4" s="1"/>
  <c r="AU61" i="3"/>
  <c r="AU62" i="3" s="1"/>
  <c r="AV59" i="3" s="1"/>
  <c r="AD55" i="3"/>
  <c r="AD83" i="3" s="1"/>
  <c r="AD56" i="3" l="1"/>
  <c r="AE53" i="3" s="1"/>
  <c r="AZ12" i="6"/>
  <c r="AY25" i="6"/>
  <c r="T27" i="6"/>
  <c r="U14" i="6"/>
  <c r="S31" i="6"/>
  <c r="S29" i="6"/>
  <c r="S23" i="4" s="1"/>
  <c r="S24" i="4" s="1"/>
  <c r="BA15" i="6"/>
  <c r="BA28" i="6" s="1"/>
  <c r="AZ28" i="6"/>
  <c r="AD50" i="3"/>
  <c r="AE47" i="3" s="1"/>
  <c r="AD68" i="3"/>
  <c r="AE65" i="3" s="1"/>
  <c r="AE67" i="3" s="1"/>
  <c r="AE85" i="3" s="1"/>
  <c r="AE21" i="4" s="1"/>
  <c r="AU18" i="8"/>
  <c r="AV40" i="3"/>
  <c r="AV61" i="3"/>
  <c r="AV62" i="3" s="1"/>
  <c r="AW59" i="3" s="1"/>
  <c r="AD19" i="4"/>
  <c r="AD86" i="3"/>
  <c r="AE55" i="3"/>
  <c r="AE83" i="3" s="1"/>
  <c r="AE49" i="3"/>
  <c r="AE84" i="3" s="1"/>
  <c r="AE20" i="4" s="1"/>
  <c r="S55" i="4" l="1"/>
  <c r="S54" i="4"/>
  <c r="S25" i="4"/>
  <c r="S26" i="4" s="1"/>
  <c r="S29" i="4" s="1"/>
  <c r="S31" i="4" s="1"/>
  <c r="S35" i="4" s="1"/>
  <c r="S45" i="4" s="1"/>
  <c r="S47" i="4" s="1"/>
  <c r="V14" i="6"/>
  <c r="U27" i="6"/>
  <c r="T31" i="6"/>
  <c r="T29" i="6"/>
  <c r="T23" i="4" s="1"/>
  <c r="BA12" i="6"/>
  <c r="BA25" i="6" s="1"/>
  <c r="AZ25" i="6"/>
  <c r="AV18" i="8"/>
  <c r="AW40" i="3"/>
  <c r="AW61" i="3"/>
  <c r="AW62" i="3" s="1"/>
  <c r="AX59" i="3" s="1"/>
  <c r="AE68" i="3"/>
  <c r="AF65" i="3" s="1"/>
  <c r="AE50" i="3"/>
  <c r="AF47" i="3" s="1"/>
  <c r="AE56" i="3"/>
  <c r="AF53" i="3" s="1"/>
  <c r="AE19" i="4"/>
  <c r="AE86" i="3"/>
  <c r="AD87" i="3"/>
  <c r="AD88" i="3"/>
  <c r="AD91" i="3" s="1"/>
  <c r="AD95" i="3" s="1"/>
  <c r="W14" i="6" l="1"/>
  <c r="V27" i="6"/>
  <c r="S56" i="4"/>
  <c r="T53" i="4" s="1"/>
  <c r="U29" i="6"/>
  <c r="U23" i="4" s="1"/>
  <c r="U31" i="6"/>
  <c r="T12" i="4"/>
  <c r="T22" i="4" s="1"/>
  <c r="T24" i="4" s="1"/>
  <c r="T46" i="4"/>
  <c r="AW18" i="8"/>
  <c r="AX40" i="3"/>
  <c r="AX61" i="3"/>
  <c r="AX62" i="3" s="1"/>
  <c r="AY59" i="3" s="1"/>
  <c r="AF49" i="3"/>
  <c r="AF84" i="3" s="1"/>
  <c r="AF20" i="4" s="1"/>
  <c r="AE87" i="3"/>
  <c r="AE88" i="3" s="1"/>
  <c r="AE91" i="3" s="1"/>
  <c r="AE95" i="3" s="1"/>
  <c r="AF55" i="3"/>
  <c r="AF83" i="3" s="1"/>
  <c r="AF67" i="3"/>
  <c r="AF85" i="3" s="1"/>
  <c r="AF21" i="4" s="1"/>
  <c r="T25" i="4" l="1"/>
  <c r="T26" i="4" s="1"/>
  <c r="T29" i="4" s="1"/>
  <c r="T31" i="4" s="1"/>
  <c r="T35" i="4" s="1"/>
  <c r="T45" i="4" s="1"/>
  <c r="T47" i="4" s="1"/>
  <c r="T54" i="4"/>
  <c r="T55" i="4"/>
  <c r="T56" i="4" s="1"/>
  <c r="U53" i="4" s="1"/>
  <c r="W27" i="6"/>
  <c r="X14" i="6"/>
  <c r="V31" i="6"/>
  <c r="V29" i="6"/>
  <c r="V23" i="4" s="1"/>
  <c r="AF50" i="3"/>
  <c r="AG47" i="3" s="1"/>
  <c r="AG49" i="3" s="1"/>
  <c r="AX18" i="8"/>
  <c r="AY40" i="3"/>
  <c r="AY61" i="3"/>
  <c r="AY62" i="3" s="1"/>
  <c r="AZ59" i="3" s="1"/>
  <c r="AF19" i="4"/>
  <c r="AF86" i="3"/>
  <c r="AF68" i="3"/>
  <c r="AG65" i="3" s="1"/>
  <c r="AF56" i="3"/>
  <c r="AG53" i="3" s="1"/>
  <c r="U46" i="4" l="1"/>
  <c r="U12" i="4"/>
  <c r="U22" i="4" s="1"/>
  <c r="U24" i="4" s="1"/>
  <c r="X27" i="6"/>
  <c r="Y14" i="6"/>
  <c r="W29" i="6"/>
  <c r="W23" i="4" s="1"/>
  <c r="W31" i="6"/>
  <c r="AG84" i="3"/>
  <c r="AG20" i="4" s="1"/>
  <c r="AG50" i="3"/>
  <c r="AH47" i="3" s="1"/>
  <c r="AH49" i="3" s="1"/>
  <c r="AH84" i="3" s="1"/>
  <c r="AH20" i="4" s="1"/>
  <c r="AY18" i="8"/>
  <c r="AZ40" i="3"/>
  <c r="AG55" i="3"/>
  <c r="AG83" i="3" s="1"/>
  <c r="AG56" i="3"/>
  <c r="AH53" i="3" s="1"/>
  <c r="AZ61" i="3"/>
  <c r="AZ62" i="3" s="1"/>
  <c r="BA59" i="3" s="1"/>
  <c r="AG67" i="3"/>
  <c r="AG85" i="3" s="1"/>
  <c r="AG21" i="4" s="1"/>
  <c r="AF87" i="3"/>
  <c r="AF88" i="3" s="1"/>
  <c r="AF91" i="3" s="1"/>
  <c r="AF95" i="3" s="1"/>
  <c r="Z14" i="6" l="1"/>
  <c r="Y27" i="6"/>
  <c r="U25" i="4"/>
  <c r="U26" i="4" s="1"/>
  <c r="U29" i="4" s="1"/>
  <c r="U31" i="4" s="1"/>
  <c r="U35" i="4" s="1"/>
  <c r="U45" i="4" s="1"/>
  <c r="U47" i="4" s="1"/>
  <c r="U55" i="4"/>
  <c r="U54" i="4"/>
  <c r="X29" i="6"/>
  <c r="X23" i="4" s="1"/>
  <c r="X31" i="6"/>
  <c r="AZ18" i="8"/>
  <c r="BA40" i="3"/>
  <c r="BA18" i="8" s="1"/>
  <c r="BA61" i="3"/>
  <c r="BA62" i="3" s="1"/>
  <c r="AG19" i="4"/>
  <c r="AG86" i="3"/>
  <c r="AH50" i="3"/>
  <c r="AI47" i="3" s="1"/>
  <c r="AG68" i="3"/>
  <c r="AH65" i="3" s="1"/>
  <c r="AH55" i="3"/>
  <c r="AH83" i="3" s="1"/>
  <c r="U56" i="4" l="1"/>
  <c r="V53" i="4" s="1"/>
  <c r="Y31" i="6"/>
  <c r="Y29" i="6"/>
  <c r="Y23" i="4" s="1"/>
  <c r="V12" i="4"/>
  <c r="V22" i="4" s="1"/>
  <c r="V24" i="4" s="1"/>
  <c r="V46" i="4"/>
  <c r="Z27" i="6"/>
  <c r="AA14" i="6"/>
  <c r="AH56" i="3"/>
  <c r="AI53" i="3" s="1"/>
  <c r="AI55" i="3" s="1"/>
  <c r="AI83" i="3" s="1"/>
  <c r="AH67" i="3"/>
  <c r="AH85" i="3" s="1"/>
  <c r="AH21" i="4" s="1"/>
  <c r="AG87" i="3"/>
  <c r="AG88" i="3" s="1"/>
  <c r="AG91" i="3" s="1"/>
  <c r="AG95" i="3" s="1"/>
  <c r="AH19" i="4"/>
  <c r="AI49" i="3"/>
  <c r="AI84" i="3" s="1"/>
  <c r="AI20" i="4" s="1"/>
  <c r="Z29" i="6" l="1"/>
  <c r="Z23" i="4" s="1"/>
  <c r="Z31" i="6"/>
  <c r="V55" i="4"/>
  <c r="V54" i="4"/>
  <c r="V25" i="4"/>
  <c r="V26" i="4" s="1"/>
  <c r="V29" i="4" s="1"/>
  <c r="V31" i="4" s="1"/>
  <c r="V35" i="4" s="1"/>
  <c r="V45" i="4" s="1"/>
  <c r="V47" i="4" s="1"/>
  <c r="AB14" i="6"/>
  <c r="AA27" i="6"/>
  <c r="AI19" i="4"/>
  <c r="AI50" i="3"/>
  <c r="AJ47" i="3" s="1"/>
  <c r="AH86" i="3"/>
  <c r="AH68" i="3"/>
  <c r="AI65" i="3" s="1"/>
  <c r="AI56" i="3"/>
  <c r="AJ53" i="3" s="1"/>
  <c r="V56" i="4" l="1"/>
  <c r="W53" i="4" s="1"/>
  <c r="W12" i="4"/>
  <c r="W22" i="4" s="1"/>
  <c r="W24" i="4" s="1"/>
  <c r="W46" i="4"/>
  <c r="AB27" i="6"/>
  <c r="AC14" i="6"/>
  <c r="AA29" i="6"/>
  <c r="AA23" i="4" s="1"/>
  <c r="AA31" i="6"/>
  <c r="AJ55" i="3"/>
  <c r="AJ83" i="3" s="1"/>
  <c r="AH87" i="3"/>
  <c r="AH88" i="3" s="1"/>
  <c r="AH91" i="3" s="1"/>
  <c r="AH95" i="3" s="1"/>
  <c r="AI67" i="3"/>
  <c r="AI85" i="3" s="1"/>
  <c r="AJ49" i="3"/>
  <c r="AJ84" i="3" s="1"/>
  <c r="AJ20" i="4" s="1"/>
  <c r="AD14" i="6" l="1"/>
  <c r="AC27" i="6"/>
  <c r="AB31" i="6"/>
  <c r="AB29" i="6"/>
  <c r="AB23" i="4" s="1"/>
  <c r="W55" i="4"/>
  <c r="W54" i="4"/>
  <c r="W25" i="4"/>
  <c r="W26" i="4" s="1"/>
  <c r="W29" i="4" s="1"/>
  <c r="W31" i="4" s="1"/>
  <c r="W35" i="4" s="1"/>
  <c r="W45" i="4" s="1"/>
  <c r="W47" i="4" s="1"/>
  <c r="AJ19" i="4"/>
  <c r="AI21" i="4"/>
  <c r="AI86" i="3"/>
  <c r="AJ50" i="3"/>
  <c r="AK47" i="3" s="1"/>
  <c r="AI68" i="3"/>
  <c r="AJ65" i="3" s="1"/>
  <c r="AJ56" i="3"/>
  <c r="AK53" i="3" s="1"/>
  <c r="W56" i="4" l="1"/>
  <c r="X53" i="4" s="1"/>
  <c r="AC31" i="6"/>
  <c r="AC29" i="6"/>
  <c r="AC23" i="4" s="1"/>
  <c r="X46" i="4"/>
  <c r="X12" i="4"/>
  <c r="X22" i="4" s="1"/>
  <c r="X24" i="4" s="1"/>
  <c r="AD27" i="6"/>
  <c r="AE14" i="6"/>
  <c r="AJ67" i="3"/>
  <c r="AJ85" i="3" s="1"/>
  <c r="AK55" i="3"/>
  <c r="AK83" i="3" s="1"/>
  <c r="AK49" i="3"/>
  <c r="AK84" i="3" s="1"/>
  <c r="AK20" i="4" s="1"/>
  <c r="AI87" i="3"/>
  <c r="AI88" i="3" s="1"/>
  <c r="AI91" i="3" s="1"/>
  <c r="AI95" i="3" s="1"/>
  <c r="X25" i="4" l="1"/>
  <c r="X26" i="4" s="1"/>
  <c r="X29" i="4" s="1"/>
  <c r="X31" i="4" s="1"/>
  <c r="X35" i="4" s="1"/>
  <c r="X45" i="4" s="1"/>
  <c r="X47" i="4" s="1"/>
  <c r="X54" i="4"/>
  <c r="X55" i="4"/>
  <c r="X56" i="4" s="1"/>
  <c r="Y53" i="4" s="1"/>
  <c r="AD29" i="6"/>
  <c r="AD23" i="4" s="1"/>
  <c r="AD31" i="6"/>
  <c r="AF14" i="6"/>
  <c r="AE27" i="6"/>
  <c r="AK50" i="3"/>
  <c r="AL47" i="3" s="1"/>
  <c r="AL49" i="3" s="1"/>
  <c r="AL84" i="3" s="1"/>
  <c r="AL20" i="4" s="1"/>
  <c r="AK56" i="3"/>
  <c r="AL53" i="3" s="1"/>
  <c r="AL55" i="3" s="1"/>
  <c r="AL83" i="3" s="1"/>
  <c r="AJ68" i="3"/>
  <c r="AK65" i="3" s="1"/>
  <c r="AK67" i="3"/>
  <c r="AK85" i="3" s="1"/>
  <c r="AK21" i="4" s="1"/>
  <c r="AK19" i="4"/>
  <c r="AJ21" i="4"/>
  <c r="AJ86" i="3"/>
  <c r="AK86" i="3" l="1"/>
  <c r="AF27" i="6"/>
  <c r="AG14" i="6"/>
  <c r="AE31" i="6"/>
  <c r="AE29" i="6"/>
  <c r="AE23" i="4" s="1"/>
  <c r="Y46" i="4"/>
  <c r="Y12" i="4"/>
  <c r="Y22" i="4" s="1"/>
  <c r="Y24" i="4" s="1"/>
  <c r="AL50" i="3"/>
  <c r="AM47" i="3" s="1"/>
  <c r="AM49" i="3" s="1"/>
  <c r="AM84" i="3" s="1"/>
  <c r="AM20" i="4" s="1"/>
  <c r="AK87" i="3"/>
  <c r="AK88" i="3" s="1"/>
  <c r="AK91" i="3" s="1"/>
  <c r="AK95" i="3" s="1"/>
  <c r="AL19" i="4"/>
  <c r="AJ87" i="3"/>
  <c r="AJ88" i="3" s="1"/>
  <c r="AJ91" i="3" s="1"/>
  <c r="AJ95" i="3" s="1"/>
  <c r="AK68" i="3"/>
  <c r="AL65" i="3" s="1"/>
  <c r="AL56" i="3"/>
  <c r="AM53" i="3" s="1"/>
  <c r="Y25" i="4" l="1"/>
  <c r="Y26" i="4" s="1"/>
  <c r="Y29" i="4" s="1"/>
  <c r="Y31" i="4" s="1"/>
  <c r="Y35" i="4" s="1"/>
  <c r="Y45" i="4" s="1"/>
  <c r="Y47" i="4" s="1"/>
  <c r="Y55" i="4"/>
  <c r="Y54" i="4"/>
  <c r="AH14" i="6"/>
  <c r="AG27" i="6"/>
  <c r="AF29" i="6"/>
  <c r="AF23" i="4" s="1"/>
  <c r="AF31" i="6"/>
  <c r="AM50" i="3"/>
  <c r="AN47" i="3" s="1"/>
  <c r="AN49" i="3" s="1"/>
  <c r="AN84" i="3" s="1"/>
  <c r="AN20" i="4" s="1"/>
  <c r="AM55" i="3"/>
  <c r="AM83" i="3" s="1"/>
  <c r="AL67" i="3"/>
  <c r="AL85" i="3" s="1"/>
  <c r="Y56" i="4" l="1"/>
  <c r="Z53" i="4" s="1"/>
  <c r="AI14" i="6"/>
  <c r="AH27" i="6"/>
  <c r="AG31" i="6"/>
  <c r="AG29" i="6"/>
  <c r="AG23" i="4" s="1"/>
  <c r="Z12" i="4"/>
  <c r="Z22" i="4" s="1"/>
  <c r="Z24" i="4" s="1"/>
  <c r="Z46" i="4"/>
  <c r="AL21" i="4"/>
  <c r="AL86" i="3"/>
  <c r="AM19" i="4"/>
  <c r="AN50" i="3"/>
  <c r="AO47" i="3" s="1"/>
  <c r="AL68" i="3"/>
  <c r="AM65" i="3" s="1"/>
  <c r="AM56" i="3"/>
  <c r="AN53" i="3" s="1"/>
  <c r="Z54" i="4" l="1"/>
  <c r="Z55" i="4"/>
  <c r="Z25" i="4"/>
  <c r="Z26" i="4" s="1"/>
  <c r="Z29" i="4" s="1"/>
  <c r="Z31" i="4" s="1"/>
  <c r="Z35" i="4" s="1"/>
  <c r="Z45" i="4" s="1"/>
  <c r="Z47" i="4" s="1"/>
  <c r="AI27" i="6"/>
  <c r="AJ14" i="6"/>
  <c r="AH31" i="6"/>
  <c r="AH29" i="6"/>
  <c r="AH23" i="4" s="1"/>
  <c r="AN55" i="3"/>
  <c r="AN83" i="3" s="1"/>
  <c r="AO49" i="3"/>
  <c r="AO84" i="3" s="1"/>
  <c r="AO20" i="4" s="1"/>
  <c r="AM67" i="3"/>
  <c r="AM85" i="3" s="1"/>
  <c r="AL87" i="3"/>
  <c r="AL88" i="3" s="1"/>
  <c r="AL91" i="3" s="1"/>
  <c r="AL95" i="3" s="1"/>
  <c r="Z56" i="4" l="1"/>
  <c r="AA53" i="4" s="1"/>
  <c r="AA12" i="4"/>
  <c r="AA22" i="4" s="1"/>
  <c r="AA24" i="4" s="1"/>
  <c r="AA46" i="4"/>
  <c r="AJ27" i="6"/>
  <c r="AK14" i="6"/>
  <c r="AI29" i="6"/>
  <c r="AI23" i="4" s="1"/>
  <c r="AI31" i="6"/>
  <c r="AM68" i="3"/>
  <c r="AN65" i="3" s="1"/>
  <c r="AN67" i="3" s="1"/>
  <c r="AN85" i="3" s="1"/>
  <c r="AN21" i="4" s="1"/>
  <c r="AO50" i="3"/>
  <c r="AP47" i="3" s="1"/>
  <c r="AN56" i="3"/>
  <c r="AO53" i="3" s="1"/>
  <c r="AM21" i="4"/>
  <c r="AM86" i="3"/>
  <c r="AN19" i="4"/>
  <c r="AP49" i="3"/>
  <c r="AP84" i="3" s="1"/>
  <c r="AP20" i="4" s="1"/>
  <c r="AO55" i="3"/>
  <c r="AO83" i="3" s="1"/>
  <c r="AN68" i="3" l="1"/>
  <c r="AO65" i="3" s="1"/>
  <c r="AO56" i="3"/>
  <c r="AP53" i="3" s="1"/>
  <c r="AP55" i="3" s="1"/>
  <c r="AP83" i="3" s="1"/>
  <c r="AJ31" i="6"/>
  <c r="AJ29" i="6"/>
  <c r="AJ23" i="4" s="1"/>
  <c r="AP50" i="3"/>
  <c r="AQ47" i="3" s="1"/>
  <c r="AL14" i="6"/>
  <c r="AK27" i="6"/>
  <c r="AA55" i="4"/>
  <c r="AA54" i="4"/>
  <c r="AA25" i="4"/>
  <c r="AA26" i="4" s="1"/>
  <c r="AA29" i="4" s="1"/>
  <c r="AA31" i="4" s="1"/>
  <c r="AA35" i="4" s="1"/>
  <c r="AA45" i="4" s="1"/>
  <c r="AA47" i="4" s="1"/>
  <c r="AN86" i="3"/>
  <c r="AO19" i="4"/>
  <c r="AQ49" i="3"/>
  <c r="AQ84" i="3" s="1"/>
  <c r="AQ20" i="4" s="1"/>
  <c r="AO67" i="3"/>
  <c r="AO85" i="3" s="1"/>
  <c r="AO21" i="4" s="1"/>
  <c r="AN87" i="3"/>
  <c r="AN88" i="3" s="1"/>
  <c r="AN91" i="3" s="1"/>
  <c r="AN95" i="3" s="1"/>
  <c r="AM87" i="3"/>
  <c r="AM88" i="3" s="1"/>
  <c r="AM91" i="3" s="1"/>
  <c r="AM95" i="3" s="1"/>
  <c r="AA56" i="4" l="1"/>
  <c r="AB53" i="4" s="1"/>
  <c r="AB46" i="4"/>
  <c r="AB12" i="4"/>
  <c r="AB22" i="4" s="1"/>
  <c r="AB24" i="4" s="1"/>
  <c r="AM14" i="6"/>
  <c r="AL27" i="6"/>
  <c r="AK31" i="6"/>
  <c r="AK29" i="6"/>
  <c r="AK23" i="4" s="1"/>
  <c r="AP19" i="4"/>
  <c r="AO68" i="3"/>
  <c r="AP65" i="3" s="1"/>
  <c r="AQ50" i="3"/>
  <c r="AR47" i="3" s="1"/>
  <c r="AP56" i="3"/>
  <c r="AQ53" i="3" s="1"/>
  <c r="AO86" i="3"/>
  <c r="AL29" i="6" l="1"/>
  <c r="AL23" i="4" s="1"/>
  <c r="AL31" i="6"/>
  <c r="AB55" i="4"/>
  <c r="AB54" i="4"/>
  <c r="AB25" i="4"/>
  <c r="AB26" i="4" s="1"/>
  <c r="AB29" i="4" s="1"/>
  <c r="AB31" i="4" s="1"/>
  <c r="AB35" i="4" s="1"/>
  <c r="AB45" i="4" s="1"/>
  <c r="AB47" i="4" s="1"/>
  <c r="AM27" i="6"/>
  <c r="AN14" i="6"/>
  <c r="AP67" i="3"/>
  <c r="AP85" i="3" s="1"/>
  <c r="AQ55" i="3"/>
  <c r="AQ83" i="3" s="1"/>
  <c r="AO87" i="3"/>
  <c r="AO88" i="3" s="1"/>
  <c r="AO91" i="3" s="1"/>
  <c r="AO95" i="3" s="1"/>
  <c r="AR49" i="3"/>
  <c r="AR84" i="3" s="1"/>
  <c r="AR20" i="4" s="1"/>
  <c r="AO14" i="6" l="1"/>
  <c r="AN27" i="6"/>
  <c r="AM29" i="6"/>
  <c r="AM23" i="4" s="1"/>
  <c r="AM31" i="6"/>
  <c r="AB56" i="4"/>
  <c r="AC53" i="4" s="1"/>
  <c r="AC46" i="4"/>
  <c r="AC12" i="4"/>
  <c r="AC22" i="4" s="1"/>
  <c r="AC24" i="4" s="1"/>
  <c r="AP21" i="4"/>
  <c r="AP86" i="3"/>
  <c r="AQ19" i="4"/>
  <c r="AR50" i="3"/>
  <c r="AS47" i="3" s="1"/>
  <c r="AQ56" i="3"/>
  <c r="AR53" i="3" s="1"/>
  <c r="AP68" i="3"/>
  <c r="AQ65" i="3" s="1"/>
  <c r="AN31" i="6" l="1"/>
  <c r="AN29" i="6"/>
  <c r="AN23" i="4" s="1"/>
  <c r="AC25" i="4"/>
  <c r="AC26" i="4" s="1"/>
  <c r="AC29" i="4" s="1"/>
  <c r="AC31" i="4" s="1"/>
  <c r="AC35" i="4" s="1"/>
  <c r="AC45" i="4" s="1"/>
  <c r="AC47" i="4" s="1"/>
  <c r="AC54" i="4"/>
  <c r="AC56" i="4" s="1"/>
  <c r="AD53" i="4" s="1"/>
  <c r="AC55" i="4"/>
  <c r="AO27" i="6"/>
  <c r="AP14" i="6"/>
  <c r="AR55" i="3"/>
  <c r="AR83" i="3" s="1"/>
  <c r="AQ67" i="3"/>
  <c r="AQ85" i="3" s="1"/>
  <c r="AS49" i="3"/>
  <c r="AS84" i="3" s="1"/>
  <c r="AS20" i="4" s="1"/>
  <c r="AP87" i="3"/>
  <c r="AP88" i="3" s="1"/>
  <c r="AP91" i="3" s="1"/>
  <c r="AP95" i="3" s="1"/>
  <c r="AP27" i="6" l="1"/>
  <c r="AQ14" i="6"/>
  <c r="AD12" i="4"/>
  <c r="AD22" i="4" s="1"/>
  <c r="AD24" i="4" s="1"/>
  <c r="AD46" i="4"/>
  <c r="AO29" i="6"/>
  <c r="AO23" i="4" s="1"/>
  <c r="AO31" i="6"/>
  <c r="AS50" i="3"/>
  <c r="AT47" i="3" s="1"/>
  <c r="AT49" i="3" s="1"/>
  <c r="AT84" i="3" s="1"/>
  <c r="AT20" i="4" s="1"/>
  <c r="AQ68" i="3"/>
  <c r="AR65" i="3" s="1"/>
  <c r="AR67" i="3" s="1"/>
  <c r="AR85" i="3" s="1"/>
  <c r="AR21" i="4" s="1"/>
  <c r="AR56" i="3"/>
  <c r="AS53" i="3" s="1"/>
  <c r="AS55" i="3" s="1"/>
  <c r="AS83" i="3" s="1"/>
  <c r="AQ21" i="4"/>
  <c r="AQ86" i="3"/>
  <c r="AR19" i="4"/>
  <c r="AR14" i="6" l="1"/>
  <c r="AQ27" i="6"/>
  <c r="AD54" i="4"/>
  <c r="AD25" i="4"/>
  <c r="AD26" i="4" s="1"/>
  <c r="AD29" i="4" s="1"/>
  <c r="AD31" i="4" s="1"/>
  <c r="AD35" i="4" s="1"/>
  <c r="AD45" i="4" s="1"/>
  <c r="AD47" i="4" s="1"/>
  <c r="AD55" i="4"/>
  <c r="AP31" i="6"/>
  <c r="AP29" i="6"/>
  <c r="AP23" i="4" s="1"/>
  <c r="AS19" i="4"/>
  <c r="AQ87" i="3"/>
  <c r="AQ88" i="3" s="1"/>
  <c r="AQ91" i="3" s="1"/>
  <c r="AQ95" i="3" s="1"/>
  <c r="AS56" i="3"/>
  <c r="AT53" i="3" s="1"/>
  <c r="AR68" i="3"/>
  <c r="AS65" i="3" s="1"/>
  <c r="AT50" i="3"/>
  <c r="AU47" i="3" s="1"/>
  <c r="AR86" i="3"/>
  <c r="AD56" i="4" l="1"/>
  <c r="AE53" i="4" s="1"/>
  <c r="AE12" i="4"/>
  <c r="AE22" i="4" s="1"/>
  <c r="AE24" i="4" s="1"/>
  <c r="AE46" i="4"/>
  <c r="AQ29" i="6"/>
  <c r="AQ23" i="4" s="1"/>
  <c r="AQ31" i="6"/>
  <c r="AR27" i="6"/>
  <c r="AS14" i="6"/>
  <c r="AS67" i="3"/>
  <c r="AS85" i="3" s="1"/>
  <c r="AT55" i="3"/>
  <c r="AT83" i="3" s="1"/>
  <c r="AR87" i="3"/>
  <c r="AR88" i="3" s="1"/>
  <c r="AR91" i="3" s="1"/>
  <c r="AR95" i="3" s="1"/>
  <c r="AU49" i="3"/>
  <c r="AU84" i="3" s="1"/>
  <c r="AU20" i="4" s="1"/>
  <c r="AT56" i="3" l="1"/>
  <c r="AU53" i="3" s="1"/>
  <c r="AS68" i="3"/>
  <c r="AT65" i="3" s="1"/>
  <c r="AR29" i="6"/>
  <c r="AR23" i="4" s="1"/>
  <c r="AR31" i="6"/>
  <c r="AT14" i="6"/>
  <c r="AS27" i="6"/>
  <c r="AE55" i="4"/>
  <c r="AE25" i="4"/>
  <c r="AE26" i="4" s="1"/>
  <c r="AE29" i="4" s="1"/>
  <c r="AE31" i="4" s="1"/>
  <c r="AE35" i="4" s="1"/>
  <c r="AE45" i="4" s="1"/>
  <c r="AE47" i="4" s="1"/>
  <c r="AE54" i="4"/>
  <c r="AT19" i="4"/>
  <c r="AS21" i="4"/>
  <c r="AS86" i="3"/>
  <c r="AU55" i="3"/>
  <c r="AU83" i="3" s="1"/>
  <c r="AT67" i="3"/>
  <c r="AT85" i="3" s="1"/>
  <c r="AT21" i="4" s="1"/>
  <c r="AU50" i="3"/>
  <c r="AV47" i="3" s="1"/>
  <c r="AE56" i="4" l="1"/>
  <c r="AF53" i="4" s="1"/>
  <c r="AF46" i="4"/>
  <c r="AF12" i="4"/>
  <c r="AF22" i="4" s="1"/>
  <c r="AF24" i="4" s="1"/>
  <c r="AS31" i="6"/>
  <c r="AS29" i="6"/>
  <c r="AS23" i="4" s="1"/>
  <c r="AU14" i="6"/>
  <c r="AT27" i="6"/>
  <c r="AT68" i="3"/>
  <c r="AU65" i="3" s="1"/>
  <c r="AU67" i="3" s="1"/>
  <c r="AU85" i="3" s="1"/>
  <c r="AU56" i="3"/>
  <c r="AV53" i="3" s="1"/>
  <c r="AV55" i="3" s="1"/>
  <c r="AV83" i="3" s="1"/>
  <c r="AV49" i="3"/>
  <c r="AV84" i="3" s="1"/>
  <c r="AV20" i="4" s="1"/>
  <c r="AU19" i="4"/>
  <c r="AS87" i="3"/>
  <c r="AS88" i="3" s="1"/>
  <c r="AS91" i="3" s="1"/>
  <c r="AS95" i="3" s="1"/>
  <c r="AT86" i="3"/>
  <c r="AU21" i="4" l="1"/>
  <c r="AU86" i="3"/>
  <c r="AT29" i="6"/>
  <c r="AT23" i="4" s="1"/>
  <c r="AT31" i="6"/>
  <c r="AF25" i="4"/>
  <c r="AF26" i="4" s="1"/>
  <c r="AF29" i="4" s="1"/>
  <c r="AF31" i="4" s="1"/>
  <c r="AF35" i="4" s="1"/>
  <c r="AF45" i="4" s="1"/>
  <c r="AF47" i="4" s="1"/>
  <c r="AF55" i="4"/>
  <c r="AF54" i="4"/>
  <c r="AF56" i="4" s="1"/>
  <c r="AG53" i="4" s="1"/>
  <c r="AU27" i="6"/>
  <c r="AV14" i="6"/>
  <c r="AT87" i="3"/>
  <c r="AT88" i="3" s="1"/>
  <c r="AT91" i="3" s="1"/>
  <c r="AT95" i="3" s="1"/>
  <c r="AV19" i="4"/>
  <c r="AU87" i="3"/>
  <c r="AU88" i="3" s="1"/>
  <c r="AU91" i="3" s="1"/>
  <c r="AU95" i="3" s="1"/>
  <c r="AV50" i="3"/>
  <c r="AW47" i="3" s="1"/>
  <c r="AV56" i="3"/>
  <c r="AW53" i="3" s="1"/>
  <c r="AU68" i="3"/>
  <c r="AV65" i="3" s="1"/>
  <c r="AV27" i="6" l="1"/>
  <c r="AW14" i="6"/>
  <c r="AU29" i="6"/>
  <c r="AU23" i="4" s="1"/>
  <c r="AU31" i="6"/>
  <c r="AG12" i="4"/>
  <c r="AG22" i="4" s="1"/>
  <c r="AG24" i="4" s="1"/>
  <c r="AG46" i="4"/>
  <c r="AW55" i="3"/>
  <c r="AW83" i="3" s="1"/>
  <c r="AV67" i="3"/>
  <c r="AV85" i="3" s="1"/>
  <c r="AW49" i="3"/>
  <c r="AW84" i="3" s="1"/>
  <c r="AW20" i="4" s="1"/>
  <c r="AG55" i="4" l="1"/>
  <c r="AG54" i="4"/>
  <c r="AG25" i="4"/>
  <c r="AG26" i="4" s="1"/>
  <c r="AG29" i="4" s="1"/>
  <c r="AG31" i="4" s="1"/>
  <c r="AG35" i="4" s="1"/>
  <c r="AG45" i="4" s="1"/>
  <c r="AG47" i="4" s="1"/>
  <c r="AV29" i="6"/>
  <c r="AV23" i="4" s="1"/>
  <c r="AV31" i="6"/>
  <c r="AX14" i="6"/>
  <c r="AW27" i="6"/>
  <c r="AV21" i="4"/>
  <c r="AV86" i="3"/>
  <c r="AW19" i="4"/>
  <c r="AW50" i="3"/>
  <c r="AX47" i="3" s="1"/>
  <c r="AV68" i="3"/>
  <c r="AW65" i="3" s="1"/>
  <c r="AW56" i="3"/>
  <c r="AX53" i="3" s="1"/>
  <c r="AW29" i="6" l="1"/>
  <c r="AW23" i="4" s="1"/>
  <c r="AW31" i="6"/>
  <c r="AX27" i="6"/>
  <c r="AY14" i="6"/>
  <c r="AG56" i="4"/>
  <c r="AH53" i="4" s="1"/>
  <c r="AH46" i="4"/>
  <c r="AH12" i="4"/>
  <c r="AH22" i="4" s="1"/>
  <c r="AH24" i="4" s="1"/>
  <c r="AX49" i="3"/>
  <c r="AX84" i="3" s="1"/>
  <c r="AX20" i="4" s="1"/>
  <c r="AW67" i="3"/>
  <c r="AW85" i="3" s="1"/>
  <c r="AX55" i="3"/>
  <c r="AX83" i="3" s="1"/>
  <c r="AV87" i="3"/>
  <c r="AV88" i="3" s="1"/>
  <c r="AV91" i="3" s="1"/>
  <c r="AV95" i="3" s="1"/>
  <c r="AX50" i="3" l="1"/>
  <c r="AY47" i="3" s="1"/>
  <c r="AH54" i="4"/>
  <c r="AH55" i="4"/>
  <c r="AH56" i="4" s="1"/>
  <c r="AI53" i="4" s="1"/>
  <c r="AH25" i="4"/>
  <c r="AH26" i="4" s="1"/>
  <c r="AH29" i="4" s="1"/>
  <c r="AH31" i="4" s="1"/>
  <c r="AH35" i="4" s="1"/>
  <c r="AH45" i="4" s="1"/>
  <c r="AH47" i="4" s="1"/>
  <c r="AZ14" i="6"/>
  <c r="AY27" i="6"/>
  <c r="AX29" i="6"/>
  <c r="AX23" i="4" s="1"/>
  <c r="AX31" i="6"/>
  <c r="AX56" i="3"/>
  <c r="AY53" i="3" s="1"/>
  <c r="AY55" i="3" s="1"/>
  <c r="AY83" i="3" s="1"/>
  <c r="AW21" i="4"/>
  <c r="AW86" i="3"/>
  <c r="AX19" i="4"/>
  <c r="AY49" i="3"/>
  <c r="AY84" i="3" s="1"/>
  <c r="AY20" i="4" s="1"/>
  <c r="AW68" i="3"/>
  <c r="AX65" i="3" s="1"/>
  <c r="AI46" i="4" l="1"/>
  <c r="AI12" i="4"/>
  <c r="AI22" i="4" s="1"/>
  <c r="AI24" i="4" s="1"/>
  <c r="AY29" i="6"/>
  <c r="AY23" i="4" s="1"/>
  <c r="AY31" i="6"/>
  <c r="BA14" i="6"/>
  <c r="BA27" i="6" s="1"/>
  <c r="AZ27" i="6"/>
  <c r="AY50" i="3"/>
  <c r="AZ47" i="3" s="1"/>
  <c r="AZ49" i="3" s="1"/>
  <c r="AZ84" i="3" s="1"/>
  <c r="AZ20" i="4" s="1"/>
  <c r="AW87" i="3"/>
  <c r="AW88" i="3" s="1"/>
  <c r="AW91" i="3" s="1"/>
  <c r="AW95" i="3" s="1"/>
  <c r="AY56" i="3"/>
  <c r="AZ53" i="3" s="1"/>
  <c r="AX67" i="3"/>
  <c r="AX85" i="3" s="1"/>
  <c r="AY19" i="4"/>
  <c r="BA29" i="6" l="1"/>
  <c r="BA23" i="4" s="1"/>
  <c r="BA31" i="6"/>
  <c r="AI25" i="4"/>
  <c r="AI26" i="4" s="1"/>
  <c r="AI29" i="4" s="1"/>
  <c r="AI31" i="4" s="1"/>
  <c r="AI35" i="4" s="1"/>
  <c r="AI45" i="4" s="1"/>
  <c r="AI47" i="4" s="1"/>
  <c r="AI54" i="4"/>
  <c r="AI56" i="4" s="1"/>
  <c r="AJ53" i="4" s="1"/>
  <c r="AI55" i="4"/>
  <c r="AZ31" i="6"/>
  <c r="AZ29" i="6"/>
  <c r="AZ23" i="4" s="1"/>
  <c r="AX68" i="3"/>
  <c r="AY65" i="3" s="1"/>
  <c r="AY67" i="3" s="1"/>
  <c r="AY85" i="3" s="1"/>
  <c r="AZ55" i="3"/>
  <c r="AZ83" i="3" s="1"/>
  <c r="AX21" i="4"/>
  <c r="AX86" i="3"/>
  <c r="AZ50" i="3"/>
  <c r="BA47" i="3" s="1"/>
  <c r="AJ12" i="4" l="1"/>
  <c r="AJ22" i="4" s="1"/>
  <c r="AJ24" i="4" s="1"/>
  <c r="AJ46" i="4"/>
  <c r="AY68" i="3"/>
  <c r="AZ65" i="3" s="1"/>
  <c r="AZ67" i="3" s="1"/>
  <c r="AZ85" i="3" s="1"/>
  <c r="AZ21" i="4" s="1"/>
  <c r="AZ19" i="4"/>
  <c r="AY21" i="4"/>
  <c r="AY86" i="3"/>
  <c r="BA49" i="3"/>
  <c r="BA84" i="3" s="1"/>
  <c r="BA20" i="4" s="1"/>
  <c r="AX87" i="3"/>
  <c r="AX88" i="3" s="1"/>
  <c r="AX91" i="3" s="1"/>
  <c r="AX95" i="3" s="1"/>
  <c r="AZ56" i="3"/>
  <c r="BA53" i="3" s="1"/>
  <c r="AZ68" i="3" l="1"/>
  <c r="BA65" i="3" s="1"/>
  <c r="AJ25" i="4"/>
  <c r="AJ26" i="4" s="1"/>
  <c r="AJ29" i="4" s="1"/>
  <c r="AJ31" i="4" s="1"/>
  <c r="AJ35" i="4" s="1"/>
  <c r="AJ45" i="4" s="1"/>
  <c r="AJ47" i="4" s="1"/>
  <c r="AJ54" i="4"/>
  <c r="AJ55" i="4"/>
  <c r="BA50" i="3"/>
  <c r="BA67" i="3"/>
  <c r="BA85" i="3" s="1"/>
  <c r="BA21" i="4" s="1"/>
  <c r="BA55" i="3"/>
  <c r="BA83" i="3" s="1"/>
  <c r="AY87" i="3"/>
  <c r="AY88" i="3" s="1"/>
  <c r="AY91" i="3" s="1"/>
  <c r="AY95" i="3" s="1"/>
  <c r="AZ86" i="3"/>
  <c r="AJ56" i="4" l="1"/>
  <c r="AK53" i="4" s="1"/>
  <c r="AK12" i="4"/>
  <c r="AK22" i="4" s="1"/>
  <c r="AK24" i="4" s="1"/>
  <c r="AK46" i="4"/>
  <c r="BA68" i="3"/>
  <c r="BA19" i="4"/>
  <c r="BA86" i="3"/>
  <c r="AZ87" i="3"/>
  <c r="AZ88" i="3" s="1"/>
  <c r="AZ91" i="3" s="1"/>
  <c r="AZ95" i="3" s="1"/>
  <c r="BA56" i="3"/>
  <c r="AK25" i="4" l="1"/>
  <c r="AK26" i="4" s="1"/>
  <c r="AK29" i="4" s="1"/>
  <c r="AK31" i="4" s="1"/>
  <c r="AK35" i="4" s="1"/>
  <c r="AK45" i="4" s="1"/>
  <c r="AK47" i="4" s="1"/>
  <c r="AK54" i="4"/>
  <c r="AK55" i="4"/>
  <c r="BA87" i="3"/>
  <c r="BA88" i="3" s="1"/>
  <c r="BA91" i="3" s="1"/>
  <c r="BA95" i="3" s="1"/>
  <c r="AK56" i="4" l="1"/>
  <c r="AL53" i="4" s="1"/>
  <c r="AL12" i="4"/>
  <c r="AL22" i="4" s="1"/>
  <c r="AL24" i="4" s="1"/>
  <c r="AL46" i="4"/>
  <c r="H10" i="3"/>
  <c r="H11" i="3"/>
  <c r="B97" i="3"/>
  <c r="B98" i="3" s="1"/>
  <c r="AL25" i="4" l="1"/>
  <c r="AL26" i="4" s="1"/>
  <c r="AL29" i="4" s="1"/>
  <c r="AL31" i="4" s="1"/>
  <c r="AL35" i="4" s="1"/>
  <c r="AL45" i="4" s="1"/>
  <c r="AL47" i="4" s="1"/>
  <c r="AL55" i="4"/>
  <c r="AL54" i="4"/>
  <c r="AL56" i="4" s="1"/>
  <c r="AM53" i="4" s="1"/>
  <c r="AM46" i="4" l="1"/>
  <c r="AM12" i="4"/>
  <c r="AM22" i="4" s="1"/>
  <c r="AM24" i="4" s="1"/>
  <c r="AM54" i="4" l="1"/>
  <c r="AM25" i="4"/>
  <c r="AM26" i="4" s="1"/>
  <c r="AM29" i="4" s="1"/>
  <c r="AM31" i="4" s="1"/>
  <c r="AM35" i="4" s="1"/>
  <c r="AM45" i="4" s="1"/>
  <c r="AM47" i="4" s="1"/>
  <c r="AM55" i="4"/>
  <c r="AN46" i="4" l="1"/>
  <c r="AN12" i="4"/>
  <c r="AN22" i="4" s="1"/>
  <c r="AN24" i="4" s="1"/>
  <c r="AM56" i="4"/>
  <c r="AN53" i="4" s="1"/>
  <c r="AN54" i="4" l="1"/>
  <c r="AN55" i="4"/>
  <c r="AN25" i="4"/>
  <c r="AN26" i="4" s="1"/>
  <c r="AN29" i="4" s="1"/>
  <c r="AN31" i="4" s="1"/>
  <c r="AN35" i="4" s="1"/>
  <c r="AN45" i="4" s="1"/>
  <c r="AN47" i="4" s="1"/>
  <c r="AN56" i="4" l="1"/>
  <c r="AO53" i="4" s="1"/>
  <c r="AO46" i="4"/>
  <c r="AO12" i="4"/>
  <c r="AO22" i="4" s="1"/>
  <c r="AO24" i="4" s="1"/>
  <c r="AO25" i="4" l="1"/>
  <c r="AO26" i="4" s="1"/>
  <c r="AO29" i="4" s="1"/>
  <c r="AO31" i="4" s="1"/>
  <c r="AO35" i="4" s="1"/>
  <c r="AO45" i="4" s="1"/>
  <c r="AO47" i="4" s="1"/>
  <c r="AO54" i="4"/>
  <c r="AO55" i="4"/>
  <c r="AO56" i="4" l="1"/>
  <c r="AP53" i="4" s="1"/>
  <c r="AP46" i="4"/>
  <c r="AP12" i="4"/>
  <c r="AP22" i="4" s="1"/>
  <c r="AP24" i="4" s="1"/>
  <c r="AP54" i="4" l="1"/>
  <c r="AP55" i="4"/>
  <c r="AP25" i="4"/>
  <c r="AP26" i="4" s="1"/>
  <c r="AP29" i="4" s="1"/>
  <c r="AP31" i="4" s="1"/>
  <c r="AP35" i="4" s="1"/>
  <c r="AP45" i="4" s="1"/>
  <c r="AP47" i="4" s="1"/>
  <c r="AP56" i="4" l="1"/>
  <c r="AQ53" i="4" s="1"/>
  <c r="AQ12" i="4"/>
  <c r="AQ22" i="4" s="1"/>
  <c r="AQ24" i="4" s="1"/>
  <c r="AQ46" i="4"/>
  <c r="AQ25" i="4" l="1"/>
  <c r="AQ26" i="4" s="1"/>
  <c r="AQ29" i="4" s="1"/>
  <c r="AQ31" i="4" s="1"/>
  <c r="AQ35" i="4" s="1"/>
  <c r="AQ45" i="4" s="1"/>
  <c r="AQ47" i="4" s="1"/>
  <c r="AQ54" i="4"/>
  <c r="AQ55" i="4"/>
  <c r="AQ56" i="4" l="1"/>
  <c r="AR53" i="4" s="1"/>
  <c r="AR46" i="4"/>
  <c r="AR12" i="4"/>
  <c r="AR22" i="4" s="1"/>
  <c r="AR24" i="4" s="1"/>
  <c r="AR25" i="4" l="1"/>
  <c r="AR26" i="4" s="1"/>
  <c r="AR29" i="4" s="1"/>
  <c r="AR31" i="4" s="1"/>
  <c r="AR35" i="4" s="1"/>
  <c r="AR45" i="4" s="1"/>
  <c r="AR47" i="4" s="1"/>
  <c r="AR55" i="4"/>
  <c r="AR54" i="4"/>
  <c r="AR56" i="4" s="1"/>
  <c r="AS53" i="4" s="1"/>
  <c r="AS12" i="4" l="1"/>
  <c r="AS22" i="4" s="1"/>
  <c r="AS24" i="4" s="1"/>
  <c r="AS46" i="4"/>
  <c r="AS55" i="4" l="1"/>
  <c r="AS25" i="4"/>
  <c r="AS26" i="4" s="1"/>
  <c r="AS29" i="4" s="1"/>
  <c r="AS31" i="4" s="1"/>
  <c r="AS35" i="4" s="1"/>
  <c r="AS45" i="4" s="1"/>
  <c r="AS47" i="4" s="1"/>
  <c r="AS54" i="4"/>
  <c r="AS56" i="4" l="1"/>
  <c r="AT53" i="4" s="1"/>
  <c r="AT12" i="4"/>
  <c r="AT22" i="4" s="1"/>
  <c r="AT24" i="4" s="1"/>
  <c r="AT46" i="4"/>
  <c r="AT25" i="4" l="1"/>
  <c r="AT26" i="4" s="1"/>
  <c r="AT29" i="4" s="1"/>
  <c r="AT31" i="4" s="1"/>
  <c r="AT35" i="4" s="1"/>
  <c r="AT45" i="4" s="1"/>
  <c r="AT47" i="4" s="1"/>
  <c r="AT55" i="4"/>
  <c r="AT54" i="4"/>
  <c r="AT56" i="4" s="1"/>
  <c r="AU53" i="4" s="1"/>
  <c r="AU46" i="4" l="1"/>
  <c r="AU12" i="4"/>
  <c r="AU22" i="4" s="1"/>
  <c r="AU24" i="4" s="1"/>
  <c r="AU25" i="4" l="1"/>
  <c r="AU26" i="4" s="1"/>
  <c r="AU29" i="4" s="1"/>
  <c r="AU31" i="4" s="1"/>
  <c r="AU35" i="4" s="1"/>
  <c r="AU45" i="4" s="1"/>
  <c r="AU47" i="4" s="1"/>
  <c r="AU54" i="4"/>
  <c r="AU55" i="4"/>
  <c r="AU56" i="4" l="1"/>
  <c r="AV53" i="4" s="1"/>
  <c r="AV46" i="4"/>
  <c r="AV12" i="4"/>
  <c r="AV22" i="4" s="1"/>
  <c r="AV24" i="4" s="1"/>
  <c r="AV55" i="4" l="1"/>
  <c r="AV54" i="4"/>
  <c r="AV25" i="4"/>
  <c r="AV26" i="4" s="1"/>
  <c r="AV29" i="4" s="1"/>
  <c r="AV31" i="4" s="1"/>
  <c r="AV35" i="4" s="1"/>
  <c r="AV45" i="4" s="1"/>
  <c r="AV47" i="4" s="1"/>
  <c r="AW46" i="4" l="1"/>
  <c r="AW12" i="4"/>
  <c r="AW22" i="4" s="1"/>
  <c r="AW24" i="4" s="1"/>
  <c r="AV56" i="4"/>
  <c r="AW53" i="4" s="1"/>
  <c r="AW54" i="4" l="1"/>
  <c r="AW25" i="4"/>
  <c r="AW26" i="4"/>
  <c r="AW29" i="4" s="1"/>
  <c r="AW31" i="4" s="1"/>
  <c r="AW35" i="4" s="1"/>
  <c r="AW45" i="4" s="1"/>
  <c r="AW47" i="4" s="1"/>
  <c r="AW55" i="4"/>
  <c r="AW56" i="4" s="1"/>
  <c r="AX53" i="4" s="1"/>
  <c r="AX12" i="4" l="1"/>
  <c r="AX22" i="4" s="1"/>
  <c r="AX24" i="4" s="1"/>
  <c r="AX46" i="4"/>
  <c r="AX25" i="4" l="1"/>
  <c r="AX26" i="4" s="1"/>
  <c r="AX29" i="4" s="1"/>
  <c r="AX31" i="4" s="1"/>
  <c r="AX35" i="4" s="1"/>
  <c r="AX45" i="4" s="1"/>
  <c r="AX47" i="4" s="1"/>
  <c r="AX55" i="4"/>
  <c r="AX54" i="4"/>
  <c r="AX56" i="4" s="1"/>
  <c r="AY53" i="4" s="1"/>
  <c r="AY12" i="4" l="1"/>
  <c r="AY22" i="4" s="1"/>
  <c r="AY24" i="4" s="1"/>
  <c r="AY46" i="4"/>
  <c r="AY55" i="4" l="1"/>
  <c r="AY54" i="4"/>
  <c r="AY25" i="4"/>
  <c r="AY26" i="4" s="1"/>
  <c r="AY29" i="4" s="1"/>
  <c r="AY31" i="4" s="1"/>
  <c r="AY35" i="4" s="1"/>
  <c r="AY45" i="4" s="1"/>
  <c r="AY47" i="4" s="1"/>
  <c r="AZ46" i="4" l="1"/>
  <c r="AZ12" i="4"/>
  <c r="AZ22" i="4" s="1"/>
  <c r="AZ24" i="4" s="1"/>
  <c r="AY56" i="4"/>
  <c r="AZ53" i="4" s="1"/>
  <c r="AZ54" i="4" l="1"/>
  <c r="AZ25" i="4"/>
  <c r="AZ26" i="4" s="1"/>
  <c r="AZ29" i="4" s="1"/>
  <c r="AZ31" i="4" s="1"/>
  <c r="AZ35" i="4" s="1"/>
  <c r="AZ45" i="4" s="1"/>
  <c r="AZ47" i="4" s="1"/>
  <c r="AZ55" i="4"/>
  <c r="AZ56" i="4" s="1"/>
  <c r="BA53" i="4" s="1"/>
  <c r="BA12" i="4" l="1"/>
  <c r="BA22" i="4" s="1"/>
  <c r="BA24" i="4" s="1"/>
  <c r="BA46" i="4"/>
  <c r="BA55" i="4" l="1"/>
  <c r="BA54" i="4"/>
  <c r="BA25" i="4"/>
  <c r="BA26" i="4" s="1"/>
  <c r="BA29" i="4" s="1"/>
  <c r="BA31" i="4" s="1"/>
  <c r="BA35" i="4" s="1"/>
  <c r="BA45" i="4" s="1"/>
  <c r="BA47" i="4" s="1"/>
  <c r="BA5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Check why c ell is not in SUM range.</t>
        </r>
      </text>
    </comment>
  </commentList>
</comments>
</file>

<file path=xl/sharedStrings.xml><?xml version="1.0" encoding="utf-8"?>
<sst xmlns="http://schemas.openxmlformats.org/spreadsheetml/2006/main" count="251" uniqueCount="190">
  <si>
    <t>OPUHA DAM LIMITED</t>
  </si>
  <si>
    <t>Hydro Optimisation Model</t>
  </si>
  <si>
    <t>Generation Station and Opuha Dam @ 100,000 Ml, 50-Year Project Life</t>
  </si>
  <si>
    <t>Assumptions</t>
  </si>
  <si>
    <t>Financial Performance Assumptions/Indicators</t>
  </si>
  <si>
    <t>Capital Cost</t>
  </si>
  <si>
    <t>Inflation Rate</t>
  </si>
  <si>
    <t xml:space="preserve">  Dam</t>
  </si>
  <si>
    <t>Required After-Tax Real Rate of Return</t>
  </si>
  <si>
    <t>(1+Nominal)/(1+Inflation) -1</t>
  </si>
  <si>
    <t xml:space="preserve">  Power Station</t>
  </si>
  <si>
    <t>Required After-Tax Nominal Rate of Return</t>
  </si>
  <si>
    <t>(1+Real)*(1+Inflation)-1</t>
  </si>
  <si>
    <t xml:space="preserve">  Total Cost</t>
  </si>
  <si>
    <t>NPV @ After Tax Real Rate of Return</t>
  </si>
  <si>
    <t>Capital Struture</t>
  </si>
  <si>
    <t>After Tax Internal Rate of Return</t>
  </si>
  <si>
    <t xml:space="preserve">  Share Capital</t>
  </si>
  <si>
    <t xml:space="preserve">  Bank Loan</t>
  </si>
  <si>
    <t xml:space="preserve">  Shareholder Loans</t>
  </si>
  <si>
    <t>Tax Free Operating Grant</t>
  </si>
  <si>
    <t>Weighted</t>
  </si>
  <si>
    <t>Operating Revenue</t>
  </si>
  <si>
    <t>Base</t>
  </si>
  <si>
    <t>Average Cost</t>
  </si>
  <si>
    <t xml:space="preserve">  Wholesale Price of Power (c/kWh)</t>
  </si>
  <si>
    <t xml:space="preserve">  Demand for Power (GWh)</t>
  </si>
  <si>
    <t xml:space="preserve">    Annual Increase in Power Price Above Inflation</t>
  </si>
  <si>
    <r>
      <t xml:space="preserve">  Water Price per 1000 m</t>
    </r>
    <r>
      <rPr>
        <vertAlign val="superscript"/>
        <sz val="8"/>
        <rFont val="Arial"/>
        <family val="2"/>
      </rPr>
      <t>3</t>
    </r>
  </si>
  <si>
    <t xml:space="preserve">    Years 1996-2002</t>
  </si>
  <si>
    <t xml:space="preserve">  Inflation Adjusted</t>
  </si>
  <si>
    <t xml:space="preserve">    Years 2003-2009</t>
  </si>
  <si>
    <t xml:space="preserve">    Years 2010-</t>
  </si>
  <si>
    <t xml:space="preserve">  Water Sales to Timaru</t>
  </si>
  <si>
    <t xml:space="preserve">  Cash Investment Rate</t>
  </si>
  <si>
    <t>Operating Expenses</t>
  </si>
  <si>
    <t xml:space="preserve">  Administration</t>
  </si>
  <si>
    <t xml:space="preserve">  Canal &amp; Weir Maintenance</t>
  </si>
  <si>
    <t>Depreciation Rate</t>
  </si>
  <si>
    <t xml:space="preserve">  Dam/PS Non-Mechanical</t>
  </si>
  <si>
    <t xml:space="preserve">  Dam Mechanical (Declining Value)</t>
  </si>
  <si>
    <t xml:space="preserve">  Power Station Mechanical (Declining Value)</t>
  </si>
  <si>
    <t>1994/1995</t>
  </si>
  <si>
    <t>Time/Discount Period</t>
  </si>
  <si>
    <r>
      <t>Estimated Irrigation Water Supply (1000 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)</t>
    </r>
  </si>
  <si>
    <t>Esitimated Irrigation Water Demand (%)</t>
  </si>
  <si>
    <r>
      <t>Price of Irrigation Water per 1000 m</t>
    </r>
    <r>
      <rPr>
        <b/>
        <vertAlign val="superscript"/>
        <sz val="8"/>
        <rFont val="Arial"/>
        <family val="2"/>
      </rPr>
      <t>3</t>
    </r>
  </si>
  <si>
    <t>Asset Schedule: Power Station/Mechanical</t>
  </si>
  <si>
    <t xml:space="preserve">  Begining Balance</t>
  </si>
  <si>
    <t xml:space="preserve">  Add: Acquisitions</t>
  </si>
  <si>
    <t xml:space="preserve">  Less: Depreciation</t>
  </si>
  <si>
    <t xml:space="preserve">  Ending Balance</t>
  </si>
  <si>
    <t>Asset Schedule: Power Station/Non-Mechanical</t>
  </si>
  <si>
    <t>Asset Schedule: Dam/Non-Mechanical</t>
  </si>
  <si>
    <t>Asset Schedule: Dam/Mechanical</t>
  </si>
  <si>
    <t>Cash Flow Schedule</t>
  </si>
  <si>
    <t xml:space="preserve">  Revenue</t>
  </si>
  <si>
    <t xml:space="preserve">    Sales of Irrigation Water</t>
  </si>
  <si>
    <t xml:space="preserve">    Sales of Water to Timaru DC</t>
  </si>
  <si>
    <t xml:space="preserve">    Power Generation</t>
  </si>
  <si>
    <t xml:space="preserve">  Operating Expenses</t>
  </si>
  <si>
    <t xml:space="preserve">    Administration</t>
  </si>
  <si>
    <t xml:space="preserve">    Dam</t>
  </si>
  <si>
    <t xml:space="preserve">    Canal &amp; Weir Maintenance</t>
  </si>
  <si>
    <t xml:space="preserve">    Power Station</t>
  </si>
  <si>
    <t xml:space="preserve">  Depreciation</t>
  </si>
  <si>
    <t xml:space="preserve">    Dam/PS Non-Mechanical</t>
  </si>
  <si>
    <t xml:space="preserve">    Power Station Mechanical</t>
  </si>
  <si>
    <t xml:space="preserve">    Dam Mechanical</t>
  </si>
  <si>
    <t xml:space="preserve">  Operating Income</t>
  </si>
  <si>
    <t xml:space="preserve">    Income Tax</t>
  </si>
  <si>
    <t xml:space="preserve">  Net Income After Tax</t>
  </si>
  <si>
    <t xml:space="preserve">    Tax Free Operating Grant</t>
  </si>
  <si>
    <t xml:space="preserve">  Operating Cash Flow</t>
  </si>
  <si>
    <t>Totals</t>
  </si>
  <si>
    <t xml:space="preserve">  Investment Cash Outflows</t>
  </si>
  <si>
    <t xml:space="preserve">  Net Cash Flow</t>
  </si>
  <si>
    <t>After-Tax Internal Rate of Return</t>
  </si>
  <si>
    <t>Net Present Value @ After-Tax Internal Rate of Return</t>
  </si>
  <si>
    <t>Pro Forma Financial Statements</t>
  </si>
  <si>
    <t>Income Statement</t>
  </si>
  <si>
    <t xml:space="preserve">    Interest on Cash Balance</t>
  </si>
  <si>
    <t xml:space="preserve">    Interest on Debt Financing</t>
  </si>
  <si>
    <t xml:space="preserve">  Net Income Before Tax</t>
  </si>
  <si>
    <t xml:space="preserve">    Add:  Accrued Interest</t>
  </si>
  <si>
    <t xml:space="preserve">  Cash Flow from Operations</t>
  </si>
  <si>
    <t>Cash Flow Statement</t>
  </si>
  <si>
    <t xml:space="preserve">  From Operations</t>
  </si>
  <si>
    <t xml:space="preserve">  From Financing Activities</t>
  </si>
  <si>
    <t xml:space="preserve">    Sale of Shares</t>
  </si>
  <si>
    <t xml:space="preserve">    Proceeds from Loans</t>
  </si>
  <si>
    <t xml:space="preserve">    Bank Loan Repayments</t>
  </si>
  <si>
    <t xml:space="preserve">    Shareholder Loan Repayments]</t>
  </si>
  <si>
    <t xml:space="preserve">    Dividends</t>
  </si>
  <si>
    <t xml:space="preserve">  From Investing Activities</t>
  </si>
  <si>
    <t xml:space="preserve">    Acquisition of Plant &amp; Equipment</t>
  </si>
  <si>
    <t xml:space="preserve">  Increase/(Decrease) in Cash</t>
  </si>
  <si>
    <t xml:space="preserve">  Beginning Cash Balance</t>
  </si>
  <si>
    <t xml:space="preserve">  Ending Cash Balance</t>
  </si>
  <si>
    <t>Net Operating Loss Carry Forward</t>
  </si>
  <si>
    <t xml:space="preserve">  Beginning Balance</t>
  </si>
  <si>
    <t xml:space="preserve">  Add:  Operating Loss</t>
  </si>
  <si>
    <t xml:space="preserve">  Less:  Offset Against Taxable Income</t>
  </si>
  <si>
    <t>Loan and Interest Schedule</t>
  </si>
  <si>
    <t>Loans</t>
  </si>
  <si>
    <t>Rate</t>
  </si>
  <si>
    <t xml:space="preserve">  Loan MacKenzie DC</t>
  </si>
  <si>
    <t xml:space="preserve">  Loan Alpine Energy</t>
  </si>
  <si>
    <t xml:space="preserve">  Loan Timaru DC</t>
  </si>
  <si>
    <t xml:space="preserve">  Loan ORDC Investors</t>
  </si>
  <si>
    <t xml:space="preserve">  Loan SCIFIS</t>
  </si>
  <si>
    <t xml:space="preserve">  Loan Levels Plains</t>
  </si>
  <si>
    <t xml:space="preserve">  Accumulated Accrued Interest</t>
  </si>
  <si>
    <t>Interest Expense</t>
  </si>
  <si>
    <t xml:space="preserve">  Interest on Accrued Interest</t>
  </si>
  <si>
    <t>Total Interest</t>
  </si>
  <si>
    <t>Interest Paid</t>
  </si>
  <si>
    <t>Interest Accrued</t>
  </si>
  <si>
    <t>Weighted Cost of Actual Debt</t>
  </si>
  <si>
    <t>Estimated Cost of Capital</t>
  </si>
  <si>
    <t>Average Return on Share Market</t>
  </si>
  <si>
    <r>
      <t>R</t>
    </r>
    <r>
      <rPr>
        <vertAlign val="subscript"/>
        <sz val="8"/>
        <rFont val="Arial"/>
        <family val="2"/>
      </rPr>
      <t>me</t>
    </r>
  </si>
  <si>
    <t>10-Year Government Bond Rate</t>
  </si>
  <si>
    <r>
      <t>R</t>
    </r>
    <r>
      <rPr>
        <vertAlign val="subscript"/>
        <sz val="8"/>
        <rFont val="Arial"/>
        <family val="2"/>
      </rPr>
      <t>f</t>
    </r>
  </si>
  <si>
    <t>Risk Premium</t>
  </si>
  <si>
    <r>
      <t>R</t>
    </r>
    <r>
      <rPr>
        <vertAlign val="subscript"/>
        <sz val="8"/>
        <rFont val="Arial"/>
        <family val="2"/>
      </rPr>
      <t>p</t>
    </r>
  </si>
  <si>
    <t>Risk Index or Beta</t>
  </si>
  <si>
    <t>B</t>
  </si>
  <si>
    <t>Marginal Cost of Long-Term Debt</t>
  </si>
  <si>
    <r>
      <t>R</t>
    </r>
    <r>
      <rPr>
        <vertAlign val="subscript"/>
        <sz val="8"/>
        <rFont val="Arial"/>
        <family val="2"/>
      </rPr>
      <t>md</t>
    </r>
  </si>
  <si>
    <t>Weighted Actual Cost of Debt</t>
  </si>
  <si>
    <r>
      <t>R</t>
    </r>
    <r>
      <rPr>
        <vertAlign val="subscript"/>
        <sz val="8"/>
        <rFont val="Arial"/>
        <family val="2"/>
      </rPr>
      <t>ad</t>
    </r>
  </si>
  <si>
    <t>Capital Structure</t>
  </si>
  <si>
    <r>
      <t>w</t>
    </r>
    <r>
      <rPr>
        <vertAlign val="subscript"/>
        <sz val="8"/>
        <rFont val="Arial"/>
        <family val="2"/>
      </rPr>
      <t>d</t>
    </r>
  </si>
  <si>
    <t>Debt</t>
  </si>
  <si>
    <r>
      <t>w</t>
    </r>
    <r>
      <rPr>
        <vertAlign val="subscript"/>
        <sz val="8"/>
        <rFont val="Arial"/>
        <family val="2"/>
      </rPr>
      <t>e</t>
    </r>
  </si>
  <si>
    <t>Equity</t>
  </si>
  <si>
    <t>Corporate Tax Rate</t>
  </si>
  <si>
    <t>t</t>
  </si>
  <si>
    <t>After Tax Cost of Capital</t>
  </si>
  <si>
    <t xml:space="preserve">  Cost of Equity Capital</t>
  </si>
  <si>
    <r>
      <t>k</t>
    </r>
    <r>
      <rPr>
        <vertAlign val="subscript"/>
        <sz val="8"/>
        <rFont val="Arial"/>
        <family val="2"/>
      </rPr>
      <t>e</t>
    </r>
  </si>
  <si>
    <r>
      <t>B</t>
    </r>
    <r>
      <rPr>
        <sz val="8"/>
        <rFont val="Arial"/>
        <family val="2"/>
      </rPr>
      <t>(R</t>
    </r>
    <r>
      <rPr>
        <vertAlign val="subscript"/>
        <sz val="8"/>
        <rFont val="Arial"/>
        <family val="2"/>
      </rPr>
      <t>p</t>
    </r>
    <r>
      <rPr>
        <sz val="8"/>
        <rFont val="Arial"/>
        <family val="2"/>
      </rPr>
      <t>) + R</t>
    </r>
    <r>
      <rPr>
        <vertAlign val="subscript"/>
        <sz val="8"/>
        <rFont val="Arial"/>
        <family val="2"/>
      </rPr>
      <t>f</t>
    </r>
  </si>
  <si>
    <t xml:space="preserve">  Marginal Cost of Debt Capital</t>
  </si>
  <si>
    <r>
      <t>k</t>
    </r>
    <r>
      <rPr>
        <vertAlign val="subscript"/>
        <sz val="8"/>
        <rFont val="Arial"/>
        <family val="2"/>
      </rPr>
      <t>d</t>
    </r>
  </si>
  <si>
    <r>
      <t>R</t>
    </r>
    <r>
      <rPr>
        <vertAlign val="subscript"/>
        <sz val="8"/>
        <rFont val="Arial"/>
        <family val="2"/>
      </rPr>
      <t>md</t>
    </r>
    <r>
      <rPr>
        <sz val="8"/>
        <rFont val="Arial"/>
        <family val="2"/>
      </rPr>
      <t>(1-t)</t>
    </r>
  </si>
  <si>
    <t xml:space="preserve">  Weighted Actual Cost of Debt Capital</t>
  </si>
  <si>
    <r>
      <t>k</t>
    </r>
    <r>
      <rPr>
        <vertAlign val="subscript"/>
        <sz val="8"/>
        <rFont val="Arial"/>
        <family val="2"/>
      </rPr>
      <t>a</t>
    </r>
  </si>
  <si>
    <t>Weighted Average After-Tax Cost of Capital</t>
  </si>
  <si>
    <t xml:space="preserve">  Using Marginal Cost of Debt</t>
  </si>
  <si>
    <t>k</t>
  </si>
  <si>
    <r>
      <t>w</t>
    </r>
    <r>
      <rPr>
        <vertAlign val="subscript"/>
        <sz val="8"/>
        <rFont val="Arial"/>
        <family val="2"/>
      </rPr>
      <t>d</t>
    </r>
    <r>
      <rPr>
        <sz val="8"/>
        <rFont val="Arial"/>
        <family val="2"/>
      </rPr>
      <t>(k</t>
    </r>
    <r>
      <rPr>
        <vertAlign val="subscript"/>
        <sz val="8"/>
        <rFont val="Arial"/>
        <family val="2"/>
      </rPr>
      <t>d</t>
    </r>
    <r>
      <rPr>
        <sz val="8"/>
        <rFont val="Arial"/>
        <family val="2"/>
      </rPr>
      <t>) + w</t>
    </r>
    <r>
      <rPr>
        <vertAlign val="subscript"/>
        <sz val="8"/>
        <rFont val="Arial"/>
        <family val="2"/>
      </rPr>
      <t>e</t>
    </r>
    <r>
      <rPr>
        <sz val="8"/>
        <rFont val="Arial"/>
        <family val="2"/>
      </rPr>
      <t>(k</t>
    </r>
    <r>
      <rPr>
        <vertAlign val="subscript"/>
        <sz val="8"/>
        <rFont val="Arial"/>
        <family val="2"/>
      </rPr>
      <t>e</t>
    </r>
    <r>
      <rPr>
        <sz val="8"/>
        <rFont val="Arial"/>
        <family val="2"/>
      </rPr>
      <t>)</t>
    </r>
  </si>
  <si>
    <t xml:space="preserve">  Using Weighted Actual Cost of Debt</t>
  </si>
  <si>
    <t>Weighted Average Wholesale Cost of Power</t>
  </si>
  <si>
    <t>Price</t>
  </si>
  <si>
    <t>Gwh</t>
  </si>
  <si>
    <t xml:space="preserve">Cost    </t>
  </si>
  <si>
    <t>Winter Day</t>
  </si>
  <si>
    <t>Winter Night</t>
  </si>
  <si>
    <t>Summer Day</t>
  </si>
  <si>
    <t>Summer Night</t>
  </si>
  <si>
    <t>Less:  Transmission Loss @ 5%</t>
  </si>
  <si>
    <t>Price After Allowance for 5% Margin</t>
  </si>
  <si>
    <t>Expected Annual Revenue from Power Sales</t>
  </si>
  <si>
    <t>Return to Alpine Energy</t>
  </si>
  <si>
    <t>Investment Summary</t>
  </si>
  <si>
    <t xml:space="preserve">  Capital Investment</t>
  </si>
  <si>
    <t xml:space="preserve">  Shareholding</t>
  </si>
  <si>
    <t xml:space="preserve">  'A' Loan</t>
  </si>
  <si>
    <t xml:space="preserve">  'B' Loan</t>
  </si>
  <si>
    <t>Operational Assumptions</t>
  </si>
  <si>
    <t>Preferential Margin on Power Sales</t>
  </si>
  <si>
    <t>Estimated Increased Primary Demand (GWh)</t>
  </si>
  <si>
    <t xml:space="preserve">  Margin on Primary Demand (c/kWh)</t>
  </si>
  <si>
    <t>Estimated Increase in Secondary Demand (GWh)</t>
  </si>
  <si>
    <t xml:space="preserve">  Margin on Secondary Demand (c/kWh)</t>
  </si>
  <si>
    <t>Investment Cash Outflows</t>
  </si>
  <si>
    <t>Cash Inflows</t>
  </si>
  <si>
    <t xml:space="preserve">  Interest Earned (Net of Tax)</t>
  </si>
  <si>
    <t xml:space="preserve">    Less:  Accrued Interest</t>
  </si>
  <si>
    <t xml:space="preserve">  Interest Received (Net of Tax)</t>
  </si>
  <si>
    <t xml:space="preserve">  Tax Paid Dividends</t>
  </si>
  <si>
    <t xml:space="preserve">  Capital Receipts</t>
  </si>
  <si>
    <t xml:space="preserve">  Capitalized Interest Received</t>
  </si>
  <si>
    <t xml:space="preserve">  Increased Demand for Power (Net of Tax)</t>
  </si>
  <si>
    <t xml:space="preserve">  Preferential Margin on Power Sales (Net of Tax)</t>
  </si>
  <si>
    <t xml:space="preserve">    Total Cash Inflows (Net of Tax)</t>
  </si>
  <si>
    <t>Net Cash Flows</t>
  </si>
  <si>
    <t>After Tax IRR</t>
  </si>
  <si>
    <t xml:space="preserve">  Power Station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</si>
</sst>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General_)"/>
    <numFmt numFmtId="166" formatCode="0_)"/>
    <numFmt numFmtId="167" formatCode="0.000%"/>
    <numFmt numFmtId="168" formatCode="_(* #,##0.0_);_(* \(#,##0.0\);_(* &quot;-&quot;??_);_(@_)"/>
    <numFmt numFmtId="169" formatCode="_(* #,##0_);_(* \(#,##0\);_(* &quot;-&quot;??_);_(@_)"/>
    <numFmt numFmtId="170" formatCode="0.0000"/>
    <numFmt numFmtId="171" formatCode="0.000"/>
    <numFmt numFmtId="172" formatCode="_(&quot;$&quot;* #,##0_);_(&quot;$&quot;* \(#,##0\);_(&quot;$&quot;* &quot;-&quot;??_);_(@_)"/>
    <numFmt numFmtId="173" formatCode="#,##0.000_);\(#,##0.000\)"/>
    <numFmt numFmtId="174" formatCode="_(&quot;$&quot;* #,##0.0000_);_(&quot;$&quot;* \(#,##0.0000\);_(&quot;$&quot;* &quot;-&quot;??_);_(@_)"/>
    <numFmt numFmtId="175" formatCode="0.0"/>
    <numFmt numFmtId="176" formatCode="_(* #,##0.000_);_(* \(#,##0.000\);_(* &quot;-&quot;??_);_(@_)"/>
    <numFmt numFmtId="177" formatCode="_(* #,##0.0000_);_(* \(#,##0.0000\);_(* &quot;-&quot;??_);_(@_)"/>
  </numFmts>
  <fonts count="31" x14ac:knownFonts="1">
    <font>
      <sz val="10"/>
      <name val="Arial"/>
    </font>
    <font>
      <sz val="10"/>
      <name val="Arial"/>
      <family val="2"/>
    </font>
    <font>
      <b/>
      <sz val="14"/>
      <name val="Tms Rmn"/>
    </font>
    <font>
      <sz val="10"/>
      <name val="Tms Rmn"/>
    </font>
    <font>
      <b/>
      <sz val="10"/>
      <name val="Tms Rmn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  <font>
      <sz val="10"/>
      <name val="MS Sans Serif"/>
      <family val="2"/>
    </font>
    <font>
      <u/>
      <sz val="8"/>
      <name val="Arial"/>
      <family val="2"/>
    </font>
    <font>
      <u val="double"/>
      <sz val="8"/>
      <name val="Arial"/>
      <family val="2"/>
    </font>
    <font>
      <b/>
      <sz val="12"/>
      <name val="Tms Rmn"/>
      <family val="1"/>
    </font>
    <font>
      <b/>
      <sz val="8"/>
      <name val="Arial"/>
      <family val="2"/>
    </font>
    <font>
      <b/>
      <sz val="8"/>
      <name val="Tms Rmn"/>
      <family val="1"/>
    </font>
    <font>
      <vertAlign val="subscript"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u val="doubleAccounting"/>
      <sz val="8"/>
      <name val="Arial"/>
      <family val="2"/>
    </font>
    <font>
      <u val="singleAccounting"/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Times New Roman"/>
      <family val="1"/>
    </font>
    <font>
      <b/>
      <sz val="8"/>
      <name val="Times New Roman"/>
      <family val="1"/>
    </font>
    <font>
      <b/>
      <u val="singleAccounting"/>
      <sz val="8"/>
      <name val="Arial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3" fillId="0" borderId="1"/>
    <xf numFmtId="0" fontId="13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37" fontId="2" fillId="0" borderId="0" xfId="3" quotePrefix="1" applyFont="1" applyBorder="1" applyAlignment="1">
      <alignment horizontal="left"/>
    </xf>
    <xf numFmtId="37" fontId="3" fillId="0" borderId="0" xfId="3" applyBorder="1"/>
    <xf numFmtId="37" fontId="3" fillId="0" borderId="0" xfId="3" applyFont="1" applyFill="1" applyBorder="1" applyAlignment="1">
      <alignment horizontal="right"/>
    </xf>
    <xf numFmtId="14" fontId="4" fillId="0" borderId="0" xfId="3" applyNumberFormat="1" applyFont="1" applyBorder="1"/>
    <xf numFmtId="37" fontId="5" fillId="0" borderId="0" xfId="3" quotePrefix="1" applyFont="1" applyBorder="1" applyAlignment="1">
      <alignment horizontal="left"/>
    </xf>
    <xf numFmtId="37" fontId="5" fillId="0" borderId="0" xfId="3" applyFont="1" applyBorder="1"/>
    <xf numFmtId="0" fontId="5" fillId="0" borderId="0" xfId="0" applyFont="1"/>
    <xf numFmtId="37" fontId="5" fillId="0" borderId="0" xfId="3" applyFont="1" applyBorder="1" applyAlignment="1">
      <alignment horizontal="left"/>
    </xf>
    <xf numFmtId="6" fontId="5" fillId="0" borderId="0" xfId="2" applyNumberFormat="1" applyFont="1" applyBorder="1" applyProtection="1"/>
    <xf numFmtId="38" fontId="5" fillId="0" borderId="0" xfId="1" applyNumberFormat="1" applyFont="1" applyBorder="1" applyProtection="1"/>
    <xf numFmtId="38" fontId="5" fillId="0" borderId="0" xfId="1" applyNumberFormat="1" applyFont="1" applyBorder="1"/>
    <xf numFmtId="10" fontId="5" fillId="0" borderId="0" xfId="3" applyNumberFormat="1" applyFont="1" applyBorder="1" applyProtection="1"/>
    <xf numFmtId="6" fontId="5" fillId="0" borderId="0" xfId="2" applyNumberFormat="1" applyFont="1" applyBorder="1"/>
    <xf numFmtId="37" fontId="5" fillId="0" borderId="0" xfId="3" applyFont="1" applyBorder="1" applyAlignment="1">
      <alignment horizontal="center"/>
    </xf>
    <xf numFmtId="7" fontId="5" fillId="0" borderId="0" xfId="3" applyNumberFormat="1" applyFont="1" applyBorder="1" applyAlignment="1">
      <alignment horizontal="center"/>
    </xf>
    <xf numFmtId="164" fontId="5" fillId="0" borderId="0" xfId="5" applyNumberFormat="1" applyFont="1" applyBorder="1"/>
    <xf numFmtId="7" fontId="5" fillId="0" borderId="0" xfId="3" quotePrefix="1" applyNumberFormat="1" applyFont="1" applyBorder="1" applyAlignment="1">
      <alignment horizontal="left"/>
    </xf>
    <xf numFmtId="44" fontId="5" fillId="0" borderId="0" xfId="2" applyFont="1" applyBorder="1" applyProtection="1"/>
    <xf numFmtId="43" fontId="5" fillId="0" borderId="0" xfId="1" applyFont="1" applyBorder="1"/>
    <xf numFmtId="9" fontId="5" fillId="0" borderId="0" xfId="3" applyNumberFormat="1" applyFont="1" applyBorder="1" applyProtection="1"/>
    <xf numFmtId="165" fontId="5" fillId="0" borderId="0" xfId="3" applyNumberFormat="1" applyFont="1" applyBorder="1" applyProtection="1"/>
    <xf numFmtId="37" fontId="5" fillId="0" borderId="0" xfId="3" applyNumberFormat="1" applyFont="1" applyBorder="1" applyProtection="1"/>
    <xf numFmtId="37" fontId="7" fillId="0" borderId="0" xfId="3" applyFont="1" applyBorder="1" applyAlignment="1">
      <alignment horizontal="left"/>
    </xf>
    <xf numFmtId="37" fontId="7" fillId="0" borderId="0" xfId="3" applyFont="1" applyBorder="1"/>
    <xf numFmtId="37" fontId="7" fillId="0" borderId="0" xfId="3" quotePrefix="1" applyFont="1" applyBorder="1" applyAlignment="1">
      <alignment horizontal="left"/>
    </xf>
    <xf numFmtId="165" fontId="9" fillId="0" borderId="0" xfId="3" applyNumberFormat="1" applyFont="1" applyBorder="1" applyProtection="1"/>
    <xf numFmtId="7" fontId="5" fillId="0" borderId="0" xfId="2" applyNumberFormat="1" applyFont="1" applyBorder="1" applyProtection="1"/>
    <xf numFmtId="37" fontId="10" fillId="0" borderId="0" xfId="3" applyFont="1" applyBorder="1" applyAlignment="1">
      <alignment horizontal="left"/>
    </xf>
    <xf numFmtId="0" fontId="9" fillId="0" borderId="0" xfId="3" applyNumberFormat="1" applyFont="1" applyBorder="1" applyAlignment="1">
      <alignment horizontal="right"/>
    </xf>
    <xf numFmtId="37" fontId="10" fillId="0" borderId="0" xfId="3" applyFont="1" applyBorder="1" applyAlignment="1">
      <alignment horizontal="right"/>
    </xf>
    <xf numFmtId="37" fontId="5" fillId="0" borderId="0" xfId="3" applyFont="1" applyBorder="1" applyAlignment="1">
      <alignment horizontal="right"/>
    </xf>
    <xf numFmtId="37" fontId="7" fillId="0" borderId="0" xfId="3" applyFont="1" applyBorder="1" applyAlignment="1">
      <alignment horizontal="right"/>
    </xf>
    <xf numFmtId="10" fontId="5" fillId="0" borderId="0" xfId="5" applyNumberFormat="1" applyFont="1"/>
    <xf numFmtId="10" fontId="11" fillId="0" borderId="0" xfId="5" applyNumberFormat="1" applyFont="1" applyBorder="1"/>
    <xf numFmtId="37" fontId="11" fillId="0" borderId="0" xfId="3" applyFont="1" applyBorder="1"/>
    <xf numFmtId="37" fontId="12" fillId="0" borderId="0" xfId="3" quotePrefix="1" applyFont="1" applyBorder="1" applyAlignment="1">
      <alignment horizontal="right"/>
    </xf>
    <xf numFmtId="0" fontId="12" fillId="0" borderId="0" xfId="3" applyNumberFormat="1" applyFont="1" applyBorder="1"/>
    <xf numFmtId="166" fontId="12" fillId="0" borderId="0" xfId="3" applyNumberFormat="1" applyFont="1" applyBorder="1" applyProtection="1"/>
    <xf numFmtId="37" fontId="5" fillId="0" borderId="0" xfId="4" applyNumberFormat="1" applyFont="1"/>
    <xf numFmtId="37" fontId="5" fillId="0" borderId="0" xfId="4" applyNumberFormat="1" applyFont="1" applyBorder="1"/>
    <xf numFmtId="37" fontId="5" fillId="0" borderId="0" xfId="4" applyNumberFormat="1" applyFont="1" applyBorder="1" applyAlignment="1"/>
    <xf numFmtId="0" fontId="5" fillId="0" borderId="0" xfId="4" applyFont="1" applyAlignment="1">
      <alignment horizontal="left"/>
    </xf>
    <xf numFmtId="0" fontId="5" fillId="0" borderId="0" xfId="4" applyFont="1" applyBorder="1" applyAlignment="1">
      <alignment horizontal="left"/>
    </xf>
    <xf numFmtId="164" fontId="5" fillId="0" borderId="0" xfId="5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169" fontId="5" fillId="0" borderId="0" xfId="1" applyNumberFormat="1" applyFont="1"/>
    <xf numFmtId="0" fontId="14" fillId="0" borderId="0" xfId="0" applyFont="1"/>
    <xf numFmtId="0" fontId="15" fillId="0" borderId="0" xfId="0" applyFont="1"/>
    <xf numFmtId="37" fontId="10" fillId="0" borderId="0" xfId="3" applyFont="1" applyBorder="1"/>
    <xf numFmtId="9" fontId="5" fillId="0" borderId="0" xfId="5" applyFont="1" applyBorder="1" applyAlignment="1">
      <alignment horizontal="right"/>
    </xf>
    <xf numFmtId="39" fontId="5" fillId="0" borderId="0" xfId="3" applyNumberFormat="1" applyFont="1" applyBorder="1"/>
    <xf numFmtId="173" fontId="5" fillId="0" borderId="0" xfId="3" applyNumberFormat="1" applyFont="1" applyBorder="1"/>
    <xf numFmtId="37" fontId="16" fillId="0" borderId="0" xfId="3" quotePrefix="1" applyFont="1" applyBorder="1" applyAlignment="1">
      <alignment horizontal="left"/>
    </xf>
    <xf numFmtId="37" fontId="18" fillId="0" borderId="0" xfId="3" quotePrefix="1" applyFont="1" applyBorder="1" applyAlignment="1">
      <alignment horizontal="left"/>
    </xf>
    <xf numFmtId="0" fontId="20" fillId="0" borderId="0" xfId="0" applyFont="1"/>
    <xf numFmtId="0" fontId="5" fillId="0" borderId="0" xfId="0" applyFont="1" applyAlignment="1">
      <alignment horizontal="center"/>
    </xf>
    <xf numFmtId="37" fontId="4" fillId="0" borderId="0" xfId="3" quotePrefix="1" applyFont="1" applyBorder="1" applyAlignment="1">
      <alignment horizontal="left"/>
    </xf>
    <xf numFmtId="37" fontId="3" fillId="0" borderId="0" xfId="3" applyFont="1" applyBorder="1"/>
    <xf numFmtId="0" fontId="21" fillId="0" borderId="0" xfId="0" applyFont="1"/>
    <xf numFmtId="170" fontId="5" fillId="0" borderId="0" xfId="0" applyNumberFormat="1" applyFont="1"/>
    <xf numFmtId="37" fontId="5" fillId="0" borderId="0" xfId="3" quotePrefix="1" applyFont="1" applyBorder="1"/>
    <xf numFmtId="164" fontId="5" fillId="0" borderId="0" xfId="0" applyNumberFormat="1" applyFont="1"/>
    <xf numFmtId="10" fontId="5" fillId="0" borderId="0" xfId="0" applyNumberFormat="1" applyFont="1"/>
    <xf numFmtId="171" fontId="5" fillId="0" borderId="0" xfId="0" applyNumberFormat="1" applyFont="1"/>
    <xf numFmtId="169" fontId="22" fillId="0" borderId="0" xfId="1" applyNumberFormat="1" applyFont="1"/>
    <xf numFmtId="169" fontId="23" fillId="0" borderId="0" xfId="1" applyNumberFormat="1" applyFont="1"/>
    <xf numFmtId="0" fontId="24" fillId="0" borderId="0" xfId="0" applyFont="1"/>
    <xf numFmtId="169" fontId="5" fillId="0" borderId="0" xfId="0" applyNumberFormat="1" applyFont="1"/>
    <xf numFmtId="37" fontId="5" fillId="0" borderId="0" xfId="0" applyNumberFormat="1" applyFont="1"/>
    <xf numFmtId="167" fontId="5" fillId="0" borderId="0" xfId="5" applyNumberFormat="1" applyFont="1"/>
    <xf numFmtId="175" fontId="5" fillId="0" borderId="0" xfId="5" applyNumberFormat="1" applyFont="1"/>
    <xf numFmtId="0" fontId="5" fillId="0" borderId="0" xfId="0" quotePrefix="1" applyFont="1"/>
    <xf numFmtId="9" fontId="5" fillId="0" borderId="0" xfId="5" applyFont="1"/>
    <xf numFmtId="0" fontId="17" fillId="0" borderId="0" xfId="0" applyFont="1"/>
    <xf numFmtId="164" fontId="5" fillId="0" borderId="0" xfId="5" applyNumberFormat="1" applyFont="1" applyBorder="1" applyProtection="1"/>
    <xf numFmtId="0" fontId="5" fillId="0" borderId="0" xfId="0" quotePrefix="1" applyFont="1" applyAlignment="1">
      <alignment horizontal="left"/>
    </xf>
    <xf numFmtId="176" fontId="5" fillId="0" borderId="0" xfId="1" applyNumberFormat="1" applyFont="1"/>
    <xf numFmtId="6" fontId="5" fillId="0" borderId="0" xfId="3" quotePrefix="1" applyNumberFormat="1" applyFont="1" applyBorder="1" applyAlignment="1">
      <alignment horizontal="left"/>
    </xf>
    <xf numFmtId="6" fontId="5" fillId="0" borderId="0" xfId="3" quotePrefix="1" applyNumberFormat="1" applyFont="1" applyBorder="1" applyAlignment="1">
      <alignment horizontal="right"/>
    </xf>
    <xf numFmtId="37" fontId="0" fillId="0" borderId="0" xfId="0" applyNumberFormat="1"/>
    <xf numFmtId="169" fontId="5" fillId="0" borderId="0" xfId="1" applyNumberFormat="1" applyFont="1" applyBorder="1"/>
    <xf numFmtId="37" fontId="27" fillId="0" borderId="0" xfId="3" quotePrefix="1" applyFont="1" applyBorder="1" applyAlignment="1">
      <alignment horizontal="left"/>
    </xf>
    <xf numFmtId="37" fontId="28" fillId="0" borderId="0" xfId="3" quotePrefix="1" applyFont="1" applyBorder="1" applyAlignment="1">
      <alignment horizontal="left"/>
    </xf>
    <xf numFmtId="37" fontId="28" fillId="0" borderId="0" xfId="0" applyNumberFormat="1" applyFont="1"/>
    <xf numFmtId="0" fontId="28" fillId="0" borderId="0" xfId="0" applyFont="1"/>
    <xf numFmtId="37" fontId="28" fillId="0" borderId="0" xfId="3" applyFont="1" applyBorder="1" applyAlignment="1">
      <alignment horizontal="left"/>
    </xf>
    <xf numFmtId="43" fontId="5" fillId="0" borderId="0" xfId="1" applyFont="1"/>
    <xf numFmtId="168" fontId="5" fillId="0" borderId="0" xfId="1" applyNumberFormat="1" applyFont="1"/>
    <xf numFmtId="168" fontId="14" fillId="0" borderId="0" xfId="1" applyNumberFormat="1" applyFont="1"/>
    <xf numFmtId="168" fontId="15" fillId="0" borderId="0" xfId="1" applyNumberFormat="1" applyFont="1"/>
    <xf numFmtId="177" fontId="5" fillId="0" borderId="0" xfId="1" applyNumberFormat="1" applyFont="1"/>
    <xf numFmtId="177" fontId="14" fillId="0" borderId="0" xfId="1" applyNumberFormat="1" applyFont="1"/>
    <xf numFmtId="44" fontId="5" fillId="0" borderId="0" xfId="2" applyFont="1"/>
    <xf numFmtId="174" fontId="5" fillId="0" borderId="0" xfId="2" applyNumberFormat="1" applyFont="1"/>
    <xf numFmtId="174" fontId="15" fillId="0" borderId="0" xfId="2" applyNumberFormat="1" applyFont="1"/>
    <xf numFmtId="172" fontId="22" fillId="0" borderId="0" xfId="2" applyNumberFormat="1" applyFont="1"/>
    <xf numFmtId="43" fontId="7" fillId="0" borderId="0" xfId="1" applyFont="1" applyAlignment="1">
      <alignment horizontal="right"/>
    </xf>
    <xf numFmtId="43" fontId="29" fillId="0" borderId="0" xfId="1" applyFont="1" applyAlignment="1">
      <alignment horizontal="right"/>
    </xf>
    <xf numFmtId="43" fontId="1" fillId="0" borderId="0" xfId="1" applyFont="1"/>
    <xf numFmtId="37" fontId="30" fillId="0" borderId="0" xfId="3" quotePrefix="1" applyFont="1" applyBorder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_Base Model" xfId="3" xr:uid="{00000000-0005-0000-0000-000003000000}"/>
    <cellStyle name="Normal_Sheet 1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"/>
  <sheetViews>
    <sheetView tabSelected="1" zoomScale="160" zoomScaleNormal="160" workbookViewId="0">
      <selection activeCell="G13" sqref="G13"/>
    </sheetView>
  </sheetViews>
  <sheetFormatPr defaultRowHeight="12.75" x14ac:dyDescent="0.2"/>
  <cols>
    <col min="2" max="2" width="12.140625" bestFit="1" customWidth="1"/>
  </cols>
  <sheetData>
    <row r="2" spans="1:2" x14ac:dyDescent="0.2">
      <c r="A2" s="82"/>
      <c r="B2" s="82"/>
    </row>
  </sheetData>
  <customSheetViews>
    <customSheetView guid="{45E2C907-21A9-4DE3-B8AC-8D4C138C71A5}" scale="160">
      <selection activeCell="D16" sqref="D16:G18"/>
      <pageMargins left="0.7" right="0.7" top="0.75" bottom="0.75" header="0.3" footer="0.3"/>
      <pageSetup orientation="portrait" r:id="rId1"/>
    </customSheetView>
    <customSheetView guid="{4845B082-CC6D-40B1-A19C-F7A3857AE7CF}" scale="160">
      <selection activeCell="D16" sqref="D16:G18"/>
      <pageMargins left="0.7" right="0.7" top="0.75" bottom="0.75" header="0.3" footer="0.3"/>
      <pageSetup orientation="portrait" r:id="rId2"/>
    </customSheetView>
    <customSheetView guid="{1C4F1D44-A361-480C-ADF0-4C9869BE30FD}" scale="160">
      <selection activeCell="G13" sqref="G13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06"/>
  <sheetViews>
    <sheetView showGridLines="0" zoomScale="130" zoomScaleNormal="130" workbookViewId="0">
      <selection activeCell="A6" sqref="A6"/>
    </sheetView>
  </sheetViews>
  <sheetFormatPr defaultRowHeight="12.75" x14ac:dyDescent="0.2"/>
  <cols>
    <col min="1" max="1" width="40.140625" customWidth="1"/>
    <col min="2" max="2" width="17.28515625" customWidth="1"/>
    <col min="3" max="3" width="9.5703125" customWidth="1"/>
    <col min="4" max="4" width="11.140625" customWidth="1"/>
    <col min="5" max="5" width="10.28515625" customWidth="1"/>
    <col min="6" max="7" width="9.140625" customWidth="1"/>
    <col min="8" max="8" width="10.42578125" customWidth="1"/>
    <col min="9" max="27" width="9.140625" customWidth="1"/>
  </cols>
  <sheetData>
    <row r="1" spans="1:55" ht="18.75" x14ac:dyDescent="0.3">
      <c r="A1" s="102" t="s">
        <v>0</v>
      </c>
      <c r="B1" s="1"/>
      <c r="C1" s="2"/>
      <c r="E1" s="3"/>
      <c r="F1" s="2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ht="18" x14ac:dyDescent="0.3">
      <c r="A2" s="84" t="s">
        <v>1</v>
      </c>
      <c r="B2" s="1"/>
      <c r="C2" s="2"/>
      <c r="D2" s="60"/>
      <c r="E2" s="2"/>
      <c r="F2" s="2"/>
      <c r="G2" s="6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x14ac:dyDescent="0.2">
      <c r="A3" s="85" t="s">
        <v>2</v>
      </c>
      <c r="B3" s="2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</row>
    <row r="4" spans="1:55" x14ac:dyDescent="0.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</row>
    <row r="5" spans="1:55" x14ac:dyDescent="0.2">
      <c r="A5" s="7"/>
      <c r="B5" s="75"/>
      <c r="C5" s="6"/>
      <c r="D5" s="6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</row>
    <row r="6" spans="1:55" x14ac:dyDescent="0.2">
      <c r="A6" s="23" t="s">
        <v>3</v>
      </c>
      <c r="B6" s="8"/>
      <c r="C6" s="6"/>
      <c r="D6" s="23" t="s">
        <v>4</v>
      </c>
      <c r="E6" s="6"/>
      <c r="F6" s="6"/>
      <c r="G6" s="6"/>
      <c r="H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55" x14ac:dyDescent="0.2">
      <c r="A7" s="8" t="s">
        <v>5</v>
      </c>
      <c r="B7" s="6"/>
      <c r="D7" s="8" t="s">
        <v>6</v>
      </c>
      <c r="E7" s="6"/>
      <c r="F7" s="6"/>
      <c r="G7" s="6"/>
      <c r="H7" s="12">
        <v>7.0000000000000007E-2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</row>
    <row r="8" spans="1:55" x14ac:dyDescent="0.2">
      <c r="A8" s="8" t="s">
        <v>7</v>
      </c>
      <c r="B8" s="9">
        <v>100000000</v>
      </c>
      <c r="D8" s="5" t="s">
        <v>8</v>
      </c>
      <c r="E8" s="6"/>
      <c r="F8" s="6"/>
      <c r="G8" s="6"/>
      <c r="H8" s="12">
        <v>0.11</v>
      </c>
      <c r="I8" s="33">
        <f>(1+I9)/(1+H7)-1</f>
        <v>4.9625668449195803E-3</v>
      </c>
      <c r="J8" s="6"/>
      <c r="K8" s="63" t="s">
        <v>9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</row>
    <row r="9" spans="1:55" x14ac:dyDescent="0.2">
      <c r="A9" s="8" t="s">
        <v>10</v>
      </c>
      <c r="B9" s="10">
        <v>15000000</v>
      </c>
      <c r="D9" s="7" t="s">
        <v>11</v>
      </c>
      <c r="H9" s="33">
        <f>((1+H8)*(1+H7))-1</f>
        <v>0.1877000000000002</v>
      </c>
      <c r="I9" s="33">
        <f>'Cost of Cap'!D27</f>
        <v>7.530994652406417E-2</v>
      </c>
      <c r="J9" s="6"/>
      <c r="K9" s="63" t="s">
        <v>12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</row>
    <row r="10" spans="1:55" x14ac:dyDescent="0.2">
      <c r="A10" s="6" t="s">
        <v>13</v>
      </c>
      <c r="B10" s="11">
        <v>30000000</v>
      </c>
      <c r="D10" s="8" t="s">
        <v>14</v>
      </c>
      <c r="E10" s="6"/>
      <c r="F10" s="6"/>
      <c r="G10" s="6"/>
      <c r="H10" s="81">
        <f>NPV(I9,C95:BA95)+B95</f>
        <v>40890161.266012982</v>
      </c>
      <c r="J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pans="1:55" x14ac:dyDescent="0.2">
      <c r="A11" s="8" t="s">
        <v>15</v>
      </c>
      <c r="B11" s="8"/>
      <c r="D11" s="8" t="s">
        <v>16</v>
      </c>
      <c r="E11" s="6"/>
      <c r="F11" s="6"/>
      <c r="G11" s="6"/>
      <c r="H11" s="12">
        <f>IRR(B95:BA95)</f>
        <v>0.1261314936064446</v>
      </c>
      <c r="I11" s="1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55" x14ac:dyDescent="0.2">
      <c r="A12" s="8" t="s">
        <v>17</v>
      </c>
      <c r="B12" s="83">
        <v>6200000</v>
      </c>
      <c r="D12" s="6"/>
      <c r="E12" s="7"/>
      <c r="F12" s="7"/>
      <c r="G12" s="7"/>
      <c r="H12" s="6"/>
      <c r="I12" s="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pans="1:55" x14ac:dyDescent="0.2">
      <c r="A13" s="8" t="s">
        <v>18</v>
      </c>
      <c r="B13" s="83">
        <f>15000000</f>
        <v>15000000</v>
      </c>
      <c r="C13" s="82"/>
      <c r="D13" s="6"/>
      <c r="E13" s="7"/>
      <c r="F13" s="7"/>
      <c r="G13" s="7"/>
      <c r="H13" s="7"/>
      <c r="I13" s="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pans="1:55" x14ac:dyDescent="0.2">
      <c r="A14" s="8" t="s">
        <v>19</v>
      </c>
      <c r="B14" s="83">
        <f>3000000-700000-50000+6125000</f>
        <v>8375000</v>
      </c>
      <c r="D14" s="6"/>
      <c r="E14" s="7"/>
      <c r="F14" s="7"/>
      <c r="G14" s="7"/>
      <c r="H14" s="7"/>
      <c r="I14" s="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</row>
    <row r="15" spans="1:55" x14ac:dyDescent="0.2">
      <c r="A15" s="8" t="s">
        <v>20</v>
      </c>
      <c r="B15" s="83">
        <f>1000000-(1000000/9)</f>
        <v>888888.88888888888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</row>
    <row r="16" spans="1:55" x14ac:dyDescent="0.2">
      <c r="A16" s="7"/>
      <c r="B16" s="83"/>
      <c r="C16" s="58"/>
      <c r="D16" s="14" t="s">
        <v>21</v>
      </c>
      <c r="E16" s="6"/>
      <c r="F16" s="6"/>
      <c r="G16" s="6"/>
      <c r="H16" s="80"/>
      <c r="I16" s="7"/>
      <c r="J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pans="1:55" x14ac:dyDescent="0.2">
      <c r="A17" s="23" t="s">
        <v>22</v>
      </c>
      <c r="B17" s="6"/>
      <c r="C17" s="58" t="s">
        <v>23</v>
      </c>
      <c r="D17" s="14" t="s">
        <v>24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</row>
    <row r="18" spans="1:55" x14ac:dyDescent="0.2">
      <c r="A18" s="28" t="s">
        <v>25</v>
      </c>
      <c r="B18" s="66">
        <v>4.2</v>
      </c>
      <c r="C18" s="66">
        <v>4.2</v>
      </c>
      <c r="D18" s="54">
        <v>4.3280000000000003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55" x14ac:dyDescent="0.2">
      <c r="A19" s="28" t="s">
        <v>26</v>
      </c>
      <c r="B19" s="66">
        <v>33</v>
      </c>
      <c r="C19" s="66">
        <v>33</v>
      </c>
      <c r="D19" s="53">
        <v>34.200000000000003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</row>
    <row r="20" spans="1:55" x14ac:dyDescent="0.2">
      <c r="A20" s="8" t="s">
        <v>10</v>
      </c>
      <c r="B20" s="48">
        <v>1386000</v>
      </c>
      <c r="C20" s="48">
        <v>1386000</v>
      </c>
      <c r="D20" s="13">
        <f>+D19*D18*10000</f>
        <v>1480176.0000000002</v>
      </c>
      <c r="E20" s="15"/>
      <c r="F20" s="7"/>
      <c r="G20" s="7"/>
      <c r="H20" s="12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</row>
    <row r="21" spans="1:55" x14ac:dyDescent="0.2">
      <c r="A21" s="8" t="s">
        <v>27</v>
      </c>
      <c r="B21" s="16">
        <v>7.0000000000000001E-3</v>
      </c>
      <c r="D21" s="17"/>
      <c r="E21" s="5"/>
      <c r="F21" s="7"/>
      <c r="G21" s="7"/>
      <c r="H21" s="12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</row>
    <row r="22" spans="1:55" x14ac:dyDescent="0.2">
      <c r="A22" s="8" t="s">
        <v>28</v>
      </c>
      <c r="B22" s="6"/>
      <c r="D22" s="6"/>
      <c r="E22" s="5"/>
      <c r="F22" s="7"/>
      <c r="G22" s="7"/>
      <c r="H22" s="1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</row>
    <row r="23" spans="1:55" x14ac:dyDescent="0.2">
      <c r="A23" s="8" t="s">
        <v>29</v>
      </c>
      <c r="B23" s="18">
        <v>15</v>
      </c>
      <c r="C23" s="6" t="s">
        <v>30</v>
      </c>
      <c r="E23" s="5"/>
      <c r="F23" s="7"/>
      <c r="G23" s="7"/>
      <c r="H23" s="12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</row>
    <row r="24" spans="1:55" x14ac:dyDescent="0.2">
      <c r="A24" s="8" t="s">
        <v>31</v>
      </c>
      <c r="B24" s="19">
        <v>11.5</v>
      </c>
      <c r="D24" s="6"/>
      <c r="E24" s="5"/>
      <c r="F24" s="7"/>
      <c r="G24" s="7"/>
      <c r="H24" s="1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1:55" x14ac:dyDescent="0.2">
      <c r="A25" s="8" t="s">
        <v>32</v>
      </c>
      <c r="B25" s="19">
        <v>14.5</v>
      </c>
      <c r="D25" s="6"/>
      <c r="E25" s="5"/>
      <c r="F25" s="7"/>
      <c r="G25" s="7"/>
      <c r="H25" s="12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1:55" x14ac:dyDescent="0.2">
      <c r="A26" s="8" t="s">
        <v>33</v>
      </c>
      <c r="B26" s="9">
        <v>150000</v>
      </c>
      <c r="D26" s="6"/>
      <c r="E26" s="5"/>
      <c r="F26" s="7"/>
      <c r="G26" s="7"/>
      <c r="H26" s="12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</row>
    <row r="27" spans="1:55" x14ac:dyDescent="0.2">
      <c r="A27" s="8" t="s">
        <v>34</v>
      </c>
      <c r="B27" s="77">
        <v>0.04</v>
      </c>
      <c r="D27" s="6"/>
      <c r="E27" s="5"/>
      <c r="F27" s="7"/>
      <c r="G27" s="7"/>
      <c r="H27" s="12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</row>
    <row r="28" spans="1:55" x14ac:dyDescent="0.2">
      <c r="A28" s="23" t="s">
        <v>35</v>
      </c>
      <c r="B28" s="13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</row>
    <row r="29" spans="1:55" x14ac:dyDescent="0.2">
      <c r="A29" s="5" t="s">
        <v>36</v>
      </c>
      <c r="B29" s="13">
        <v>60000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1:55" x14ac:dyDescent="0.2">
      <c r="A30" s="8" t="s">
        <v>7</v>
      </c>
      <c r="B30" s="11">
        <v>150000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</row>
    <row r="31" spans="1:55" x14ac:dyDescent="0.2">
      <c r="A31" s="8" t="s">
        <v>189</v>
      </c>
      <c r="B31" s="11">
        <v>200000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</row>
    <row r="32" spans="1:55" x14ac:dyDescent="0.2">
      <c r="A32" s="5" t="s">
        <v>37</v>
      </c>
      <c r="B32" s="11">
        <v>15000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</row>
    <row r="33" spans="1:55" x14ac:dyDescent="0.2">
      <c r="A33" s="8" t="s">
        <v>10</v>
      </c>
      <c r="B33" s="11">
        <v>80000</v>
      </c>
      <c r="D33" s="6"/>
      <c r="E33" s="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  <row r="34" spans="1:55" x14ac:dyDescent="0.2">
      <c r="A34" s="8" t="s">
        <v>38</v>
      </c>
      <c r="B34" s="6"/>
      <c r="D34" s="6"/>
      <c r="E34" s="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55" x14ac:dyDescent="0.2">
      <c r="A35" s="8" t="s">
        <v>39</v>
      </c>
      <c r="B35" s="20">
        <v>0.03</v>
      </c>
      <c r="D35" s="6"/>
      <c r="E35" s="8"/>
      <c r="F35" s="6"/>
      <c r="G35" s="6"/>
      <c r="H35" s="12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</row>
    <row r="36" spans="1:55" x14ac:dyDescent="0.2">
      <c r="A36" s="8" t="s">
        <v>40</v>
      </c>
      <c r="B36" s="20">
        <v>0.1</v>
      </c>
      <c r="D36" s="6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1:55" x14ac:dyDescent="0.2">
      <c r="A37" s="8" t="s">
        <v>41</v>
      </c>
      <c r="B37" s="52">
        <v>0.15</v>
      </c>
      <c r="C37" s="20">
        <f>B37*'Cost of Cap'!D6</f>
        <v>2.2499999999999999E-2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</row>
    <row r="38" spans="1:55" x14ac:dyDescent="0.2">
      <c r="A38" s="8"/>
      <c r="B38" s="52"/>
      <c r="C38" s="20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  <row r="39" spans="1:5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</row>
    <row r="40" spans="1:55" x14ac:dyDescent="0.2">
      <c r="A40" s="6"/>
      <c r="B40" s="29" t="s">
        <v>42</v>
      </c>
      <c r="C40" s="26">
        <v>1995</v>
      </c>
      <c r="D40" s="26">
        <f t="shared" ref="D40:S40" si="0">C40+1</f>
        <v>1996</v>
      </c>
      <c r="E40" s="26">
        <f t="shared" si="0"/>
        <v>1997</v>
      </c>
      <c r="F40" s="26">
        <f t="shared" si="0"/>
        <v>1998</v>
      </c>
      <c r="G40" s="26">
        <f t="shared" si="0"/>
        <v>1999</v>
      </c>
      <c r="H40" s="26">
        <f t="shared" si="0"/>
        <v>2000</v>
      </c>
      <c r="I40" s="26">
        <f t="shared" si="0"/>
        <v>2001</v>
      </c>
      <c r="J40" s="26">
        <f t="shared" si="0"/>
        <v>2002</v>
      </c>
      <c r="K40" s="26">
        <f t="shared" si="0"/>
        <v>2003</v>
      </c>
      <c r="L40" s="26">
        <f>K40+1</f>
        <v>2004</v>
      </c>
      <c r="M40" s="26">
        <f t="shared" si="0"/>
        <v>2005</v>
      </c>
      <c r="N40" s="26">
        <f t="shared" si="0"/>
        <v>2006</v>
      </c>
      <c r="O40" s="26">
        <f t="shared" si="0"/>
        <v>2007</v>
      </c>
      <c r="P40" s="26">
        <f t="shared" si="0"/>
        <v>2008</v>
      </c>
      <c r="Q40" s="26">
        <f t="shared" si="0"/>
        <v>2009</v>
      </c>
      <c r="R40" s="26">
        <f t="shared" si="0"/>
        <v>2010</v>
      </c>
      <c r="S40" s="26">
        <f t="shared" si="0"/>
        <v>2011</v>
      </c>
      <c r="T40" s="26">
        <f t="shared" ref="T40:AI40" si="1">S40+1</f>
        <v>2012</v>
      </c>
      <c r="U40" s="26">
        <f t="shared" si="1"/>
        <v>2013</v>
      </c>
      <c r="V40" s="26">
        <f t="shared" si="1"/>
        <v>2014</v>
      </c>
      <c r="W40" s="26">
        <f t="shared" si="1"/>
        <v>2015</v>
      </c>
      <c r="X40" s="26">
        <f t="shared" si="1"/>
        <v>2016</v>
      </c>
      <c r="Y40" s="26">
        <f t="shared" si="1"/>
        <v>2017</v>
      </c>
      <c r="Z40" s="26">
        <f t="shared" si="1"/>
        <v>2018</v>
      </c>
      <c r="AA40" s="26">
        <f t="shared" si="1"/>
        <v>2019</v>
      </c>
      <c r="AB40" s="26">
        <f t="shared" si="1"/>
        <v>2020</v>
      </c>
      <c r="AC40" s="26">
        <f t="shared" si="1"/>
        <v>2021</v>
      </c>
      <c r="AD40" s="26">
        <f t="shared" si="1"/>
        <v>2022</v>
      </c>
      <c r="AE40" s="26">
        <f t="shared" si="1"/>
        <v>2023</v>
      </c>
      <c r="AF40" s="26">
        <f t="shared" si="1"/>
        <v>2024</v>
      </c>
      <c r="AG40" s="26">
        <f t="shared" si="1"/>
        <v>2025</v>
      </c>
      <c r="AH40" s="26">
        <f t="shared" si="1"/>
        <v>2026</v>
      </c>
      <c r="AI40" s="26">
        <f t="shared" si="1"/>
        <v>2027</v>
      </c>
      <c r="AJ40" s="26">
        <f t="shared" ref="AJ40:AY40" si="2">AI40+1</f>
        <v>2028</v>
      </c>
      <c r="AK40" s="26">
        <f t="shared" si="2"/>
        <v>2029</v>
      </c>
      <c r="AL40" s="26">
        <f t="shared" si="2"/>
        <v>2030</v>
      </c>
      <c r="AM40" s="26">
        <f t="shared" si="2"/>
        <v>2031</v>
      </c>
      <c r="AN40" s="26">
        <f t="shared" si="2"/>
        <v>2032</v>
      </c>
      <c r="AO40" s="26">
        <f t="shared" si="2"/>
        <v>2033</v>
      </c>
      <c r="AP40" s="26">
        <f t="shared" si="2"/>
        <v>2034</v>
      </c>
      <c r="AQ40" s="26">
        <f t="shared" si="2"/>
        <v>2035</v>
      </c>
      <c r="AR40" s="26">
        <f t="shared" si="2"/>
        <v>2036</v>
      </c>
      <c r="AS40" s="26">
        <f t="shared" si="2"/>
        <v>2037</v>
      </c>
      <c r="AT40" s="26">
        <f t="shared" si="2"/>
        <v>2038</v>
      </c>
      <c r="AU40" s="26">
        <f t="shared" si="2"/>
        <v>2039</v>
      </c>
      <c r="AV40" s="26">
        <f t="shared" si="2"/>
        <v>2040</v>
      </c>
      <c r="AW40" s="26">
        <f t="shared" si="2"/>
        <v>2041</v>
      </c>
      <c r="AX40" s="26">
        <f t="shared" si="2"/>
        <v>2042</v>
      </c>
      <c r="AY40" s="26">
        <f t="shared" si="2"/>
        <v>2043</v>
      </c>
      <c r="AZ40" s="26">
        <f>AY40+1</f>
        <v>2044</v>
      </c>
      <c r="BA40" s="26">
        <f>AZ40+1</f>
        <v>2045</v>
      </c>
      <c r="BB40" s="6"/>
      <c r="BC40" s="6"/>
    </row>
    <row r="41" spans="1:55" x14ac:dyDescent="0.2">
      <c r="A41" s="23" t="s">
        <v>43</v>
      </c>
      <c r="B41" s="30">
        <v>0</v>
      </c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21">
        <v>9</v>
      </c>
      <c r="L41" s="21">
        <v>10</v>
      </c>
      <c r="M41" s="21">
        <v>11</v>
      </c>
      <c r="N41" s="21">
        <v>12</v>
      </c>
      <c r="O41" s="21">
        <v>13</v>
      </c>
      <c r="P41" s="21">
        <v>14</v>
      </c>
      <c r="Q41" s="21">
        <v>15</v>
      </c>
      <c r="R41" s="21">
        <v>16</v>
      </c>
      <c r="S41" s="21">
        <v>17</v>
      </c>
      <c r="T41" s="21">
        <v>18</v>
      </c>
      <c r="U41" s="21">
        <v>19</v>
      </c>
      <c r="V41" s="21">
        <v>20</v>
      </c>
      <c r="W41" s="21">
        <v>21</v>
      </c>
      <c r="X41" s="21">
        <v>22</v>
      </c>
      <c r="Y41" s="21">
        <v>23</v>
      </c>
      <c r="Z41" s="21">
        <v>24</v>
      </c>
      <c r="AA41" s="21">
        <v>25</v>
      </c>
      <c r="AB41" s="21">
        <v>26</v>
      </c>
      <c r="AC41" s="21">
        <v>27</v>
      </c>
      <c r="AD41" s="21">
        <v>28</v>
      </c>
      <c r="AE41" s="21">
        <v>29</v>
      </c>
      <c r="AF41" s="21">
        <v>30</v>
      </c>
      <c r="AG41" s="21">
        <v>31</v>
      </c>
      <c r="AH41" s="21">
        <v>32</v>
      </c>
      <c r="AI41" s="21">
        <v>33</v>
      </c>
      <c r="AJ41" s="21">
        <v>34</v>
      </c>
      <c r="AK41" s="21">
        <v>35</v>
      </c>
      <c r="AL41" s="21">
        <v>36</v>
      </c>
      <c r="AM41" s="21">
        <v>37</v>
      </c>
      <c r="AN41" s="21">
        <v>38</v>
      </c>
      <c r="AO41" s="21">
        <v>39</v>
      </c>
      <c r="AP41" s="21">
        <v>40</v>
      </c>
      <c r="AQ41" s="21">
        <v>41</v>
      </c>
      <c r="AR41" s="21">
        <v>42</v>
      </c>
      <c r="AS41" s="21">
        <v>43</v>
      </c>
      <c r="AT41" s="21">
        <v>44</v>
      </c>
      <c r="AU41" s="21">
        <v>45</v>
      </c>
      <c r="AV41" s="21">
        <v>46</v>
      </c>
      <c r="AW41" s="21">
        <v>47</v>
      </c>
      <c r="AX41" s="21">
        <v>48</v>
      </c>
      <c r="AY41" s="21">
        <v>49</v>
      </c>
      <c r="AZ41" s="21">
        <v>50</v>
      </c>
      <c r="BA41" s="21">
        <v>51</v>
      </c>
      <c r="BB41" s="6"/>
      <c r="BC41" s="6"/>
    </row>
    <row r="42" spans="1:55" x14ac:dyDescent="0.2">
      <c r="A42" s="23" t="s">
        <v>44</v>
      </c>
      <c r="B42" s="23"/>
      <c r="C42" s="6"/>
      <c r="D42" s="6"/>
      <c r="E42" s="6">
        <v>90000</v>
      </c>
      <c r="F42" s="22">
        <v>90000</v>
      </c>
      <c r="G42" s="22">
        <v>90000</v>
      </c>
      <c r="H42" s="22">
        <v>90000</v>
      </c>
      <c r="I42" s="22">
        <v>90000</v>
      </c>
      <c r="J42" s="22">
        <v>90000</v>
      </c>
      <c r="K42" s="22">
        <v>90000</v>
      </c>
      <c r="L42" s="22">
        <v>90000</v>
      </c>
      <c r="M42" s="22">
        <v>90000</v>
      </c>
      <c r="N42" s="22">
        <v>90000</v>
      </c>
      <c r="O42" s="22">
        <v>90000</v>
      </c>
      <c r="P42" s="22">
        <v>90000</v>
      </c>
      <c r="Q42" s="22">
        <v>90000</v>
      </c>
      <c r="R42" s="22">
        <v>90000</v>
      </c>
      <c r="S42" s="22">
        <v>90000</v>
      </c>
      <c r="T42" s="22">
        <v>90000</v>
      </c>
      <c r="U42" s="22">
        <v>90000</v>
      </c>
      <c r="V42" s="22">
        <v>90000</v>
      </c>
      <c r="W42" s="22">
        <v>90000</v>
      </c>
      <c r="X42" s="22">
        <v>90000</v>
      </c>
      <c r="Y42" s="22">
        <v>90000</v>
      </c>
      <c r="Z42" s="22">
        <v>90000</v>
      </c>
      <c r="AA42" s="22">
        <v>90000</v>
      </c>
      <c r="AB42" s="22">
        <v>90000</v>
      </c>
      <c r="AC42" s="22">
        <v>90000</v>
      </c>
      <c r="AD42" s="22">
        <v>90000</v>
      </c>
      <c r="AE42" s="22">
        <v>90000</v>
      </c>
      <c r="AF42" s="22">
        <v>90000</v>
      </c>
      <c r="AG42" s="22">
        <v>90000</v>
      </c>
      <c r="AH42" s="22">
        <v>90000</v>
      </c>
      <c r="AI42" s="22">
        <v>90000</v>
      </c>
      <c r="AJ42" s="22">
        <v>90000</v>
      </c>
      <c r="AK42" s="22">
        <v>90000</v>
      </c>
      <c r="AL42" s="22">
        <v>90000</v>
      </c>
      <c r="AM42" s="22">
        <v>90000</v>
      </c>
      <c r="AN42" s="22">
        <v>90000</v>
      </c>
      <c r="AO42" s="22">
        <v>90000</v>
      </c>
      <c r="AP42" s="22">
        <v>90000</v>
      </c>
      <c r="AQ42" s="22">
        <v>90000</v>
      </c>
      <c r="AR42" s="22">
        <v>90000</v>
      </c>
      <c r="AS42" s="22">
        <v>90000</v>
      </c>
      <c r="AT42" s="22">
        <v>90000</v>
      </c>
      <c r="AU42" s="22">
        <v>90001</v>
      </c>
      <c r="AV42" s="22">
        <v>90002</v>
      </c>
      <c r="AW42" s="22">
        <v>90003</v>
      </c>
      <c r="AX42" s="22">
        <v>90004</v>
      </c>
      <c r="AY42" s="22">
        <v>90005</v>
      </c>
      <c r="AZ42" s="22">
        <v>90006</v>
      </c>
      <c r="BA42" s="22">
        <v>90007</v>
      </c>
      <c r="BB42" s="6"/>
      <c r="BC42" s="6"/>
    </row>
    <row r="43" spans="1:55" x14ac:dyDescent="0.2">
      <c r="A43" s="23" t="s">
        <v>45</v>
      </c>
      <c r="B43" s="23"/>
      <c r="C43" s="6"/>
      <c r="D43" s="6"/>
      <c r="E43" s="20">
        <v>0.5</v>
      </c>
      <c r="F43" s="20">
        <v>1</v>
      </c>
      <c r="G43" s="20">
        <v>1</v>
      </c>
      <c r="H43" s="20">
        <v>1</v>
      </c>
      <c r="I43" s="20">
        <v>1</v>
      </c>
      <c r="J43" s="20">
        <v>1</v>
      </c>
      <c r="K43" s="20">
        <v>1</v>
      </c>
      <c r="L43" s="20">
        <v>1</v>
      </c>
      <c r="M43" s="20">
        <v>1</v>
      </c>
      <c r="N43" s="20">
        <v>1</v>
      </c>
      <c r="O43" s="20">
        <v>1</v>
      </c>
      <c r="P43" s="20">
        <v>1</v>
      </c>
      <c r="Q43" s="20">
        <v>1</v>
      </c>
      <c r="R43" s="20">
        <v>1</v>
      </c>
      <c r="S43" s="20">
        <v>1</v>
      </c>
      <c r="T43" s="20">
        <v>1</v>
      </c>
      <c r="U43" s="20">
        <v>1</v>
      </c>
      <c r="V43" s="20">
        <v>1</v>
      </c>
      <c r="W43" s="20">
        <v>1</v>
      </c>
      <c r="X43" s="20">
        <v>1</v>
      </c>
      <c r="Y43" s="20">
        <v>1</v>
      </c>
      <c r="Z43" s="20">
        <v>1</v>
      </c>
      <c r="AA43" s="20">
        <v>1</v>
      </c>
      <c r="AB43" s="20">
        <v>1</v>
      </c>
      <c r="AC43" s="20">
        <v>1</v>
      </c>
      <c r="AD43" s="20">
        <v>1</v>
      </c>
      <c r="AE43" s="20">
        <v>1</v>
      </c>
      <c r="AF43" s="20">
        <v>1</v>
      </c>
      <c r="AG43" s="20">
        <v>1</v>
      </c>
      <c r="AH43" s="20">
        <v>1</v>
      </c>
      <c r="AI43" s="20">
        <v>1</v>
      </c>
      <c r="AJ43" s="20">
        <v>1</v>
      </c>
      <c r="AK43" s="20">
        <v>1</v>
      </c>
      <c r="AL43" s="20">
        <v>1</v>
      </c>
      <c r="AM43" s="20">
        <v>1</v>
      </c>
      <c r="AN43" s="20">
        <v>1</v>
      </c>
      <c r="AO43" s="20">
        <v>1</v>
      </c>
      <c r="AP43" s="20">
        <v>1</v>
      </c>
      <c r="AQ43" s="20">
        <v>1</v>
      </c>
      <c r="AR43" s="20">
        <v>1</v>
      </c>
      <c r="AS43" s="20">
        <v>1</v>
      </c>
      <c r="AT43" s="20">
        <v>1</v>
      </c>
      <c r="AU43" s="20">
        <v>1</v>
      </c>
      <c r="AV43" s="20">
        <f t="shared" ref="AV43:BA43" si="3">AU43</f>
        <v>1</v>
      </c>
      <c r="AW43" s="20">
        <f t="shared" si="3"/>
        <v>1</v>
      </c>
      <c r="AX43" s="20">
        <f t="shared" si="3"/>
        <v>1</v>
      </c>
      <c r="AY43" s="20">
        <f t="shared" si="3"/>
        <v>1</v>
      </c>
      <c r="AZ43" s="20">
        <f t="shared" si="3"/>
        <v>1</v>
      </c>
      <c r="BA43" s="20">
        <f t="shared" si="3"/>
        <v>1</v>
      </c>
      <c r="BB43" s="6"/>
      <c r="BC43" s="6"/>
    </row>
    <row r="44" spans="1:55" x14ac:dyDescent="0.2">
      <c r="A44" s="23" t="s">
        <v>46</v>
      </c>
      <c r="B44" s="23"/>
      <c r="C44" s="6"/>
      <c r="D44" s="6"/>
      <c r="E44" s="27">
        <f t="shared" ref="E44:K44" si="4">$B$23*(1+$H$7)^(E41-3)</f>
        <v>15</v>
      </c>
      <c r="F44" s="27">
        <f t="shared" si="4"/>
        <v>16.05</v>
      </c>
      <c r="G44" s="27">
        <f t="shared" si="4"/>
        <v>17.173500000000001</v>
      </c>
      <c r="H44" s="27">
        <f t="shared" si="4"/>
        <v>18.375645000000002</v>
      </c>
      <c r="I44" s="27">
        <f t="shared" si="4"/>
        <v>19.66194015</v>
      </c>
      <c r="J44" s="27">
        <f t="shared" si="4"/>
        <v>21.038275960500002</v>
      </c>
      <c r="K44" s="27">
        <f t="shared" si="4"/>
        <v>22.510955277735</v>
      </c>
      <c r="L44" s="27">
        <f t="shared" ref="L44:R44" si="5">$B$24*(1+$H$7)^(L41-10)</f>
        <v>11.5</v>
      </c>
      <c r="M44" s="27">
        <f t="shared" si="5"/>
        <v>12.305000000000001</v>
      </c>
      <c r="N44" s="27">
        <f t="shared" si="5"/>
        <v>13.16635</v>
      </c>
      <c r="O44" s="27">
        <f t="shared" si="5"/>
        <v>14.087994500000001</v>
      </c>
      <c r="P44" s="27">
        <f t="shared" si="5"/>
        <v>15.074154115000001</v>
      </c>
      <c r="Q44" s="27">
        <f t="shared" si="5"/>
        <v>16.129344903050001</v>
      </c>
      <c r="R44" s="27">
        <f t="shared" si="5"/>
        <v>17.258399046263502</v>
      </c>
      <c r="S44" s="27">
        <f t="shared" ref="S44:BA44" si="6">$B$25*(1+$H$7)^(S41-17)</f>
        <v>14.5</v>
      </c>
      <c r="T44" s="27">
        <f t="shared" si="6"/>
        <v>15.515000000000001</v>
      </c>
      <c r="U44" s="27">
        <f t="shared" si="6"/>
        <v>16.601050000000001</v>
      </c>
      <c r="V44" s="27">
        <f t="shared" si="6"/>
        <v>17.763123500000003</v>
      </c>
      <c r="W44" s="27">
        <f t="shared" si="6"/>
        <v>19.006542145000001</v>
      </c>
      <c r="X44" s="27">
        <f t="shared" si="6"/>
        <v>20.337000095150003</v>
      </c>
      <c r="Y44" s="27">
        <f t="shared" si="6"/>
        <v>21.7605901018105</v>
      </c>
      <c r="Z44" s="27">
        <f t="shared" si="6"/>
        <v>23.283831408937239</v>
      </c>
      <c r="AA44" s="27">
        <f t="shared" si="6"/>
        <v>24.913699607562844</v>
      </c>
      <c r="AB44" s="27">
        <f t="shared" si="6"/>
        <v>26.657658580092246</v>
      </c>
      <c r="AC44" s="27">
        <f t="shared" si="6"/>
        <v>28.5236946806987</v>
      </c>
      <c r="AD44" s="27">
        <f t="shared" si="6"/>
        <v>30.520353308347616</v>
      </c>
      <c r="AE44" s="27">
        <f t="shared" si="6"/>
        <v>32.656778039931943</v>
      </c>
      <c r="AF44" s="27">
        <f t="shared" si="6"/>
        <v>34.942752502727181</v>
      </c>
      <c r="AG44" s="27">
        <f t="shared" si="6"/>
        <v>37.388745177918082</v>
      </c>
      <c r="AH44" s="27">
        <f t="shared" si="6"/>
        <v>40.005957340372348</v>
      </c>
      <c r="AI44" s="27">
        <f t="shared" si="6"/>
        <v>42.806374354198411</v>
      </c>
      <c r="AJ44" s="27">
        <f t="shared" si="6"/>
        <v>45.802820558992295</v>
      </c>
      <c r="AK44" s="27">
        <f t="shared" si="6"/>
        <v>49.009017998121763</v>
      </c>
      <c r="AL44" s="27">
        <f t="shared" si="6"/>
        <v>52.43964925799029</v>
      </c>
      <c r="AM44" s="27">
        <f t="shared" si="6"/>
        <v>56.110424706049599</v>
      </c>
      <c r="AN44" s="27">
        <f t="shared" si="6"/>
        <v>60.038154435473075</v>
      </c>
      <c r="AO44" s="27">
        <f t="shared" si="6"/>
        <v>64.240825245956188</v>
      </c>
      <c r="AP44" s="27">
        <f t="shared" si="6"/>
        <v>68.737683013173125</v>
      </c>
      <c r="AQ44" s="27">
        <f t="shared" si="6"/>
        <v>73.549320824095247</v>
      </c>
      <c r="AR44" s="27">
        <f t="shared" si="6"/>
        <v>78.69777328178192</v>
      </c>
      <c r="AS44" s="27">
        <f t="shared" si="6"/>
        <v>84.206617411506642</v>
      </c>
      <c r="AT44" s="27">
        <f t="shared" si="6"/>
        <v>90.10108063031214</v>
      </c>
      <c r="AU44" s="27">
        <f t="shared" si="6"/>
        <v>96.408156274433964</v>
      </c>
      <c r="AV44" s="27">
        <f t="shared" si="6"/>
        <v>103.15672721364434</v>
      </c>
      <c r="AW44" s="27">
        <f t="shared" si="6"/>
        <v>110.37769811859944</v>
      </c>
      <c r="AX44" s="27">
        <f t="shared" si="6"/>
        <v>118.10413698690142</v>
      </c>
      <c r="AY44" s="27">
        <f t="shared" si="6"/>
        <v>126.37142657598451</v>
      </c>
      <c r="AZ44" s="27">
        <f t="shared" si="6"/>
        <v>135.21742643630344</v>
      </c>
      <c r="BA44" s="27">
        <f t="shared" si="6"/>
        <v>144.68264628684466</v>
      </c>
      <c r="BB44" s="6"/>
      <c r="BC44" s="6"/>
    </row>
    <row r="45" spans="1:5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</row>
    <row r="46" spans="1:55" x14ac:dyDescent="0.2">
      <c r="A46" s="23" t="s">
        <v>47</v>
      </c>
      <c r="B46" s="23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</row>
    <row r="47" spans="1:55" x14ac:dyDescent="0.2">
      <c r="A47" s="8" t="s">
        <v>48</v>
      </c>
      <c r="B47" s="8"/>
      <c r="C47" s="6">
        <v>0</v>
      </c>
      <c r="D47" s="6">
        <f t="shared" ref="D47:AI47" si="7">C50</f>
        <v>0</v>
      </c>
      <c r="E47" s="6">
        <f t="shared" si="7"/>
        <v>1000000</v>
      </c>
      <c r="F47" s="6">
        <f t="shared" si="7"/>
        <v>5462500</v>
      </c>
      <c r="G47" s="6">
        <f t="shared" si="7"/>
        <v>4643125</v>
      </c>
      <c r="H47" s="6">
        <f t="shared" si="7"/>
        <v>3946656.25</v>
      </c>
      <c r="I47" s="6">
        <f t="shared" si="7"/>
        <v>3354657.8125</v>
      </c>
      <c r="J47" s="6">
        <f t="shared" si="7"/>
        <v>2851459.140625</v>
      </c>
      <c r="K47" s="6">
        <f t="shared" si="7"/>
        <v>2423740.26953125</v>
      </c>
      <c r="L47" s="6">
        <f t="shared" si="7"/>
        <v>2060179.2291015624</v>
      </c>
      <c r="M47" s="6">
        <f t="shared" si="7"/>
        <v>1751152.3447363281</v>
      </c>
      <c r="N47" s="6">
        <f t="shared" si="7"/>
        <v>1488479.4930258789</v>
      </c>
      <c r="O47" s="6">
        <f t="shared" si="7"/>
        <v>1265207.569071997</v>
      </c>
      <c r="P47" s="6">
        <f t="shared" si="7"/>
        <v>1075426.4337111975</v>
      </c>
      <c r="Q47" s="6">
        <f t="shared" si="7"/>
        <v>914112.46865451778</v>
      </c>
      <c r="R47" s="6">
        <f t="shared" si="7"/>
        <v>776995.59835634008</v>
      </c>
      <c r="S47" s="6">
        <f t="shared" si="7"/>
        <v>660446.25860288902</v>
      </c>
      <c r="T47" s="6">
        <f t="shared" si="7"/>
        <v>561379.31981245568</v>
      </c>
      <c r="U47" s="6">
        <f t="shared" si="7"/>
        <v>477172.42184058734</v>
      </c>
      <c r="V47" s="6">
        <f t="shared" si="7"/>
        <v>405596.55856449925</v>
      </c>
      <c r="W47" s="6">
        <f t="shared" si="7"/>
        <v>344757.07477982435</v>
      </c>
      <c r="X47" s="6">
        <f t="shared" si="7"/>
        <v>293043.51356285071</v>
      </c>
      <c r="Y47" s="6">
        <f t="shared" si="7"/>
        <v>249086.98652842309</v>
      </c>
      <c r="Z47" s="6">
        <f t="shared" si="7"/>
        <v>211723.93854915962</v>
      </c>
      <c r="AA47" s="6">
        <f t="shared" si="7"/>
        <v>179965.34776678568</v>
      </c>
      <c r="AB47" s="6">
        <f t="shared" si="7"/>
        <v>152970.54560176784</v>
      </c>
      <c r="AC47" s="6">
        <f t="shared" si="7"/>
        <v>130024.96376150266</v>
      </c>
      <c r="AD47" s="6">
        <f t="shared" si="7"/>
        <v>110521.21919727726</v>
      </c>
      <c r="AE47" s="6">
        <f t="shared" si="7"/>
        <v>93943.036317685677</v>
      </c>
      <c r="AF47" s="6">
        <f t="shared" si="7"/>
        <v>79851.58087003282</v>
      </c>
      <c r="AG47" s="6">
        <f t="shared" si="7"/>
        <v>67873.843739527903</v>
      </c>
      <c r="AH47" s="6">
        <f t="shared" si="7"/>
        <v>57692.767178598719</v>
      </c>
      <c r="AI47" s="6">
        <f t="shared" si="7"/>
        <v>49038.852101808909</v>
      </c>
      <c r="AJ47" s="6">
        <f t="shared" ref="AJ47:BA47" si="8">AI50</f>
        <v>41683.024286537569</v>
      </c>
      <c r="AK47" s="6">
        <f t="shared" si="8"/>
        <v>35430.570643556937</v>
      </c>
      <c r="AL47" s="6">
        <f t="shared" si="8"/>
        <v>30115.985047023398</v>
      </c>
      <c r="AM47" s="6">
        <f t="shared" si="8"/>
        <v>25598.587289969888</v>
      </c>
      <c r="AN47" s="6">
        <f t="shared" si="8"/>
        <v>21758.799196474407</v>
      </c>
      <c r="AO47" s="6">
        <f t="shared" si="8"/>
        <v>18494.979317003246</v>
      </c>
      <c r="AP47" s="6">
        <f t="shared" si="8"/>
        <v>15720.732419452759</v>
      </c>
      <c r="AQ47" s="6">
        <f t="shared" si="8"/>
        <v>13362.622556534845</v>
      </c>
      <c r="AR47" s="6">
        <f t="shared" si="8"/>
        <v>11358.229173054619</v>
      </c>
      <c r="AS47" s="6">
        <f t="shared" si="8"/>
        <v>9654.4947970964258</v>
      </c>
      <c r="AT47" s="6">
        <f t="shared" si="8"/>
        <v>8206.320577531962</v>
      </c>
      <c r="AU47" s="6">
        <f t="shared" si="8"/>
        <v>6975.3724909021676</v>
      </c>
      <c r="AV47" s="6">
        <f t="shared" si="8"/>
        <v>5929.0666172668425</v>
      </c>
      <c r="AW47" s="6">
        <f t="shared" si="8"/>
        <v>5039.7066246768163</v>
      </c>
      <c r="AX47" s="6">
        <f t="shared" si="8"/>
        <v>4283.7506309752935</v>
      </c>
      <c r="AY47" s="6">
        <f t="shared" si="8"/>
        <v>3641.1880363289993</v>
      </c>
      <c r="AZ47" s="6">
        <f t="shared" si="8"/>
        <v>3095.0098308796496</v>
      </c>
      <c r="BA47" s="6">
        <f t="shared" si="8"/>
        <v>2630.7583562477021</v>
      </c>
      <c r="BB47" s="6"/>
      <c r="BC47" s="6"/>
    </row>
    <row r="48" spans="1:55" x14ac:dyDescent="0.2">
      <c r="A48" s="8" t="s">
        <v>49</v>
      </c>
      <c r="B48" s="31">
        <f>SUM(C48:E48)</f>
        <v>5500000</v>
      </c>
      <c r="C48" s="6">
        <v>0</v>
      </c>
      <c r="D48" s="6">
        <v>1000000</v>
      </c>
      <c r="E48" s="6">
        <v>4500000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/>
      <c r="BC48" s="6"/>
    </row>
    <row r="49" spans="1:55" x14ac:dyDescent="0.2">
      <c r="A49" s="8" t="s">
        <v>50</v>
      </c>
      <c r="B49" s="31"/>
      <c r="C49" s="6">
        <v>0</v>
      </c>
      <c r="D49" s="6">
        <v>0</v>
      </c>
      <c r="E49" s="6">
        <f>E47*$B$37/4</f>
        <v>37500</v>
      </c>
      <c r="F49" s="6">
        <f>F47*$B$37</f>
        <v>819375</v>
      </c>
      <c r="G49" s="6">
        <f t="shared" ref="G49:V49" si="9">G47*$B$37</f>
        <v>696468.75</v>
      </c>
      <c r="H49" s="6">
        <f t="shared" si="9"/>
        <v>591998.4375</v>
      </c>
      <c r="I49" s="6">
        <f t="shared" si="9"/>
        <v>503198.671875</v>
      </c>
      <c r="J49" s="6">
        <f t="shared" si="9"/>
        <v>427718.87109375</v>
      </c>
      <c r="K49" s="6">
        <f t="shared" si="9"/>
        <v>363561.04042968748</v>
      </c>
      <c r="L49" s="6">
        <f t="shared" si="9"/>
        <v>309026.88436523435</v>
      </c>
      <c r="M49" s="6">
        <f t="shared" si="9"/>
        <v>262672.85171044921</v>
      </c>
      <c r="N49" s="6">
        <f t="shared" si="9"/>
        <v>223271.92395388184</v>
      </c>
      <c r="O49" s="6">
        <f t="shared" si="9"/>
        <v>189781.13536079953</v>
      </c>
      <c r="P49" s="6">
        <f t="shared" si="9"/>
        <v>161313.96505667962</v>
      </c>
      <c r="Q49" s="6">
        <f t="shared" si="9"/>
        <v>137116.87029817767</v>
      </c>
      <c r="R49" s="6">
        <f t="shared" si="9"/>
        <v>116549.33975345101</v>
      </c>
      <c r="S49" s="6">
        <f t="shared" si="9"/>
        <v>99066.938790433356</v>
      </c>
      <c r="T49" s="6">
        <f t="shared" si="9"/>
        <v>84206.897971868355</v>
      </c>
      <c r="U49" s="6">
        <f t="shared" si="9"/>
        <v>71575.863276088101</v>
      </c>
      <c r="V49" s="6">
        <f t="shared" si="9"/>
        <v>60839.483784674885</v>
      </c>
      <c r="W49" s="6">
        <f t="shared" ref="W49:AL49" si="10">W47*$B$37</f>
        <v>51713.561216973649</v>
      </c>
      <c r="X49" s="6">
        <f t="shared" si="10"/>
        <v>43956.527034427607</v>
      </c>
      <c r="Y49" s="6">
        <f t="shared" si="10"/>
        <v>37363.047979263465</v>
      </c>
      <c r="Z49" s="6">
        <f t="shared" si="10"/>
        <v>31758.59078237394</v>
      </c>
      <c r="AA49" s="6">
        <f t="shared" si="10"/>
        <v>26994.802165017853</v>
      </c>
      <c r="AB49" s="6">
        <f t="shared" si="10"/>
        <v>22945.581840265175</v>
      </c>
      <c r="AC49" s="6">
        <f t="shared" si="10"/>
        <v>19503.744564225399</v>
      </c>
      <c r="AD49" s="6">
        <f t="shared" si="10"/>
        <v>16578.182879591586</v>
      </c>
      <c r="AE49" s="6">
        <f t="shared" si="10"/>
        <v>14091.455447652852</v>
      </c>
      <c r="AF49" s="6">
        <f t="shared" si="10"/>
        <v>11977.737130504922</v>
      </c>
      <c r="AG49" s="6">
        <f t="shared" si="10"/>
        <v>10181.076560929185</v>
      </c>
      <c r="AH49" s="6">
        <f t="shared" si="10"/>
        <v>8653.9150767898082</v>
      </c>
      <c r="AI49" s="6">
        <f t="shared" si="10"/>
        <v>7355.8278152713365</v>
      </c>
      <c r="AJ49" s="6">
        <f t="shared" si="10"/>
        <v>6252.4536429806349</v>
      </c>
      <c r="AK49" s="6">
        <f t="shared" si="10"/>
        <v>5314.5855965335404</v>
      </c>
      <c r="AL49" s="6">
        <f t="shared" si="10"/>
        <v>4517.3977570535098</v>
      </c>
      <c r="AM49" s="6">
        <f t="shared" ref="AM49:BA49" si="11">AM47*$B$37</f>
        <v>3839.7880934954828</v>
      </c>
      <c r="AN49" s="6">
        <f t="shared" si="11"/>
        <v>3263.8198794711611</v>
      </c>
      <c r="AO49" s="6">
        <f t="shared" si="11"/>
        <v>2774.2468975504867</v>
      </c>
      <c r="AP49" s="6">
        <f t="shared" si="11"/>
        <v>2358.1098629179137</v>
      </c>
      <c r="AQ49" s="6">
        <f t="shared" si="11"/>
        <v>2004.3933834802267</v>
      </c>
      <c r="AR49" s="6">
        <f t="shared" si="11"/>
        <v>1703.7343759581927</v>
      </c>
      <c r="AS49" s="6">
        <f t="shared" si="11"/>
        <v>1448.1742195644638</v>
      </c>
      <c r="AT49" s="6">
        <f t="shared" si="11"/>
        <v>1230.9480866297943</v>
      </c>
      <c r="AU49" s="6">
        <f t="shared" si="11"/>
        <v>1046.305873635325</v>
      </c>
      <c r="AV49" s="6">
        <f t="shared" si="11"/>
        <v>889.35999259002631</v>
      </c>
      <c r="AW49" s="6">
        <f t="shared" si="11"/>
        <v>755.9559937015224</v>
      </c>
      <c r="AX49" s="6">
        <f t="shared" si="11"/>
        <v>642.56259464629397</v>
      </c>
      <c r="AY49" s="6">
        <f t="shared" si="11"/>
        <v>546.17820544934989</v>
      </c>
      <c r="AZ49" s="6">
        <f t="shared" si="11"/>
        <v>464.25147463194742</v>
      </c>
      <c r="BA49" s="6">
        <f t="shared" si="11"/>
        <v>394.61375343715531</v>
      </c>
      <c r="BB49" s="6"/>
      <c r="BC49" s="6"/>
    </row>
    <row r="50" spans="1:55" x14ac:dyDescent="0.2">
      <c r="A50" s="8" t="s">
        <v>51</v>
      </c>
      <c r="B50" s="31"/>
      <c r="C50" s="6">
        <f t="shared" ref="C50:R50" si="12">C47+C48-C49</f>
        <v>0</v>
      </c>
      <c r="D50" s="6">
        <f t="shared" si="12"/>
        <v>1000000</v>
      </c>
      <c r="E50" s="6">
        <f t="shared" si="12"/>
        <v>5462500</v>
      </c>
      <c r="F50" s="6">
        <f t="shared" si="12"/>
        <v>4643125</v>
      </c>
      <c r="G50" s="6">
        <f t="shared" si="12"/>
        <v>3946656.25</v>
      </c>
      <c r="H50" s="6">
        <f t="shared" si="12"/>
        <v>3354657.8125</v>
      </c>
      <c r="I50" s="6">
        <f t="shared" si="12"/>
        <v>2851459.140625</v>
      </c>
      <c r="J50" s="6">
        <f t="shared" si="12"/>
        <v>2423740.26953125</v>
      </c>
      <c r="K50" s="6">
        <f t="shared" si="12"/>
        <v>2060179.2291015624</v>
      </c>
      <c r="L50" s="6">
        <f t="shared" si="12"/>
        <v>1751152.3447363281</v>
      </c>
      <c r="M50" s="6">
        <f t="shared" si="12"/>
        <v>1488479.4930258789</v>
      </c>
      <c r="N50" s="6">
        <f t="shared" si="12"/>
        <v>1265207.569071997</v>
      </c>
      <c r="O50" s="6">
        <f t="shared" si="12"/>
        <v>1075426.4337111975</v>
      </c>
      <c r="P50" s="6">
        <f t="shared" si="12"/>
        <v>914112.46865451778</v>
      </c>
      <c r="Q50" s="6">
        <f t="shared" si="12"/>
        <v>776995.59835634008</v>
      </c>
      <c r="R50" s="6">
        <f t="shared" si="12"/>
        <v>660446.25860288902</v>
      </c>
      <c r="S50" s="6">
        <f t="shared" ref="S50:AH50" si="13">S47+S48-S49</f>
        <v>561379.31981245568</v>
      </c>
      <c r="T50" s="6">
        <f t="shared" si="13"/>
        <v>477172.42184058734</v>
      </c>
      <c r="U50" s="6">
        <f t="shared" si="13"/>
        <v>405596.55856449925</v>
      </c>
      <c r="V50" s="6">
        <f t="shared" si="13"/>
        <v>344757.07477982435</v>
      </c>
      <c r="W50" s="6">
        <f t="shared" si="13"/>
        <v>293043.51356285071</v>
      </c>
      <c r="X50" s="6">
        <f t="shared" si="13"/>
        <v>249086.98652842309</v>
      </c>
      <c r="Y50" s="6">
        <f t="shared" si="13"/>
        <v>211723.93854915962</v>
      </c>
      <c r="Z50" s="6">
        <f t="shared" si="13"/>
        <v>179965.34776678568</v>
      </c>
      <c r="AA50" s="6">
        <f t="shared" si="13"/>
        <v>152970.54560176784</v>
      </c>
      <c r="AB50" s="6">
        <f t="shared" si="13"/>
        <v>130024.96376150266</v>
      </c>
      <c r="AC50" s="6">
        <f t="shared" si="13"/>
        <v>110521.21919727726</v>
      </c>
      <c r="AD50" s="6">
        <f t="shared" si="13"/>
        <v>93943.036317685677</v>
      </c>
      <c r="AE50" s="6">
        <f t="shared" si="13"/>
        <v>79851.58087003282</v>
      </c>
      <c r="AF50" s="6">
        <f t="shared" si="13"/>
        <v>67873.843739527903</v>
      </c>
      <c r="AG50" s="6">
        <f t="shared" si="13"/>
        <v>57692.767178598719</v>
      </c>
      <c r="AH50" s="6">
        <f t="shared" si="13"/>
        <v>49038.852101808909</v>
      </c>
      <c r="AI50" s="6">
        <f t="shared" ref="AI50:AX50" si="14">AI47+AI48-AI49</f>
        <v>41683.024286537569</v>
      </c>
      <c r="AJ50" s="6">
        <f t="shared" si="14"/>
        <v>35430.570643556937</v>
      </c>
      <c r="AK50" s="6">
        <f t="shared" si="14"/>
        <v>30115.985047023398</v>
      </c>
      <c r="AL50" s="6">
        <f t="shared" si="14"/>
        <v>25598.587289969888</v>
      </c>
      <c r="AM50" s="6">
        <f t="shared" si="14"/>
        <v>21758.799196474407</v>
      </c>
      <c r="AN50" s="6">
        <f t="shared" si="14"/>
        <v>18494.979317003246</v>
      </c>
      <c r="AO50" s="6">
        <f t="shared" si="14"/>
        <v>15720.732419452759</v>
      </c>
      <c r="AP50" s="6">
        <f t="shared" si="14"/>
        <v>13362.622556534845</v>
      </c>
      <c r="AQ50" s="6">
        <f t="shared" si="14"/>
        <v>11358.229173054619</v>
      </c>
      <c r="AR50" s="6">
        <f t="shared" si="14"/>
        <v>9654.4947970964258</v>
      </c>
      <c r="AS50" s="6">
        <f t="shared" si="14"/>
        <v>8206.320577531962</v>
      </c>
      <c r="AT50" s="6">
        <f t="shared" si="14"/>
        <v>6975.3724909021676</v>
      </c>
      <c r="AU50" s="6">
        <f t="shared" si="14"/>
        <v>5929.0666172668425</v>
      </c>
      <c r="AV50" s="6">
        <f t="shared" si="14"/>
        <v>5039.7066246768163</v>
      </c>
      <c r="AW50" s="6">
        <f t="shared" si="14"/>
        <v>4283.7506309752935</v>
      </c>
      <c r="AX50" s="6">
        <f t="shared" si="14"/>
        <v>3641.1880363289993</v>
      </c>
      <c r="AY50" s="6">
        <f>AY47+AY48-AY49</f>
        <v>3095.0098308796496</v>
      </c>
      <c r="AZ50" s="6">
        <f>AZ47+AZ48-AZ49</f>
        <v>2630.7583562477021</v>
      </c>
      <c r="BA50" s="6">
        <f>BA47+BA48-BA49</f>
        <v>2236.1446028105465</v>
      </c>
      <c r="BB50" s="6"/>
      <c r="BC50" s="6"/>
    </row>
    <row r="51" spans="1:55" x14ac:dyDescent="0.2">
      <c r="A51" s="6"/>
      <c r="B51" s="31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</row>
    <row r="52" spans="1:55" x14ac:dyDescent="0.2">
      <c r="A52" s="23" t="s">
        <v>52</v>
      </c>
      <c r="B52" s="32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</row>
    <row r="53" spans="1:55" x14ac:dyDescent="0.2">
      <c r="A53" s="8" t="s">
        <v>48</v>
      </c>
      <c r="B53" s="31"/>
      <c r="C53" s="6">
        <v>0</v>
      </c>
      <c r="D53" s="6">
        <f t="shared" ref="D53:AI53" si="15">C56</f>
        <v>0</v>
      </c>
      <c r="E53" s="6">
        <f t="shared" si="15"/>
        <v>1000000</v>
      </c>
      <c r="F53" s="6">
        <f t="shared" si="15"/>
        <v>4267750</v>
      </c>
      <c r="G53" s="6">
        <f t="shared" si="15"/>
        <v>4138750</v>
      </c>
      <c r="H53" s="6">
        <f t="shared" si="15"/>
        <v>4009750</v>
      </c>
      <c r="I53" s="6">
        <f t="shared" si="15"/>
        <v>3880750</v>
      </c>
      <c r="J53" s="6">
        <f t="shared" si="15"/>
        <v>3751750</v>
      </c>
      <c r="K53" s="6">
        <f t="shared" si="15"/>
        <v>3622750</v>
      </c>
      <c r="L53" s="6">
        <f t="shared" si="15"/>
        <v>3493750</v>
      </c>
      <c r="M53" s="6">
        <f t="shared" si="15"/>
        <v>3364750</v>
      </c>
      <c r="N53" s="6">
        <f t="shared" si="15"/>
        <v>3235750</v>
      </c>
      <c r="O53" s="6">
        <f t="shared" si="15"/>
        <v>3106750</v>
      </c>
      <c r="P53" s="6">
        <f t="shared" si="15"/>
        <v>2977750</v>
      </c>
      <c r="Q53" s="6">
        <f t="shared" si="15"/>
        <v>2848750</v>
      </c>
      <c r="R53" s="6">
        <f t="shared" si="15"/>
        <v>2719750</v>
      </c>
      <c r="S53" s="6">
        <f t="shared" si="15"/>
        <v>2590750</v>
      </c>
      <c r="T53" s="6">
        <f t="shared" si="15"/>
        <v>2461750</v>
      </c>
      <c r="U53" s="6">
        <f t="shared" si="15"/>
        <v>2332750</v>
      </c>
      <c r="V53" s="6">
        <f t="shared" si="15"/>
        <v>2203750</v>
      </c>
      <c r="W53" s="6">
        <f t="shared" si="15"/>
        <v>2074750</v>
      </c>
      <c r="X53" s="6">
        <f t="shared" si="15"/>
        <v>1945750</v>
      </c>
      <c r="Y53" s="6">
        <f t="shared" si="15"/>
        <v>1816750</v>
      </c>
      <c r="Z53" s="6">
        <f t="shared" si="15"/>
        <v>1687750</v>
      </c>
      <c r="AA53" s="6">
        <f t="shared" si="15"/>
        <v>1558750</v>
      </c>
      <c r="AB53" s="6">
        <f t="shared" si="15"/>
        <v>1429750</v>
      </c>
      <c r="AC53" s="6">
        <f t="shared" si="15"/>
        <v>1300750</v>
      </c>
      <c r="AD53" s="6">
        <f t="shared" si="15"/>
        <v>1171750</v>
      </c>
      <c r="AE53" s="6">
        <f t="shared" si="15"/>
        <v>1042750</v>
      </c>
      <c r="AF53" s="6">
        <f t="shared" si="15"/>
        <v>913750</v>
      </c>
      <c r="AG53" s="6">
        <f t="shared" si="15"/>
        <v>784750</v>
      </c>
      <c r="AH53" s="6">
        <f t="shared" si="15"/>
        <v>655750</v>
      </c>
      <c r="AI53" s="6">
        <f t="shared" si="15"/>
        <v>526750</v>
      </c>
      <c r="AJ53" s="6">
        <f t="shared" ref="AJ53:BA53" si="16">AI56</f>
        <v>397750</v>
      </c>
      <c r="AK53" s="6">
        <f t="shared" si="16"/>
        <v>268750</v>
      </c>
      <c r="AL53" s="6">
        <f t="shared" si="16"/>
        <v>139750</v>
      </c>
      <c r="AM53" s="6">
        <f t="shared" si="16"/>
        <v>10750</v>
      </c>
      <c r="AN53" s="6">
        <f t="shared" si="16"/>
        <v>0</v>
      </c>
      <c r="AO53" s="6">
        <f t="shared" si="16"/>
        <v>0</v>
      </c>
      <c r="AP53" s="6">
        <f t="shared" si="16"/>
        <v>0</v>
      </c>
      <c r="AQ53" s="6">
        <f t="shared" si="16"/>
        <v>0</v>
      </c>
      <c r="AR53" s="6">
        <f t="shared" si="16"/>
        <v>0</v>
      </c>
      <c r="AS53" s="6">
        <f t="shared" si="16"/>
        <v>0</v>
      </c>
      <c r="AT53" s="6">
        <f t="shared" si="16"/>
        <v>0</v>
      </c>
      <c r="AU53" s="6">
        <f t="shared" si="16"/>
        <v>0</v>
      </c>
      <c r="AV53" s="6">
        <f t="shared" si="16"/>
        <v>0</v>
      </c>
      <c r="AW53" s="6">
        <f t="shared" si="16"/>
        <v>0</v>
      </c>
      <c r="AX53" s="6">
        <f t="shared" si="16"/>
        <v>0</v>
      </c>
      <c r="AY53" s="6">
        <f t="shared" si="16"/>
        <v>0</v>
      </c>
      <c r="AZ53" s="6">
        <f t="shared" si="16"/>
        <v>0</v>
      </c>
      <c r="BA53" s="6">
        <f t="shared" si="16"/>
        <v>0</v>
      </c>
      <c r="BB53" s="6"/>
      <c r="BC53" s="6"/>
    </row>
    <row r="54" spans="1:55" x14ac:dyDescent="0.2">
      <c r="A54" s="8" t="s">
        <v>49</v>
      </c>
      <c r="B54" s="31">
        <f>SUM(C54:E54)</f>
        <v>4300000</v>
      </c>
      <c r="C54" s="6">
        <v>0</v>
      </c>
      <c r="D54" s="6">
        <v>1000000</v>
      </c>
      <c r="E54" s="6">
        <v>3300000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/>
      <c r="BC54" s="6"/>
    </row>
    <row r="55" spans="1:55" x14ac:dyDescent="0.2">
      <c r="A55" s="8" t="s">
        <v>50</v>
      </c>
      <c r="B55" s="31"/>
      <c r="C55" s="6">
        <v>0</v>
      </c>
      <c r="D55" s="6">
        <v>0</v>
      </c>
      <c r="E55" s="6">
        <f>($E$53+$E$54)*$B$35/4</f>
        <v>32250</v>
      </c>
      <c r="F55" s="6">
        <f>IF((($E$53+$E$54)*$B$35)&lt;F53,(($E$53+$E$54)*$B$35),F53)</f>
        <v>129000</v>
      </c>
      <c r="G55" s="6">
        <f t="shared" ref="G55:V55" si="17">IF((($E$53+$E$54)*$B$35)&lt;G53,(($E$53+$E$54)*$B$35),G53)</f>
        <v>129000</v>
      </c>
      <c r="H55" s="6">
        <f t="shared" si="17"/>
        <v>129000</v>
      </c>
      <c r="I55" s="6">
        <f t="shared" si="17"/>
        <v>129000</v>
      </c>
      <c r="J55" s="6">
        <f t="shared" si="17"/>
        <v>129000</v>
      </c>
      <c r="K55" s="6">
        <f t="shared" si="17"/>
        <v>129000</v>
      </c>
      <c r="L55" s="6">
        <f t="shared" si="17"/>
        <v>129000</v>
      </c>
      <c r="M55" s="6">
        <f t="shared" si="17"/>
        <v>129000</v>
      </c>
      <c r="N55" s="6">
        <f t="shared" si="17"/>
        <v>129000</v>
      </c>
      <c r="O55" s="6">
        <f t="shared" si="17"/>
        <v>129000</v>
      </c>
      <c r="P55" s="6">
        <f t="shared" si="17"/>
        <v>129000</v>
      </c>
      <c r="Q55" s="6">
        <f t="shared" si="17"/>
        <v>129000</v>
      </c>
      <c r="R55" s="6">
        <f t="shared" si="17"/>
        <v>129000</v>
      </c>
      <c r="S55" s="6">
        <f t="shared" si="17"/>
        <v>129000</v>
      </c>
      <c r="T55" s="6">
        <f t="shared" si="17"/>
        <v>129000</v>
      </c>
      <c r="U55" s="6">
        <f t="shared" si="17"/>
        <v>129000</v>
      </c>
      <c r="V55" s="6">
        <f t="shared" si="17"/>
        <v>129000</v>
      </c>
      <c r="W55" s="6">
        <f t="shared" ref="W55:AL55" si="18">IF((($E$53+$E$54)*$B$35)&lt;W53,(($E$53+$E$54)*$B$35),W53)</f>
        <v>129000</v>
      </c>
      <c r="X55" s="6">
        <f t="shared" si="18"/>
        <v>129000</v>
      </c>
      <c r="Y55" s="6">
        <f t="shared" si="18"/>
        <v>129000</v>
      </c>
      <c r="Z55" s="6">
        <f t="shared" si="18"/>
        <v>129000</v>
      </c>
      <c r="AA55" s="6">
        <f t="shared" si="18"/>
        <v>129000</v>
      </c>
      <c r="AB55" s="6">
        <f t="shared" si="18"/>
        <v>129000</v>
      </c>
      <c r="AC55" s="6">
        <f t="shared" si="18"/>
        <v>129000</v>
      </c>
      <c r="AD55" s="6">
        <f t="shared" si="18"/>
        <v>129000</v>
      </c>
      <c r="AE55" s="6">
        <f t="shared" si="18"/>
        <v>129000</v>
      </c>
      <c r="AF55" s="6">
        <f t="shared" si="18"/>
        <v>129000</v>
      </c>
      <c r="AG55" s="6">
        <f t="shared" si="18"/>
        <v>129000</v>
      </c>
      <c r="AH55" s="6">
        <f t="shared" si="18"/>
        <v>129000</v>
      </c>
      <c r="AI55" s="6">
        <f t="shared" si="18"/>
        <v>129000</v>
      </c>
      <c r="AJ55" s="6">
        <f t="shared" si="18"/>
        <v>129000</v>
      </c>
      <c r="AK55" s="6">
        <f t="shared" si="18"/>
        <v>129000</v>
      </c>
      <c r="AL55" s="6">
        <f t="shared" si="18"/>
        <v>129000</v>
      </c>
      <c r="AM55" s="6">
        <f t="shared" ref="AM55:BA55" si="19">IF((($E$53+$E$54)*$B$35)&lt;AM53,(($E$53+$E$54)*$B$35),AM53)</f>
        <v>10750</v>
      </c>
      <c r="AN55" s="6">
        <f t="shared" si="19"/>
        <v>0</v>
      </c>
      <c r="AO55" s="6">
        <f t="shared" si="19"/>
        <v>0</v>
      </c>
      <c r="AP55" s="6">
        <f t="shared" si="19"/>
        <v>0</v>
      </c>
      <c r="AQ55" s="6">
        <f t="shared" si="19"/>
        <v>0</v>
      </c>
      <c r="AR55" s="6">
        <f t="shared" si="19"/>
        <v>0</v>
      </c>
      <c r="AS55" s="6">
        <f t="shared" si="19"/>
        <v>0</v>
      </c>
      <c r="AT55" s="6">
        <f t="shared" si="19"/>
        <v>0</v>
      </c>
      <c r="AU55" s="6">
        <f t="shared" si="19"/>
        <v>0</v>
      </c>
      <c r="AV55" s="6">
        <f t="shared" si="19"/>
        <v>0</v>
      </c>
      <c r="AW55" s="6">
        <f t="shared" si="19"/>
        <v>0</v>
      </c>
      <c r="AX55" s="6">
        <f t="shared" si="19"/>
        <v>0</v>
      </c>
      <c r="AY55" s="6">
        <f t="shared" si="19"/>
        <v>0</v>
      </c>
      <c r="AZ55" s="6">
        <f t="shared" si="19"/>
        <v>0</v>
      </c>
      <c r="BA55" s="6">
        <f t="shared" si="19"/>
        <v>0</v>
      </c>
      <c r="BB55" s="6"/>
      <c r="BC55" s="6"/>
    </row>
    <row r="56" spans="1:55" x14ac:dyDescent="0.2">
      <c r="A56" s="8" t="s">
        <v>51</v>
      </c>
      <c r="B56" s="31"/>
      <c r="C56" s="6">
        <f t="shared" ref="C56:R56" si="20">C53+C54-C55</f>
        <v>0</v>
      </c>
      <c r="D56" s="6">
        <f t="shared" si="20"/>
        <v>1000000</v>
      </c>
      <c r="E56" s="6">
        <f t="shared" si="20"/>
        <v>4267750</v>
      </c>
      <c r="F56" s="6">
        <f t="shared" si="20"/>
        <v>4138750</v>
      </c>
      <c r="G56" s="6">
        <f t="shared" si="20"/>
        <v>4009750</v>
      </c>
      <c r="H56" s="6">
        <f t="shared" si="20"/>
        <v>3880750</v>
      </c>
      <c r="I56" s="6">
        <f t="shared" si="20"/>
        <v>3751750</v>
      </c>
      <c r="J56" s="6">
        <f t="shared" si="20"/>
        <v>3622750</v>
      </c>
      <c r="K56" s="6">
        <f t="shared" si="20"/>
        <v>3493750</v>
      </c>
      <c r="L56" s="6">
        <f t="shared" si="20"/>
        <v>3364750</v>
      </c>
      <c r="M56" s="6">
        <f t="shared" si="20"/>
        <v>3235750</v>
      </c>
      <c r="N56" s="6">
        <f t="shared" si="20"/>
        <v>3106750</v>
      </c>
      <c r="O56" s="6">
        <f t="shared" si="20"/>
        <v>2977750</v>
      </c>
      <c r="P56" s="6">
        <f t="shared" si="20"/>
        <v>2848750</v>
      </c>
      <c r="Q56" s="6">
        <f t="shared" si="20"/>
        <v>2719750</v>
      </c>
      <c r="R56" s="6">
        <f t="shared" si="20"/>
        <v>2590750</v>
      </c>
      <c r="S56" s="6">
        <f t="shared" ref="S56:AH56" si="21">S53+S54-S55</f>
        <v>2461750</v>
      </c>
      <c r="T56" s="6">
        <f t="shared" si="21"/>
        <v>2332750</v>
      </c>
      <c r="U56" s="6">
        <f t="shared" si="21"/>
        <v>2203750</v>
      </c>
      <c r="V56" s="6">
        <f t="shared" si="21"/>
        <v>2074750</v>
      </c>
      <c r="W56" s="6">
        <f t="shared" si="21"/>
        <v>1945750</v>
      </c>
      <c r="X56" s="6">
        <f t="shared" si="21"/>
        <v>1816750</v>
      </c>
      <c r="Y56" s="6">
        <f t="shared" si="21"/>
        <v>1687750</v>
      </c>
      <c r="Z56" s="6">
        <f t="shared" si="21"/>
        <v>1558750</v>
      </c>
      <c r="AA56" s="6">
        <f t="shared" si="21"/>
        <v>1429750</v>
      </c>
      <c r="AB56" s="6">
        <f t="shared" si="21"/>
        <v>1300750</v>
      </c>
      <c r="AC56" s="6">
        <f t="shared" si="21"/>
        <v>1171750</v>
      </c>
      <c r="AD56" s="6">
        <f t="shared" si="21"/>
        <v>1042750</v>
      </c>
      <c r="AE56" s="6">
        <f t="shared" si="21"/>
        <v>913750</v>
      </c>
      <c r="AF56" s="6">
        <f t="shared" si="21"/>
        <v>784750</v>
      </c>
      <c r="AG56" s="6">
        <f t="shared" si="21"/>
        <v>655750</v>
      </c>
      <c r="AH56" s="6">
        <f t="shared" si="21"/>
        <v>526750</v>
      </c>
      <c r="AI56" s="6">
        <f t="shared" ref="AI56:AX56" si="22">AI53+AI54-AI55</f>
        <v>397750</v>
      </c>
      <c r="AJ56" s="6">
        <f t="shared" si="22"/>
        <v>268750</v>
      </c>
      <c r="AK56" s="6">
        <f t="shared" si="22"/>
        <v>139750</v>
      </c>
      <c r="AL56" s="6">
        <f t="shared" si="22"/>
        <v>10750</v>
      </c>
      <c r="AM56" s="6">
        <f t="shared" si="22"/>
        <v>0</v>
      </c>
      <c r="AN56" s="6">
        <f t="shared" si="22"/>
        <v>0</v>
      </c>
      <c r="AO56" s="6">
        <f t="shared" si="22"/>
        <v>0</v>
      </c>
      <c r="AP56" s="6">
        <f t="shared" si="22"/>
        <v>0</v>
      </c>
      <c r="AQ56" s="6">
        <f t="shared" si="22"/>
        <v>0</v>
      </c>
      <c r="AR56" s="6">
        <f t="shared" si="22"/>
        <v>0</v>
      </c>
      <c r="AS56" s="6">
        <f t="shared" si="22"/>
        <v>0</v>
      </c>
      <c r="AT56" s="6">
        <f t="shared" si="22"/>
        <v>0</v>
      </c>
      <c r="AU56" s="6">
        <f t="shared" si="22"/>
        <v>0</v>
      </c>
      <c r="AV56" s="6">
        <f t="shared" si="22"/>
        <v>0</v>
      </c>
      <c r="AW56" s="6">
        <f t="shared" si="22"/>
        <v>0</v>
      </c>
      <c r="AX56" s="6">
        <f t="shared" si="22"/>
        <v>0</v>
      </c>
      <c r="AY56" s="6">
        <f>AY53+AY54-AY55</f>
        <v>0</v>
      </c>
      <c r="AZ56" s="6">
        <f>AZ53+AZ54-AZ55</f>
        <v>0</v>
      </c>
      <c r="BA56" s="6">
        <f>BA53+BA54-BA55</f>
        <v>0</v>
      </c>
      <c r="BB56" s="6"/>
      <c r="BC56" s="6"/>
    </row>
    <row r="57" spans="1:55" x14ac:dyDescent="0.2">
      <c r="A57" s="6"/>
      <c r="B57" s="31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</row>
    <row r="58" spans="1:55" x14ac:dyDescent="0.2">
      <c r="A58" s="23" t="s">
        <v>53</v>
      </c>
      <c r="B58" s="32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</row>
    <row r="59" spans="1:55" x14ac:dyDescent="0.2">
      <c r="A59" s="8" t="s">
        <v>48</v>
      </c>
      <c r="B59" s="31"/>
      <c r="C59" s="6">
        <v>0</v>
      </c>
      <c r="D59" s="6">
        <f t="shared" ref="D59:AI59" si="23">C62</f>
        <v>0</v>
      </c>
      <c r="E59" s="6">
        <f t="shared" si="23"/>
        <v>8450000</v>
      </c>
      <c r="F59" s="6">
        <f t="shared" si="23"/>
        <v>18936625</v>
      </c>
      <c r="G59" s="6">
        <f t="shared" si="23"/>
        <v>18366625</v>
      </c>
      <c r="H59" s="6">
        <f t="shared" si="23"/>
        <v>17796625</v>
      </c>
      <c r="I59" s="6">
        <f t="shared" si="23"/>
        <v>17226625</v>
      </c>
      <c r="J59" s="6">
        <f t="shared" si="23"/>
        <v>16656625</v>
      </c>
      <c r="K59" s="6">
        <f t="shared" si="23"/>
        <v>16086625</v>
      </c>
      <c r="L59" s="6">
        <f t="shared" si="23"/>
        <v>15516625</v>
      </c>
      <c r="M59" s="6">
        <f t="shared" si="23"/>
        <v>14946625</v>
      </c>
      <c r="N59" s="6">
        <f t="shared" si="23"/>
        <v>14376625</v>
      </c>
      <c r="O59" s="6">
        <f t="shared" si="23"/>
        <v>13806625</v>
      </c>
      <c r="P59" s="6">
        <f t="shared" si="23"/>
        <v>13236625</v>
      </c>
      <c r="Q59" s="6">
        <f t="shared" si="23"/>
        <v>12666625</v>
      </c>
      <c r="R59" s="6">
        <f t="shared" si="23"/>
        <v>12096625</v>
      </c>
      <c r="S59" s="6">
        <f t="shared" si="23"/>
        <v>11526625</v>
      </c>
      <c r="T59" s="6">
        <f t="shared" si="23"/>
        <v>10956625</v>
      </c>
      <c r="U59" s="6">
        <f t="shared" si="23"/>
        <v>10386625</v>
      </c>
      <c r="V59" s="6">
        <f t="shared" si="23"/>
        <v>9816625</v>
      </c>
      <c r="W59" s="6">
        <f t="shared" si="23"/>
        <v>9246625</v>
      </c>
      <c r="X59" s="6">
        <f t="shared" si="23"/>
        <v>8676625</v>
      </c>
      <c r="Y59" s="6">
        <f t="shared" si="23"/>
        <v>8106625</v>
      </c>
      <c r="Z59" s="6">
        <f t="shared" si="23"/>
        <v>7536625</v>
      </c>
      <c r="AA59" s="6">
        <f t="shared" si="23"/>
        <v>6966625</v>
      </c>
      <c r="AB59" s="6">
        <f t="shared" si="23"/>
        <v>6396625</v>
      </c>
      <c r="AC59" s="6">
        <f t="shared" si="23"/>
        <v>5826625</v>
      </c>
      <c r="AD59" s="6">
        <f t="shared" si="23"/>
        <v>5256625</v>
      </c>
      <c r="AE59" s="6">
        <f t="shared" si="23"/>
        <v>4686625</v>
      </c>
      <c r="AF59" s="6">
        <f t="shared" si="23"/>
        <v>4116625</v>
      </c>
      <c r="AG59" s="6">
        <f t="shared" si="23"/>
        <v>3546625</v>
      </c>
      <c r="AH59" s="6">
        <f t="shared" si="23"/>
        <v>2976625</v>
      </c>
      <c r="AI59" s="6">
        <f t="shared" si="23"/>
        <v>2406625</v>
      </c>
      <c r="AJ59" s="6">
        <f t="shared" ref="AJ59:BA59" si="24">AI62</f>
        <v>1836625</v>
      </c>
      <c r="AK59" s="6">
        <f t="shared" si="24"/>
        <v>1266625</v>
      </c>
      <c r="AL59" s="6">
        <f t="shared" si="24"/>
        <v>696625</v>
      </c>
      <c r="AM59" s="6">
        <f t="shared" si="24"/>
        <v>126625</v>
      </c>
      <c r="AN59" s="6">
        <f t="shared" si="24"/>
        <v>0</v>
      </c>
      <c r="AO59" s="6">
        <f t="shared" si="24"/>
        <v>0</v>
      </c>
      <c r="AP59" s="6">
        <f t="shared" si="24"/>
        <v>0</v>
      </c>
      <c r="AQ59" s="6">
        <f t="shared" si="24"/>
        <v>0</v>
      </c>
      <c r="AR59" s="6">
        <f t="shared" si="24"/>
        <v>0</v>
      </c>
      <c r="AS59" s="6">
        <f t="shared" si="24"/>
        <v>0</v>
      </c>
      <c r="AT59" s="6">
        <f t="shared" si="24"/>
        <v>0</v>
      </c>
      <c r="AU59" s="6">
        <f t="shared" si="24"/>
        <v>0</v>
      </c>
      <c r="AV59" s="6">
        <f t="shared" si="24"/>
        <v>0</v>
      </c>
      <c r="AW59" s="6">
        <f t="shared" si="24"/>
        <v>0</v>
      </c>
      <c r="AX59" s="6">
        <f t="shared" si="24"/>
        <v>0</v>
      </c>
      <c r="AY59" s="6">
        <f t="shared" si="24"/>
        <v>0</v>
      </c>
      <c r="AZ59" s="6">
        <f t="shared" si="24"/>
        <v>0</v>
      </c>
      <c r="BA59" s="6">
        <f t="shared" si="24"/>
        <v>0</v>
      </c>
      <c r="BB59" s="6"/>
      <c r="BC59" s="6"/>
    </row>
    <row r="60" spans="1:55" x14ac:dyDescent="0.2">
      <c r="A60" s="8" t="s">
        <v>49</v>
      </c>
      <c r="B60" s="31">
        <f>SUM(C60:E60)</f>
        <v>19000000</v>
      </c>
      <c r="C60" s="6">
        <v>0</v>
      </c>
      <c r="D60" s="6">
        <v>8450000</v>
      </c>
      <c r="E60" s="6">
        <v>10550000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/>
      <c r="BC60" s="6"/>
    </row>
    <row r="61" spans="1:55" x14ac:dyDescent="0.2">
      <c r="A61" s="8" t="s">
        <v>50</v>
      </c>
      <c r="B61" s="31"/>
      <c r="C61" s="6">
        <v>0</v>
      </c>
      <c r="D61" s="6">
        <v>0</v>
      </c>
      <c r="E61" s="6">
        <f>($D$60+$D$59)*$B$35/4</f>
        <v>63375</v>
      </c>
      <c r="F61" s="6">
        <f>IF((($E$60+$E$59)*$B$35)&lt;F59,(($E$60+$E$59)*$B$35),F59)</f>
        <v>570000</v>
      </c>
      <c r="G61" s="6">
        <f t="shared" ref="G61:V61" si="25">IF((($E$60+$E$59)*$B$35)&lt;G59,(($E$60+$E$59)*$B$35),G59)</f>
        <v>570000</v>
      </c>
      <c r="H61" s="6">
        <f t="shared" si="25"/>
        <v>570000</v>
      </c>
      <c r="I61" s="6">
        <f t="shared" si="25"/>
        <v>570000</v>
      </c>
      <c r="J61" s="6">
        <f t="shared" si="25"/>
        <v>570000</v>
      </c>
      <c r="K61" s="6">
        <f t="shared" si="25"/>
        <v>570000</v>
      </c>
      <c r="L61" s="6">
        <f t="shared" si="25"/>
        <v>570000</v>
      </c>
      <c r="M61" s="6">
        <f t="shared" si="25"/>
        <v>570000</v>
      </c>
      <c r="N61" s="6">
        <f t="shared" si="25"/>
        <v>570000</v>
      </c>
      <c r="O61" s="6">
        <f t="shared" si="25"/>
        <v>570000</v>
      </c>
      <c r="P61" s="6">
        <f t="shared" si="25"/>
        <v>570000</v>
      </c>
      <c r="Q61" s="6">
        <f t="shared" si="25"/>
        <v>570000</v>
      </c>
      <c r="R61" s="6">
        <f t="shared" si="25"/>
        <v>570000</v>
      </c>
      <c r="S61" s="6">
        <f t="shared" si="25"/>
        <v>570000</v>
      </c>
      <c r="T61" s="6">
        <f t="shared" si="25"/>
        <v>570000</v>
      </c>
      <c r="U61" s="6">
        <f t="shared" si="25"/>
        <v>570000</v>
      </c>
      <c r="V61" s="6">
        <f t="shared" si="25"/>
        <v>570000</v>
      </c>
      <c r="W61" s="6">
        <f t="shared" ref="W61:AL61" si="26">IF((($E$60+$E$59)*$B$35)&lt;W59,(($E$60+$E$59)*$B$35),W59)</f>
        <v>570000</v>
      </c>
      <c r="X61" s="6">
        <f t="shared" si="26"/>
        <v>570000</v>
      </c>
      <c r="Y61" s="6">
        <f t="shared" si="26"/>
        <v>570000</v>
      </c>
      <c r="Z61" s="6">
        <f t="shared" si="26"/>
        <v>570000</v>
      </c>
      <c r="AA61" s="6">
        <f t="shared" si="26"/>
        <v>570000</v>
      </c>
      <c r="AB61" s="6">
        <f t="shared" si="26"/>
        <v>570000</v>
      </c>
      <c r="AC61" s="6">
        <f t="shared" si="26"/>
        <v>570000</v>
      </c>
      <c r="AD61" s="6">
        <f t="shared" si="26"/>
        <v>570000</v>
      </c>
      <c r="AE61" s="6">
        <f t="shared" si="26"/>
        <v>570000</v>
      </c>
      <c r="AF61" s="6">
        <f t="shared" si="26"/>
        <v>570000</v>
      </c>
      <c r="AG61" s="6">
        <f t="shared" si="26"/>
        <v>570000</v>
      </c>
      <c r="AH61" s="6">
        <f t="shared" si="26"/>
        <v>570000</v>
      </c>
      <c r="AI61" s="6">
        <f t="shared" si="26"/>
        <v>570000</v>
      </c>
      <c r="AJ61" s="6">
        <f t="shared" si="26"/>
        <v>570000</v>
      </c>
      <c r="AK61" s="6">
        <f t="shared" si="26"/>
        <v>570000</v>
      </c>
      <c r="AL61" s="6">
        <f t="shared" si="26"/>
        <v>570000</v>
      </c>
      <c r="AM61" s="6">
        <f t="shared" ref="AM61:BA61" si="27">IF((($E$60+$E$59)*$B$35)&lt;AM59,(($E$60+$E$59)*$B$35),AM59)</f>
        <v>126625</v>
      </c>
      <c r="AN61" s="6">
        <f t="shared" si="27"/>
        <v>0</v>
      </c>
      <c r="AO61" s="6">
        <f t="shared" si="27"/>
        <v>0</v>
      </c>
      <c r="AP61" s="6">
        <f t="shared" si="27"/>
        <v>0</v>
      </c>
      <c r="AQ61" s="6">
        <f t="shared" si="27"/>
        <v>0</v>
      </c>
      <c r="AR61" s="6">
        <f t="shared" si="27"/>
        <v>0</v>
      </c>
      <c r="AS61" s="6">
        <f t="shared" si="27"/>
        <v>0</v>
      </c>
      <c r="AT61" s="6">
        <f t="shared" si="27"/>
        <v>0</v>
      </c>
      <c r="AU61" s="6">
        <f t="shared" si="27"/>
        <v>0</v>
      </c>
      <c r="AV61" s="6">
        <f t="shared" si="27"/>
        <v>0</v>
      </c>
      <c r="AW61" s="6">
        <f t="shared" si="27"/>
        <v>0</v>
      </c>
      <c r="AX61" s="6">
        <f t="shared" si="27"/>
        <v>0</v>
      </c>
      <c r="AY61" s="6">
        <f t="shared" si="27"/>
        <v>0</v>
      </c>
      <c r="AZ61" s="6">
        <f t="shared" si="27"/>
        <v>0</v>
      </c>
      <c r="BA61" s="6">
        <f t="shared" si="27"/>
        <v>0</v>
      </c>
      <c r="BB61" s="6"/>
      <c r="BC61" s="6"/>
    </row>
    <row r="62" spans="1:55" x14ac:dyDescent="0.2">
      <c r="A62" s="8" t="s">
        <v>51</v>
      </c>
      <c r="B62" s="31"/>
      <c r="C62" s="6">
        <f t="shared" ref="C62:R62" si="28">C59+C60-C61</f>
        <v>0</v>
      </c>
      <c r="D62" s="6">
        <f t="shared" si="28"/>
        <v>8450000</v>
      </c>
      <c r="E62" s="6">
        <f t="shared" si="28"/>
        <v>18936625</v>
      </c>
      <c r="F62" s="6">
        <f t="shared" si="28"/>
        <v>18366625</v>
      </c>
      <c r="G62" s="6">
        <f t="shared" si="28"/>
        <v>17796625</v>
      </c>
      <c r="H62" s="6">
        <f t="shared" si="28"/>
        <v>17226625</v>
      </c>
      <c r="I62" s="6">
        <f t="shared" si="28"/>
        <v>16656625</v>
      </c>
      <c r="J62" s="6">
        <f t="shared" si="28"/>
        <v>16086625</v>
      </c>
      <c r="K62" s="6">
        <f t="shared" si="28"/>
        <v>15516625</v>
      </c>
      <c r="L62" s="6">
        <f t="shared" si="28"/>
        <v>14946625</v>
      </c>
      <c r="M62" s="6">
        <f t="shared" si="28"/>
        <v>14376625</v>
      </c>
      <c r="N62" s="6">
        <f t="shared" si="28"/>
        <v>13806625</v>
      </c>
      <c r="O62" s="6">
        <f t="shared" si="28"/>
        <v>13236625</v>
      </c>
      <c r="P62" s="6">
        <f t="shared" si="28"/>
        <v>12666625</v>
      </c>
      <c r="Q62" s="6">
        <f t="shared" si="28"/>
        <v>12096625</v>
      </c>
      <c r="R62" s="6">
        <f t="shared" si="28"/>
        <v>11526625</v>
      </c>
      <c r="S62" s="6">
        <f t="shared" ref="S62:AH62" si="29">S59+S60-S61</f>
        <v>10956625</v>
      </c>
      <c r="T62" s="6">
        <f t="shared" si="29"/>
        <v>10386625</v>
      </c>
      <c r="U62" s="6">
        <f t="shared" si="29"/>
        <v>9816625</v>
      </c>
      <c r="V62" s="6">
        <f t="shared" si="29"/>
        <v>9246625</v>
      </c>
      <c r="W62" s="6">
        <f t="shared" si="29"/>
        <v>8676625</v>
      </c>
      <c r="X62" s="6">
        <f t="shared" si="29"/>
        <v>8106625</v>
      </c>
      <c r="Y62" s="6">
        <f t="shared" si="29"/>
        <v>7536625</v>
      </c>
      <c r="Z62" s="6">
        <f t="shared" si="29"/>
        <v>6966625</v>
      </c>
      <c r="AA62" s="6">
        <f t="shared" si="29"/>
        <v>6396625</v>
      </c>
      <c r="AB62" s="6">
        <f t="shared" si="29"/>
        <v>5826625</v>
      </c>
      <c r="AC62" s="6">
        <f t="shared" si="29"/>
        <v>5256625</v>
      </c>
      <c r="AD62" s="6">
        <f t="shared" si="29"/>
        <v>4686625</v>
      </c>
      <c r="AE62" s="6">
        <f t="shared" si="29"/>
        <v>4116625</v>
      </c>
      <c r="AF62" s="6">
        <f t="shared" si="29"/>
        <v>3546625</v>
      </c>
      <c r="AG62" s="6">
        <f t="shared" si="29"/>
        <v>2976625</v>
      </c>
      <c r="AH62" s="6">
        <f t="shared" si="29"/>
        <v>2406625</v>
      </c>
      <c r="AI62" s="6">
        <f t="shared" ref="AI62:AX62" si="30">AI59+AI60-AI61</f>
        <v>1836625</v>
      </c>
      <c r="AJ62" s="6">
        <f t="shared" si="30"/>
        <v>1266625</v>
      </c>
      <c r="AK62" s="6">
        <f t="shared" si="30"/>
        <v>696625</v>
      </c>
      <c r="AL62" s="6">
        <f t="shared" si="30"/>
        <v>126625</v>
      </c>
      <c r="AM62" s="6">
        <f t="shared" si="30"/>
        <v>0</v>
      </c>
      <c r="AN62" s="6">
        <f t="shared" si="30"/>
        <v>0</v>
      </c>
      <c r="AO62" s="6">
        <f t="shared" si="30"/>
        <v>0</v>
      </c>
      <c r="AP62" s="6">
        <f t="shared" si="30"/>
        <v>0</v>
      </c>
      <c r="AQ62" s="6">
        <f t="shared" si="30"/>
        <v>0</v>
      </c>
      <c r="AR62" s="6">
        <f t="shared" si="30"/>
        <v>0</v>
      </c>
      <c r="AS62" s="6">
        <f t="shared" si="30"/>
        <v>0</v>
      </c>
      <c r="AT62" s="6">
        <f t="shared" si="30"/>
        <v>0</v>
      </c>
      <c r="AU62" s="6">
        <f t="shared" si="30"/>
        <v>0</v>
      </c>
      <c r="AV62" s="6">
        <f t="shared" si="30"/>
        <v>0</v>
      </c>
      <c r="AW62" s="6">
        <f t="shared" si="30"/>
        <v>0</v>
      </c>
      <c r="AX62" s="6">
        <f t="shared" si="30"/>
        <v>0</v>
      </c>
      <c r="AY62" s="6">
        <f>AY59+AY60-AY61</f>
        <v>0</v>
      </c>
      <c r="AZ62" s="6">
        <f>AZ59+AZ60-AZ61</f>
        <v>0</v>
      </c>
      <c r="BA62" s="6">
        <f>BA59+BA60-BA61</f>
        <v>0</v>
      </c>
      <c r="BB62" s="6"/>
      <c r="BC62" s="6"/>
    </row>
    <row r="63" spans="1:55" x14ac:dyDescent="0.2">
      <c r="A63" s="6"/>
      <c r="B63" s="31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</row>
    <row r="64" spans="1:55" x14ac:dyDescent="0.2">
      <c r="A64" s="23" t="s">
        <v>54</v>
      </c>
      <c r="B64" s="32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</row>
    <row r="65" spans="1:256" x14ac:dyDescent="0.2">
      <c r="A65" s="8" t="s">
        <v>48</v>
      </c>
      <c r="B65" s="31"/>
      <c r="C65" s="6">
        <v>0</v>
      </c>
      <c r="D65" s="6">
        <v>0</v>
      </c>
      <c r="E65" s="6">
        <f t="shared" ref="E65:AJ65" si="31">D68</f>
        <v>300000</v>
      </c>
      <c r="F65" s="6">
        <f t="shared" si="31"/>
        <v>682500</v>
      </c>
      <c r="G65" s="6">
        <f t="shared" si="31"/>
        <v>614250</v>
      </c>
      <c r="H65" s="6">
        <f t="shared" si="31"/>
        <v>552825</v>
      </c>
      <c r="I65" s="6">
        <f t="shared" si="31"/>
        <v>497542.5</v>
      </c>
      <c r="J65" s="6">
        <f t="shared" si="31"/>
        <v>447788.25</v>
      </c>
      <c r="K65" s="6">
        <f t="shared" si="31"/>
        <v>403009.42499999999</v>
      </c>
      <c r="L65" s="6">
        <f t="shared" si="31"/>
        <v>362708.48249999998</v>
      </c>
      <c r="M65" s="6">
        <f t="shared" si="31"/>
        <v>326437.63425</v>
      </c>
      <c r="N65" s="6">
        <f t="shared" si="31"/>
        <v>293793.87082499999</v>
      </c>
      <c r="O65" s="6">
        <f t="shared" si="31"/>
        <v>264414.48374250002</v>
      </c>
      <c r="P65" s="6">
        <f t="shared" si="31"/>
        <v>237973.03536825001</v>
      </c>
      <c r="Q65" s="6">
        <f t="shared" si="31"/>
        <v>214175.73183142502</v>
      </c>
      <c r="R65" s="6">
        <f t="shared" si="31"/>
        <v>192758.15864828252</v>
      </c>
      <c r="S65" s="6">
        <f t="shared" si="31"/>
        <v>173482.34278345428</v>
      </c>
      <c r="T65" s="6">
        <f t="shared" si="31"/>
        <v>156134.10850510886</v>
      </c>
      <c r="U65" s="6">
        <f t="shared" si="31"/>
        <v>140520.69765459799</v>
      </c>
      <c r="V65" s="6">
        <f t="shared" si="31"/>
        <v>126468.62788913818</v>
      </c>
      <c r="W65" s="6">
        <f t="shared" si="31"/>
        <v>113821.76510022437</v>
      </c>
      <c r="X65" s="6">
        <f t="shared" si="31"/>
        <v>102439.58859020192</v>
      </c>
      <c r="Y65" s="6">
        <f t="shared" si="31"/>
        <v>92195.629731181732</v>
      </c>
      <c r="Z65" s="6">
        <f t="shared" si="31"/>
        <v>82976.066758063564</v>
      </c>
      <c r="AA65" s="6">
        <f t="shared" si="31"/>
        <v>74678.46008225721</v>
      </c>
      <c r="AB65" s="6">
        <f t="shared" si="31"/>
        <v>67210.614074031488</v>
      </c>
      <c r="AC65" s="6">
        <f t="shared" si="31"/>
        <v>60489.55266662834</v>
      </c>
      <c r="AD65" s="6">
        <f t="shared" si="31"/>
        <v>54440.597399965503</v>
      </c>
      <c r="AE65" s="6">
        <f t="shared" si="31"/>
        <v>48996.537659968955</v>
      </c>
      <c r="AF65" s="6">
        <f t="shared" si="31"/>
        <v>44096.883893972059</v>
      </c>
      <c r="AG65" s="6">
        <f t="shared" si="31"/>
        <v>39687.195504574855</v>
      </c>
      <c r="AH65" s="6">
        <f t="shared" si="31"/>
        <v>35718.47595411737</v>
      </c>
      <c r="AI65" s="6">
        <f t="shared" si="31"/>
        <v>32146.628358705631</v>
      </c>
      <c r="AJ65" s="6">
        <f t="shared" si="31"/>
        <v>28931.965522835068</v>
      </c>
      <c r="AK65" s="6">
        <f t="shared" ref="AK65:BA65" si="32">AJ68</f>
        <v>26038.768970551559</v>
      </c>
      <c r="AL65" s="6">
        <f t="shared" si="32"/>
        <v>23434.892073496401</v>
      </c>
      <c r="AM65" s="6">
        <f t="shared" si="32"/>
        <v>21091.40286614676</v>
      </c>
      <c r="AN65" s="6">
        <f t="shared" si="32"/>
        <v>18982.262579532086</v>
      </c>
      <c r="AO65" s="6">
        <f t="shared" si="32"/>
        <v>17084.036321578878</v>
      </c>
      <c r="AP65" s="6">
        <f t="shared" si="32"/>
        <v>15375.632689420991</v>
      </c>
      <c r="AQ65" s="6">
        <f t="shared" si="32"/>
        <v>13838.069420478892</v>
      </c>
      <c r="AR65" s="6">
        <f t="shared" si="32"/>
        <v>12454.262478431003</v>
      </c>
      <c r="AS65" s="6">
        <f t="shared" si="32"/>
        <v>11208.836230587902</v>
      </c>
      <c r="AT65" s="6">
        <f t="shared" si="32"/>
        <v>10087.952607529112</v>
      </c>
      <c r="AU65" s="6">
        <f t="shared" si="32"/>
        <v>9079.1573467762009</v>
      </c>
      <c r="AV65" s="6">
        <f t="shared" si="32"/>
        <v>8171.2416120985808</v>
      </c>
      <c r="AW65" s="6">
        <f t="shared" si="32"/>
        <v>7354.1174508887225</v>
      </c>
      <c r="AX65" s="6">
        <f t="shared" si="32"/>
        <v>6618.70570579985</v>
      </c>
      <c r="AY65" s="6">
        <f t="shared" si="32"/>
        <v>5956.8351352198652</v>
      </c>
      <c r="AZ65" s="6">
        <f t="shared" si="32"/>
        <v>5361.1516216978789</v>
      </c>
      <c r="BA65" s="6">
        <f t="shared" si="32"/>
        <v>4825.0364595280907</v>
      </c>
      <c r="BB65" s="6"/>
      <c r="BC65" s="6"/>
    </row>
    <row r="66" spans="1:256" x14ac:dyDescent="0.2">
      <c r="A66" s="8" t="s">
        <v>49</v>
      </c>
      <c r="B66" s="31">
        <f>SUM(C66:E66)</f>
        <v>700000</v>
      </c>
      <c r="C66" s="6">
        <v>0</v>
      </c>
      <c r="D66" s="6">
        <v>300000</v>
      </c>
      <c r="E66" s="6">
        <v>400000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6">
        <v>0</v>
      </c>
      <c r="BB66" s="6"/>
      <c r="BC66" s="6"/>
    </row>
    <row r="67" spans="1:256" x14ac:dyDescent="0.2">
      <c r="A67" s="8" t="s">
        <v>50</v>
      </c>
      <c r="B67" s="6"/>
      <c r="C67" s="6">
        <v>0</v>
      </c>
      <c r="D67" s="6">
        <v>0</v>
      </c>
      <c r="E67" s="6">
        <f>(E66+E65)*B36/4</f>
        <v>17500</v>
      </c>
      <c r="F67" s="6">
        <f>F65*$B$36</f>
        <v>68250</v>
      </c>
      <c r="G67" s="6">
        <f t="shared" ref="G67:V67" si="33">G65*$B$36</f>
        <v>61425</v>
      </c>
      <c r="H67" s="6">
        <f t="shared" si="33"/>
        <v>55282.5</v>
      </c>
      <c r="I67" s="6">
        <f t="shared" si="33"/>
        <v>49754.25</v>
      </c>
      <c r="J67" s="6">
        <f t="shared" si="33"/>
        <v>44778.825000000004</v>
      </c>
      <c r="K67" s="6">
        <f t="shared" si="33"/>
        <v>40300.942500000005</v>
      </c>
      <c r="L67" s="6">
        <f t="shared" si="33"/>
        <v>36270.848250000003</v>
      </c>
      <c r="M67" s="6">
        <f t="shared" si="33"/>
        <v>32643.763425000001</v>
      </c>
      <c r="N67" s="6">
        <f t="shared" si="33"/>
        <v>29379.387082500001</v>
      </c>
      <c r="O67" s="6">
        <f t="shared" si="33"/>
        <v>26441.448374250002</v>
      </c>
      <c r="P67" s="6">
        <f t="shared" si="33"/>
        <v>23797.303536825002</v>
      </c>
      <c r="Q67" s="6">
        <f t="shared" si="33"/>
        <v>21417.573183142504</v>
      </c>
      <c r="R67" s="6">
        <f t="shared" si="33"/>
        <v>19275.815864828252</v>
      </c>
      <c r="S67" s="6">
        <f t="shared" si="33"/>
        <v>17348.23427834543</v>
      </c>
      <c r="T67" s="6">
        <f t="shared" si="33"/>
        <v>15613.410850510887</v>
      </c>
      <c r="U67" s="6">
        <f t="shared" si="33"/>
        <v>14052.069765459799</v>
      </c>
      <c r="V67" s="6">
        <f t="shared" si="33"/>
        <v>12646.862788913819</v>
      </c>
      <c r="W67" s="6">
        <f t="shared" ref="W67:AL67" si="34">W65*$B$36</f>
        <v>11382.176510022437</v>
      </c>
      <c r="X67" s="6">
        <f t="shared" si="34"/>
        <v>10243.958859020193</v>
      </c>
      <c r="Y67" s="6">
        <f t="shared" si="34"/>
        <v>9219.5629731181743</v>
      </c>
      <c r="Z67" s="6">
        <f t="shared" si="34"/>
        <v>8297.6066758063571</v>
      </c>
      <c r="AA67" s="6">
        <f t="shared" si="34"/>
        <v>7467.8460082257216</v>
      </c>
      <c r="AB67" s="6">
        <f t="shared" si="34"/>
        <v>6721.0614074031491</v>
      </c>
      <c r="AC67" s="6">
        <f t="shared" si="34"/>
        <v>6048.9552666628342</v>
      </c>
      <c r="AD67" s="6">
        <f t="shared" si="34"/>
        <v>5444.0597399965509</v>
      </c>
      <c r="AE67" s="6">
        <f t="shared" si="34"/>
        <v>4899.6537659968953</v>
      </c>
      <c r="AF67" s="6">
        <f t="shared" si="34"/>
        <v>4409.6883893972063</v>
      </c>
      <c r="AG67" s="6">
        <f t="shared" si="34"/>
        <v>3968.7195504574856</v>
      </c>
      <c r="AH67" s="6">
        <f t="shared" si="34"/>
        <v>3571.8475954117371</v>
      </c>
      <c r="AI67" s="6">
        <f t="shared" si="34"/>
        <v>3214.6628358705634</v>
      </c>
      <c r="AJ67" s="6">
        <f t="shared" si="34"/>
        <v>2893.1965522835071</v>
      </c>
      <c r="AK67" s="6">
        <f t="shared" si="34"/>
        <v>2603.876897055156</v>
      </c>
      <c r="AL67" s="6">
        <f t="shared" si="34"/>
        <v>2343.4892073496403</v>
      </c>
      <c r="AM67" s="6">
        <f t="shared" ref="AM67:BA67" si="35">AM65*$B$36</f>
        <v>2109.1402866146759</v>
      </c>
      <c r="AN67" s="6">
        <f t="shared" si="35"/>
        <v>1898.2262579532087</v>
      </c>
      <c r="AO67" s="6">
        <f t="shared" si="35"/>
        <v>1708.4036321578878</v>
      </c>
      <c r="AP67" s="6">
        <f t="shared" si="35"/>
        <v>1537.5632689420991</v>
      </c>
      <c r="AQ67" s="6">
        <f t="shared" si="35"/>
        <v>1383.8069420478894</v>
      </c>
      <c r="AR67" s="6">
        <f t="shared" si="35"/>
        <v>1245.4262478431003</v>
      </c>
      <c r="AS67" s="6">
        <f t="shared" si="35"/>
        <v>1120.8836230587901</v>
      </c>
      <c r="AT67" s="6">
        <f t="shared" si="35"/>
        <v>1008.7952607529113</v>
      </c>
      <c r="AU67" s="6">
        <f t="shared" si="35"/>
        <v>907.91573467762009</v>
      </c>
      <c r="AV67" s="6">
        <f t="shared" si="35"/>
        <v>817.12416120985813</v>
      </c>
      <c r="AW67" s="6">
        <f t="shared" si="35"/>
        <v>735.41174508887229</v>
      </c>
      <c r="AX67" s="6">
        <f t="shared" si="35"/>
        <v>661.87057057998504</v>
      </c>
      <c r="AY67" s="6">
        <f t="shared" si="35"/>
        <v>595.68351352198658</v>
      </c>
      <c r="AZ67" s="6">
        <f t="shared" si="35"/>
        <v>536.11516216978794</v>
      </c>
      <c r="BA67" s="6">
        <f t="shared" si="35"/>
        <v>482.50364595280911</v>
      </c>
      <c r="BB67" s="6"/>
      <c r="BC67" s="6"/>
    </row>
    <row r="68" spans="1:256" x14ac:dyDescent="0.2">
      <c r="A68" s="8" t="s">
        <v>51</v>
      </c>
      <c r="B68" s="6"/>
      <c r="C68" s="6">
        <v>0</v>
      </c>
      <c r="D68" s="6">
        <f t="shared" ref="D68:S68" si="36">D65+D66-D67</f>
        <v>300000</v>
      </c>
      <c r="E68" s="6">
        <f t="shared" si="36"/>
        <v>682500</v>
      </c>
      <c r="F68" s="6">
        <f t="shared" si="36"/>
        <v>614250</v>
      </c>
      <c r="G68" s="6">
        <f t="shared" si="36"/>
        <v>552825</v>
      </c>
      <c r="H68" s="6">
        <f t="shared" si="36"/>
        <v>497542.5</v>
      </c>
      <c r="I68" s="6">
        <f t="shared" si="36"/>
        <v>447788.25</v>
      </c>
      <c r="J68" s="6">
        <f t="shared" si="36"/>
        <v>403009.42499999999</v>
      </c>
      <c r="K68" s="6">
        <f t="shared" si="36"/>
        <v>362708.48249999998</v>
      </c>
      <c r="L68" s="6">
        <f t="shared" si="36"/>
        <v>326437.63425</v>
      </c>
      <c r="M68" s="6">
        <f t="shared" si="36"/>
        <v>293793.87082499999</v>
      </c>
      <c r="N68" s="6">
        <f t="shared" si="36"/>
        <v>264414.48374250002</v>
      </c>
      <c r="O68" s="6">
        <f t="shared" si="36"/>
        <v>237973.03536825001</v>
      </c>
      <c r="P68" s="6">
        <f t="shared" si="36"/>
        <v>214175.73183142502</v>
      </c>
      <c r="Q68" s="6">
        <f t="shared" si="36"/>
        <v>192758.15864828252</v>
      </c>
      <c r="R68" s="6">
        <f t="shared" si="36"/>
        <v>173482.34278345428</v>
      </c>
      <c r="S68" s="6">
        <f t="shared" si="36"/>
        <v>156134.10850510886</v>
      </c>
      <c r="T68" s="6">
        <f t="shared" ref="T68:AI68" si="37">T65+T66-T67</f>
        <v>140520.69765459799</v>
      </c>
      <c r="U68" s="6">
        <f t="shared" si="37"/>
        <v>126468.62788913818</v>
      </c>
      <c r="V68" s="6">
        <f t="shared" si="37"/>
        <v>113821.76510022437</v>
      </c>
      <c r="W68" s="6">
        <f t="shared" si="37"/>
        <v>102439.58859020192</v>
      </c>
      <c r="X68" s="6">
        <f t="shared" si="37"/>
        <v>92195.629731181732</v>
      </c>
      <c r="Y68" s="6">
        <f t="shared" si="37"/>
        <v>82976.066758063564</v>
      </c>
      <c r="Z68" s="6">
        <f t="shared" si="37"/>
        <v>74678.46008225721</v>
      </c>
      <c r="AA68" s="6">
        <f t="shared" si="37"/>
        <v>67210.614074031488</v>
      </c>
      <c r="AB68" s="6">
        <f t="shared" si="37"/>
        <v>60489.55266662834</v>
      </c>
      <c r="AC68" s="6">
        <f t="shared" si="37"/>
        <v>54440.597399965503</v>
      </c>
      <c r="AD68" s="6">
        <f t="shared" si="37"/>
        <v>48996.537659968955</v>
      </c>
      <c r="AE68" s="6">
        <f t="shared" si="37"/>
        <v>44096.883893972059</v>
      </c>
      <c r="AF68" s="6">
        <f t="shared" si="37"/>
        <v>39687.195504574855</v>
      </c>
      <c r="AG68" s="6">
        <f t="shared" si="37"/>
        <v>35718.47595411737</v>
      </c>
      <c r="AH68" s="6">
        <f t="shared" si="37"/>
        <v>32146.628358705631</v>
      </c>
      <c r="AI68" s="6">
        <f t="shared" si="37"/>
        <v>28931.965522835068</v>
      </c>
      <c r="AJ68" s="6">
        <f t="shared" ref="AJ68:AY68" si="38">AJ65+AJ66-AJ67</f>
        <v>26038.768970551559</v>
      </c>
      <c r="AK68" s="6">
        <f t="shared" si="38"/>
        <v>23434.892073496401</v>
      </c>
      <c r="AL68" s="6">
        <f t="shared" si="38"/>
        <v>21091.40286614676</v>
      </c>
      <c r="AM68" s="6">
        <f t="shared" si="38"/>
        <v>18982.262579532086</v>
      </c>
      <c r="AN68" s="6">
        <f t="shared" si="38"/>
        <v>17084.036321578878</v>
      </c>
      <c r="AO68" s="6">
        <f t="shared" si="38"/>
        <v>15375.632689420991</v>
      </c>
      <c r="AP68" s="6">
        <f t="shared" si="38"/>
        <v>13838.069420478892</v>
      </c>
      <c r="AQ68" s="6">
        <f t="shared" si="38"/>
        <v>12454.262478431003</v>
      </c>
      <c r="AR68" s="6">
        <f t="shared" si="38"/>
        <v>11208.836230587902</v>
      </c>
      <c r="AS68" s="6">
        <f t="shared" si="38"/>
        <v>10087.952607529112</v>
      </c>
      <c r="AT68" s="6">
        <f t="shared" si="38"/>
        <v>9079.1573467762009</v>
      </c>
      <c r="AU68" s="6">
        <f t="shared" si="38"/>
        <v>8171.2416120985808</v>
      </c>
      <c r="AV68" s="6">
        <f t="shared" si="38"/>
        <v>7354.1174508887225</v>
      </c>
      <c r="AW68" s="6">
        <f t="shared" si="38"/>
        <v>6618.70570579985</v>
      </c>
      <c r="AX68" s="6">
        <f t="shared" si="38"/>
        <v>5956.8351352198652</v>
      </c>
      <c r="AY68" s="6">
        <f t="shared" si="38"/>
        <v>5361.1516216978789</v>
      </c>
      <c r="AZ68" s="6">
        <f>AZ65+AZ66-AZ67</f>
        <v>4825.0364595280907</v>
      </c>
      <c r="BA68" s="6">
        <f>BA65+BA66-BA67</f>
        <v>4342.5328135752816</v>
      </c>
      <c r="BB68" s="6"/>
      <c r="BC68" s="6"/>
    </row>
    <row r="69" spans="1:256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</row>
    <row r="70" spans="1:256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</row>
    <row r="71" spans="1:256" x14ac:dyDescent="0.2">
      <c r="A71" s="23" t="s">
        <v>55</v>
      </c>
      <c r="B71" s="36" t="s">
        <v>42</v>
      </c>
      <c r="C71" s="37">
        <v>1995</v>
      </c>
      <c r="D71" s="37">
        <v>1996</v>
      </c>
      <c r="E71" s="38">
        <v>1997</v>
      </c>
      <c r="F71" s="38">
        <f t="shared" ref="F71:U71" si="39">E71+1</f>
        <v>1998</v>
      </c>
      <c r="G71" s="38">
        <f t="shared" si="39"/>
        <v>1999</v>
      </c>
      <c r="H71" s="38">
        <f t="shared" si="39"/>
        <v>2000</v>
      </c>
      <c r="I71" s="38">
        <f t="shared" si="39"/>
        <v>2001</v>
      </c>
      <c r="J71" s="38">
        <f t="shared" si="39"/>
        <v>2002</v>
      </c>
      <c r="K71" s="38">
        <f t="shared" si="39"/>
        <v>2003</v>
      </c>
      <c r="L71" s="38">
        <f t="shared" si="39"/>
        <v>2004</v>
      </c>
      <c r="M71" s="38">
        <f t="shared" si="39"/>
        <v>2005</v>
      </c>
      <c r="N71" s="38">
        <f t="shared" si="39"/>
        <v>2006</v>
      </c>
      <c r="O71" s="38">
        <f t="shared" si="39"/>
        <v>2007</v>
      </c>
      <c r="P71" s="38">
        <f t="shared" si="39"/>
        <v>2008</v>
      </c>
      <c r="Q71" s="38">
        <f t="shared" si="39"/>
        <v>2009</v>
      </c>
      <c r="R71" s="38">
        <f t="shared" si="39"/>
        <v>2010</v>
      </c>
      <c r="S71" s="38">
        <f t="shared" si="39"/>
        <v>2011</v>
      </c>
      <c r="T71" s="38">
        <f t="shared" si="39"/>
        <v>2012</v>
      </c>
      <c r="U71" s="38">
        <f t="shared" si="39"/>
        <v>2013</v>
      </c>
      <c r="V71" s="38">
        <f t="shared" ref="V71:AK71" si="40">U71+1</f>
        <v>2014</v>
      </c>
      <c r="W71" s="38">
        <f t="shared" si="40"/>
        <v>2015</v>
      </c>
      <c r="X71" s="38">
        <f t="shared" si="40"/>
        <v>2016</v>
      </c>
      <c r="Y71" s="38">
        <f t="shared" si="40"/>
        <v>2017</v>
      </c>
      <c r="Z71" s="38">
        <f t="shared" si="40"/>
        <v>2018</v>
      </c>
      <c r="AA71" s="38">
        <f t="shared" si="40"/>
        <v>2019</v>
      </c>
      <c r="AB71" s="38">
        <f t="shared" si="40"/>
        <v>2020</v>
      </c>
      <c r="AC71" s="38">
        <f t="shared" si="40"/>
        <v>2021</v>
      </c>
      <c r="AD71" s="38">
        <f t="shared" si="40"/>
        <v>2022</v>
      </c>
      <c r="AE71" s="38">
        <f t="shared" si="40"/>
        <v>2023</v>
      </c>
      <c r="AF71" s="38">
        <f t="shared" si="40"/>
        <v>2024</v>
      </c>
      <c r="AG71" s="38">
        <f t="shared" si="40"/>
        <v>2025</v>
      </c>
      <c r="AH71" s="38">
        <f t="shared" si="40"/>
        <v>2026</v>
      </c>
      <c r="AI71" s="38">
        <f t="shared" si="40"/>
        <v>2027</v>
      </c>
      <c r="AJ71" s="38">
        <f t="shared" si="40"/>
        <v>2028</v>
      </c>
      <c r="AK71" s="38">
        <f t="shared" si="40"/>
        <v>2029</v>
      </c>
      <c r="AL71" s="38">
        <f t="shared" ref="AL71:BA71" si="41">AK71+1</f>
        <v>2030</v>
      </c>
      <c r="AM71" s="38">
        <f t="shared" si="41"/>
        <v>2031</v>
      </c>
      <c r="AN71" s="38">
        <f t="shared" si="41"/>
        <v>2032</v>
      </c>
      <c r="AO71" s="38">
        <f t="shared" si="41"/>
        <v>2033</v>
      </c>
      <c r="AP71" s="38">
        <f t="shared" si="41"/>
        <v>2034</v>
      </c>
      <c r="AQ71" s="38">
        <f t="shared" si="41"/>
        <v>2035</v>
      </c>
      <c r="AR71" s="38">
        <f t="shared" si="41"/>
        <v>2036</v>
      </c>
      <c r="AS71" s="38">
        <f t="shared" si="41"/>
        <v>2037</v>
      </c>
      <c r="AT71" s="38">
        <f t="shared" si="41"/>
        <v>2038</v>
      </c>
      <c r="AU71" s="38">
        <f t="shared" si="41"/>
        <v>2039</v>
      </c>
      <c r="AV71" s="38">
        <f t="shared" si="41"/>
        <v>2040</v>
      </c>
      <c r="AW71" s="38">
        <f t="shared" si="41"/>
        <v>2041</v>
      </c>
      <c r="AX71" s="38">
        <f t="shared" si="41"/>
        <v>2042</v>
      </c>
      <c r="AY71" s="38">
        <f t="shared" si="41"/>
        <v>2043</v>
      </c>
      <c r="AZ71" s="38">
        <f t="shared" si="41"/>
        <v>2044</v>
      </c>
      <c r="BA71" s="38">
        <f t="shared" si="41"/>
        <v>2045</v>
      </c>
      <c r="BB71" s="6"/>
      <c r="BC71" s="6"/>
    </row>
    <row r="72" spans="1:256" x14ac:dyDescent="0.2">
      <c r="A72" s="6"/>
      <c r="B72" s="6"/>
      <c r="C72" s="6"/>
      <c r="D72" s="6"/>
      <c r="BB72" s="6"/>
      <c r="BC72" s="6"/>
    </row>
    <row r="73" spans="1:256" x14ac:dyDescent="0.2">
      <c r="A73" s="23" t="s">
        <v>56</v>
      </c>
      <c r="B73" s="23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</row>
    <row r="74" spans="1:256" x14ac:dyDescent="0.2">
      <c r="A74" s="8" t="s">
        <v>57</v>
      </c>
      <c r="B74" s="8"/>
      <c r="C74" s="6"/>
      <c r="D74" s="6">
        <v>0</v>
      </c>
      <c r="E74" s="6">
        <f>(E43*E42*E44)</f>
        <v>675000</v>
      </c>
      <c r="F74" s="6">
        <f t="shared" ref="F74:U74" si="42">(F43*F42*F44)</f>
        <v>1444500</v>
      </c>
      <c r="G74" s="6">
        <f t="shared" si="42"/>
        <v>1545615</v>
      </c>
      <c r="H74" s="6">
        <f t="shared" si="42"/>
        <v>1653808.0500000003</v>
      </c>
      <c r="I74" s="6">
        <f t="shared" si="42"/>
        <v>1769574.6135</v>
      </c>
      <c r="J74" s="6">
        <f t="shared" si="42"/>
        <v>1893444.8364450003</v>
      </c>
      <c r="K74" s="6">
        <f t="shared" si="42"/>
        <v>2025985.97499615</v>
      </c>
      <c r="L74" s="6">
        <f t="shared" si="42"/>
        <v>1035000</v>
      </c>
      <c r="M74" s="6">
        <f t="shared" si="42"/>
        <v>1107450.0000000002</v>
      </c>
      <c r="N74" s="6">
        <f t="shared" si="42"/>
        <v>1184971.5</v>
      </c>
      <c r="O74" s="6">
        <f t="shared" si="42"/>
        <v>1267919.5050000001</v>
      </c>
      <c r="P74" s="6">
        <f t="shared" si="42"/>
        <v>1356673.87035</v>
      </c>
      <c r="Q74" s="6">
        <f t="shared" si="42"/>
        <v>1451641.0412745001</v>
      </c>
      <c r="R74" s="6">
        <f t="shared" si="42"/>
        <v>1553255.9141637152</v>
      </c>
      <c r="S74" s="6">
        <f t="shared" si="42"/>
        <v>1305000</v>
      </c>
      <c r="T74" s="6">
        <f t="shared" si="42"/>
        <v>1396350</v>
      </c>
      <c r="U74" s="6">
        <f t="shared" si="42"/>
        <v>1494094.5</v>
      </c>
      <c r="V74" s="6">
        <f t="shared" ref="V74:AK74" si="43">(V43*V42*V44)</f>
        <v>1598681.1150000002</v>
      </c>
      <c r="W74" s="6">
        <f t="shared" si="43"/>
        <v>1710588.79305</v>
      </c>
      <c r="X74" s="6">
        <f t="shared" si="43"/>
        <v>1830330.0085635004</v>
      </c>
      <c r="Y74" s="6">
        <f t="shared" si="43"/>
        <v>1958453.1091629451</v>
      </c>
      <c r="Z74" s="6">
        <f t="shared" si="43"/>
        <v>2095544.8268043515</v>
      </c>
      <c r="AA74" s="6">
        <f t="shared" si="43"/>
        <v>2242232.9646806559</v>
      </c>
      <c r="AB74" s="6">
        <f t="shared" si="43"/>
        <v>2399189.2722083023</v>
      </c>
      <c r="AC74" s="6">
        <f t="shared" si="43"/>
        <v>2567132.5212628832</v>
      </c>
      <c r="AD74" s="6">
        <f t="shared" si="43"/>
        <v>2746831.7977512856</v>
      </c>
      <c r="AE74" s="6">
        <f t="shared" si="43"/>
        <v>2939110.0235938751</v>
      </c>
      <c r="AF74" s="6">
        <f t="shared" si="43"/>
        <v>3144847.7252454464</v>
      </c>
      <c r="AG74" s="6">
        <f t="shared" si="43"/>
        <v>3364987.0660126274</v>
      </c>
      <c r="AH74" s="6">
        <f t="shared" si="43"/>
        <v>3600536.1606335114</v>
      </c>
      <c r="AI74" s="6">
        <f t="shared" si="43"/>
        <v>3852573.6918778569</v>
      </c>
      <c r="AJ74" s="6">
        <f t="shared" si="43"/>
        <v>4122253.8503093068</v>
      </c>
      <c r="AK74" s="6">
        <f t="shared" si="43"/>
        <v>4410811.6198309585</v>
      </c>
      <c r="AL74" s="6">
        <f t="shared" ref="AL74:BA74" si="44">(AL43*AL42*AL44)</f>
        <v>4719568.4332191264</v>
      </c>
      <c r="AM74" s="6">
        <f t="shared" si="44"/>
        <v>5049938.2235444635</v>
      </c>
      <c r="AN74" s="6">
        <f t="shared" si="44"/>
        <v>5403433.8991925763</v>
      </c>
      <c r="AO74" s="6">
        <f t="shared" si="44"/>
        <v>5781674.2721360568</v>
      </c>
      <c r="AP74" s="6">
        <f t="shared" si="44"/>
        <v>6186391.4711855808</v>
      </c>
      <c r="AQ74" s="6">
        <f t="shared" si="44"/>
        <v>6619438.874168572</v>
      </c>
      <c r="AR74" s="6">
        <f t="shared" si="44"/>
        <v>7082799.5953603731</v>
      </c>
      <c r="AS74" s="6">
        <f t="shared" si="44"/>
        <v>7578595.5670355977</v>
      </c>
      <c r="AT74" s="6">
        <f t="shared" si="44"/>
        <v>8109097.2567280922</v>
      </c>
      <c r="AU74" s="6">
        <f t="shared" si="44"/>
        <v>8676830.4728553314</v>
      </c>
      <c r="AV74" s="6">
        <f t="shared" si="44"/>
        <v>9284311.7626824174</v>
      </c>
      <c r="AW74" s="6">
        <f t="shared" si="44"/>
        <v>9934323.9637683053</v>
      </c>
      <c r="AX74" s="6">
        <f t="shared" si="44"/>
        <v>10629844.745369075</v>
      </c>
      <c r="AY74" s="6">
        <f t="shared" si="44"/>
        <v>11374060.248971486</v>
      </c>
      <c r="AZ74" s="6">
        <f t="shared" si="44"/>
        <v>12170379.683825927</v>
      </c>
      <c r="BA74" s="6">
        <f t="shared" si="44"/>
        <v>13022450.944340028</v>
      </c>
      <c r="BB74" s="6"/>
      <c r="BC74" s="6"/>
    </row>
    <row r="75" spans="1:256" x14ac:dyDescent="0.2">
      <c r="A75" s="8" t="s">
        <v>58</v>
      </c>
      <c r="B75" s="8"/>
      <c r="C75" s="6"/>
      <c r="D75" s="6">
        <v>0</v>
      </c>
      <c r="E75" s="6">
        <f t="shared" ref="E75:AJ75" si="45">$B$26*(1+$H$7)^(E41-3)</f>
        <v>150000</v>
      </c>
      <c r="F75" s="6">
        <f t="shared" si="45"/>
        <v>160500</v>
      </c>
      <c r="G75" s="6">
        <f t="shared" si="45"/>
        <v>171735</v>
      </c>
      <c r="H75" s="6">
        <f t="shared" si="45"/>
        <v>183756.45</v>
      </c>
      <c r="I75" s="6">
        <f t="shared" si="45"/>
        <v>196619.40150000001</v>
      </c>
      <c r="J75" s="6">
        <f t="shared" si="45"/>
        <v>210382.75960500003</v>
      </c>
      <c r="K75" s="6">
        <f t="shared" si="45"/>
        <v>225109.55277735001</v>
      </c>
      <c r="L75" s="6">
        <f t="shared" si="45"/>
        <v>240867.22147176453</v>
      </c>
      <c r="M75" s="6">
        <f t="shared" si="45"/>
        <v>257727.92697478805</v>
      </c>
      <c r="N75" s="6">
        <f t="shared" si="45"/>
        <v>275768.88186302321</v>
      </c>
      <c r="O75" s="6">
        <f t="shared" si="45"/>
        <v>295072.70359343482</v>
      </c>
      <c r="P75" s="6">
        <f t="shared" si="45"/>
        <v>315727.79284497531</v>
      </c>
      <c r="Q75" s="6">
        <f t="shared" si="45"/>
        <v>337828.73834412353</v>
      </c>
      <c r="R75" s="6">
        <f t="shared" si="45"/>
        <v>361476.75002821221</v>
      </c>
      <c r="S75" s="6">
        <f t="shared" si="45"/>
        <v>386780.12253018701</v>
      </c>
      <c r="T75" s="6">
        <f t="shared" si="45"/>
        <v>413854.73110730021</v>
      </c>
      <c r="U75" s="6">
        <f t="shared" si="45"/>
        <v>442824.56228481111</v>
      </c>
      <c r="V75" s="6">
        <f t="shared" si="45"/>
        <v>473822.28164474788</v>
      </c>
      <c r="W75" s="6">
        <f t="shared" si="45"/>
        <v>506989.84135988029</v>
      </c>
      <c r="X75" s="6">
        <f t="shared" si="45"/>
        <v>542479.13025507191</v>
      </c>
      <c r="Y75" s="6">
        <f t="shared" si="45"/>
        <v>580452.66937292693</v>
      </c>
      <c r="Z75" s="6">
        <f t="shared" si="45"/>
        <v>621084.35622903181</v>
      </c>
      <c r="AA75" s="6">
        <f t="shared" si="45"/>
        <v>664560.26116506406</v>
      </c>
      <c r="AB75" s="6">
        <f t="shared" si="45"/>
        <v>711079.47944661858</v>
      </c>
      <c r="AC75" s="6">
        <f t="shared" si="45"/>
        <v>760855.04300788185</v>
      </c>
      <c r="AD75" s="6">
        <f t="shared" si="45"/>
        <v>814114.89601843373</v>
      </c>
      <c r="AE75" s="6">
        <f t="shared" si="45"/>
        <v>871102.93873972399</v>
      </c>
      <c r="AF75" s="6">
        <f t="shared" si="45"/>
        <v>932080.14445150481</v>
      </c>
      <c r="AG75" s="6">
        <f t="shared" si="45"/>
        <v>997325.75456310995</v>
      </c>
      <c r="AH75" s="6">
        <f t="shared" si="45"/>
        <v>1067138.5573825277</v>
      </c>
      <c r="AI75" s="6">
        <f t="shared" si="45"/>
        <v>1141838.2563993046</v>
      </c>
      <c r="AJ75" s="6">
        <f t="shared" si="45"/>
        <v>1221766.9343472561</v>
      </c>
      <c r="AK75" s="6">
        <f t="shared" ref="AK75:BA75" si="46">$B$26*(1+$H$7)^(AK41-3)</f>
        <v>1307290.619751564</v>
      </c>
      <c r="AL75" s="6">
        <f t="shared" si="46"/>
        <v>1398800.9631341735</v>
      </c>
      <c r="AM75" s="6">
        <f t="shared" si="46"/>
        <v>1496717.0305535656</v>
      </c>
      <c r="AN75" s="6">
        <f t="shared" si="46"/>
        <v>1601487.2226923152</v>
      </c>
      <c r="AO75" s="6">
        <f t="shared" si="46"/>
        <v>1713591.3282807772</v>
      </c>
      <c r="AP75" s="6">
        <f t="shared" si="46"/>
        <v>1833542.7212604319</v>
      </c>
      <c r="AQ75" s="6">
        <f t="shared" si="46"/>
        <v>1961890.7117486619</v>
      </c>
      <c r="AR75" s="6">
        <f t="shared" si="46"/>
        <v>2099223.0615710681</v>
      </c>
      <c r="AS75" s="6">
        <f t="shared" si="46"/>
        <v>2246168.6758810431</v>
      </c>
      <c r="AT75" s="6">
        <f t="shared" si="46"/>
        <v>2403400.4831927163</v>
      </c>
      <c r="AU75" s="6">
        <f t="shared" si="46"/>
        <v>2571638.5170162059</v>
      </c>
      <c r="AV75" s="6">
        <f t="shared" si="46"/>
        <v>2751653.2132073408</v>
      </c>
      <c r="AW75" s="6">
        <f t="shared" si="46"/>
        <v>2944268.9381318544</v>
      </c>
      <c r="AX75" s="6">
        <f t="shared" si="46"/>
        <v>3150367.7638010844</v>
      </c>
      <c r="AY75" s="6">
        <f t="shared" si="46"/>
        <v>3370893.5072671603</v>
      </c>
      <c r="AZ75" s="6">
        <f t="shared" si="46"/>
        <v>3606856.0527758617</v>
      </c>
      <c r="BA75" s="6">
        <f t="shared" si="46"/>
        <v>3859335.9764701719</v>
      </c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</row>
    <row r="76" spans="1:256" x14ac:dyDescent="0.2">
      <c r="A76" s="8" t="s">
        <v>59</v>
      </c>
      <c r="B76" s="8"/>
      <c r="C76" s="6"/>
      <c r="D76" s="6">
        <v>0</v>
      </c>
      <c r="E76" s="6">
        <f t="shared" ref="E76:AJ76" si="47">$B$20*E43*(1+$H$7+$B$21)^(E41-3)</f>
        <v>693000</v>
      </c>
      <c r="F76" s="6">
        <f t="shared" si="47"/>
        <v>1492722</v>
      </c>
      <c r="G76" s="6">
        <f t="shared" si="47"/>
        <v>1607661.594</v>
      </c>
      <c r="H76" s="6">
        <f t="shared" si="47"/>
        <v>1731451.5367380001</v>
      </c>
      <c r="I76" s="6">
        <f t="shared" si="47"/>
        <v>1864773.3050668261</v>
      </c>
      <c r="J76" s="6">
        <f t="shared" si="47"/>
        <v>2008360.8495569718</v>
      </c>
      <c r="K76" s="6">
        <f t="shared" si="47"/>
        <v>2163004.6349728587</v>
      </c>
      <c r="L76" s="6">
        <f t="shared" si="47"/>
        <v>2329555.9918657686</v>
      </c>
      <c r="M76" s="6">
        <f t="shared" si="47"/>
        <v>2508931.8032394331</v>
      </c>
      <c r="N76" s="6">
        <f t="shared" si="47"/>
        <v>2702119.5520888693</v>
      </c>
      <c r="O76" s="6">
        <f t="shared" si="47"/>
        <v>2910182.7575997119</v>
      </c>
      <c r="P76" s="6">
        <f t="shared" si="47"/>
        <v>3134266.8299348904</v>
      </c>
      <c r="Q76" s="6">
        <f t="shared" si="47"/>
        <v>3375605.3758398765</v>
      </c>
      <c r="R76" s="6">
        <f t="shared" si="47"/>
        <v>3635526.9897795473</v>
      </c>
      <c r="S76" s="6">
        <f t="shared" si="47"/>
        <v>3915462.5679925727</v>
      </c>
      <c r="T76" s="6">
        <f t="shared" si="47"/>
        <v>4216953.1857280005</v>
      </c>
      <c r="U76" s="6">
        <f t="shared" si="47"/>
        <v>4541658.5810290575</v>
      </c>
      <c r="V76" s="6">
        <f t="shared" si="47"/>
        <v>4891366.2917682938</v>
      </c>
      <c r="W76" s="6">
        <f t="shared" si="47"/>
        <v>5268001.4962344533</v>
      </c>
      <c r="X76" s="6">
        <f t="shared" si="47"/>
        <v>5673637.6114445068</v>
      </c>
      <c r="Y76" s="6">
        <f t="shared" si="47"/>
        <v>6110507.7075257329</v>
      </c>
      <c r="Z76" s="6">
        <f t="shared" si="47"/>
        <v>6581016.8010052154</v>
      </c>
      <c r="AA76" s="6">
        <f t="shared" si="47"/>
        <v>7087755.0946826162</v>
      </c>
      <c r="AB76" s="6">
        <f t="shared" si="47"/>
        <v>7633512.2369731786</v>
      </c>
      <c r="AC76" s="6">
        <f t="shared" si="47"/>
        <v>8221292.6792201139</v>
      </c>
      <c r="AD76" s="6">
        <f t="shared" si="47"/>
        <v>8854332.2155200616</v>
      </c>
      <c r="AE76" s="6">
        <f t="shared" si="47"/>
        <v>9536115.796115106</v>
      </c>
      <c r="AF76" s="6">
        <f t="shared" si="47"/>
        <v>10270396.712415971</v>
      </c>
      <c r="AG76" s="6">
        <f t="shared" si="47"/>
        <v>11061217.259272</v>
      </c>
      <c r="AH76" s="6">
        <f t="shared" si="47"/>
        <v>11912930.988235945</v>
      </c>
      <c r="AI76" s="6">
        <f t="shared" si="47"/>
        <v>12830226.674330113</v>
      </c>
      <c r="AJ76" s="6">
        <f t="shared" si="47"/>
        <v>13818154.128253533</v>
      </c>
      <c r="AK76" s="6">
        <f t="shared" ref="AK76:BA76" si="48">$B$20*AK43*(1+$H$7+$B$21)^(AK41-3)</f>
        <v>14882151.996129053</v>
      </c>
      <c r="AL76" s="6">
        <f t="shared" si="48"/>
        <v>16028077.699830988</v>
      </c>
      <c r="AM76" s="6">
        <f t="shared" si="48"/>
        <v>17262239.682717979</v>
      </c>
      <c r="AN76" s="6">
        <f t="shared" si="48"/>
        <v>18591432.138287261</v>
      </c>
      <c r="AO76" s="6">
        <f t="shared" si="48"/>
        <v>20022972.41293538</v>
      </c>
      <c r="AP76" s="6">
        <f t="shared" si="48"/>
        <v>21564741.288731407</v>
      </c>
      <c r="AQ76" s="6">
        <f t="shared" si="48"/>
        <v>23225226.367963724</v>
      </c>
      <c r="AR76" s="6">
        <f t="shared" si="48"/>
        <v>25013568.798296932</v>
      </c>
      <c r="AS76" s="6">
        <f t="shared" si="48"/>
        <v>26939613.595765796</v>
      </c>
      <c r="AT76" s="6">
        <f t="shared" si="48"/>
        <v>29013963.842639763</v>
      </c>
      <c r="AU76" s="6">
        <f t="shared" si="48"/>
        <v>31248039.058523022</v>
      </c>
      <c r="AV76" s="6">
        <f t="shared" si="48"/>
        <v>33654138.066029303</v>
      </c>
      <c r="AW76" s="6">
        <f t="shared" si="48"/>
        <v>36245506.697113551</v>
      </c>
      <c r="AX76" s="6">
        <f t="shared" si="48"/>
        <v>39036410.712791301</v>
      </c>
      <c r="AY76" s="6">
        <f t="shared" si="48"/>
        <v>42042214.337676235</v>
      </c>
      <c r="AZ76" s="6">
        <f t="shared" si="48"/>
        <v>45279464.841677308</v>
      </c>
      <c r="BA76" s="6">
        <f t="shared" si="48"/>
        <v>48765983.634486452</v>
      </c>
      <c r="BB76" s="6"/>
      <c r="BC76" s="6"/>
    </row>
    <row r="77" spans="1:256" x14ac:dyDescent="0.2">
      <c r="A77" s="23" t="s">
        <v>60</v>
      </c>
      <c r="B77" s="23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</row>
    <row r="78" spans="1:256" x14ac:dyDescent="0.2">
      <c r="A78" s="5" t="s">
        <v>61</v>
      </c>
      <c r="B78" s="5"/>
      <c r="C78" s="6"/>
      <c r="D78" s="6">
        <v>0</v>
      </c>
      <c r="E78" s="6">
        <f>-$B29*(1+$H$7)^(E$41-3)*0.5</f>
        <v>-30000</v>
      </c>
      <c r="F78" s="6">
        <f t="shared" ref="F78:BA78" si="49">-$B29*(1+$H$7)^(F$41-3)</f>
        <v>-64200.000000000007</v>
      </c>
      <c r="G78" s="6">
        <f t="shared" si="49"/>
        <v>-68694</v>
      </c>
      <c r="H78" s="6">
        <f t="shared" si="49"/>
        <v>-73502.58</v>
      </c>
      <c r="I78" s="6">
        <f t="shared" si="49"/>
        <v>-78647.760599999994</v>
      </c>
      <c r="J78" s="6">
        <f t="shared" si="49"/>
        <v>-84153.103842000011</v>
      </c>
      <c r="K78" s="6">
        <f t="shared" si="49"/>
        <v>-90043.82111094</v>
      </c>
      <c r="L78" s="6">
        <f t="shared" si="49"/>
        <v>-96346.888588705813</v>
      </c>
      <c r="M78" s="6">
        <f t="shared" si="49"/>
        <v>-103091.17078991521</v>
      </c>
      <c r="N78" s="6">
        <f t="shared" si="49"/>
        <v>-110307.55274520929</v>
      </c>
      <c r="O78" s="6">
        <f t="shared" si="49"/>
        <v>-118029.08143737394</v>
      </c>
      <c r="P78" s="6">
        <f t="shared" si="49"/>
        <v>-126291.11713799012</v>
      </c>
      <c r="Q78" s="6">
        <f t="shared" si="49"/>
        <v>-135131.49533764942</v>
      </c>
      <c r="R78" s="6">
        <f t="shared" si="49"/>
        <v>-144590.70001128488</v>
      </c>
      <c r="S78" s="6">
        <f t="shared" si="49"/>
        <v>-154712.0490120748</v>
      </c>
      <c r="T78" s="6">
        <f t="shared" si="49"/>
        <v>-165541.89244292007</v>
      </c>
      <c r="U78" s="6">
        <f t="shared" si="49"/>
        <v>-177129.82491392444</v>
      </c>
      <c r="V78" s="6">
        <f t="shared" si="49"/>
        <v>-189528.91265789917</v>
      </c>
      <c r="W78" s="6">
        <f t="shared" si="49"/>
        <v>-202795.93654395212</v>
      </c>
      <c r="X78" s="6">
        <f t="shared" si="49"/>
        <v>-216991.65210202878</v>
      </c>
      <c r="Y78" s="6">
        <f t="shared" si="49"/>
        <v>-232181.06774917076</v>
      </c>
      <c r="Z78" s="6">
        <f t="shared" si="49"/>
        <v>-248433.74249161273</v>
      </c>
      <c r="AA78" s="6">
        <f t="shared" si="49"/>
        <v>-265824.1044660256</v>
      </c>
      <c r="AB78" s="6">
        <f t="shared" si="49"/>
        <v>-284431.7917786474</v>
      </c>
      <c r="AC78" s="6">
        <f t="shared" si="49"/>
        <v>-304342.01720315276</v>
      </c>
      <c r="AD78" s="6">
        <f t="shared" si="49"/>
        <v>-325645.95840737346</v>
      </c>
      <c r="AE78" s="6">
        <f t="shared" si="49"/>
        <v>-348441.17549588956</v>
      </c>
      <c r="AF78" s="6">
        <f t="shared" si="49"/>
        <v>-372832.05778060196</v>
      </c>
      <c r="AG78" s="6">
        <f t="shared" si="49"/>
        <v>-398930.30182524398</v>
      </c>
      <c r="AH78" s="6">
        <f t="shared" si="49"/>
        <v>-426855.42295301106</v>
      </c>
      <c r="AI78" s="6">
        <f t="shared" si="49"/>
        <v>-456735.30255972181</v>
      </c>
      <c r="AJ78" s="6">
        <f t="shared" si="49"/>
        <v>-488706.77373890247</v>
      </c>
      <c r="AK78" s="6">
        <f t="shared" si="49"/>
        <v>-522916.24790062557</v>
      </c>
      <c r="AL78" s="6">
        <f t="shared" si="49"/>
        <v>-559520.38525366934</v>
      </c>
      <c r="AM78" s="6">
        <f t="shared" si="49"/>
        <v>-598686.81222142617</v>
      </c>
      <c r="AN78" s="6">
        <f t="shared" si="49"/>
        <v>-640594.88907692605</v>
      </c>
      <c r="AO78" s="6">
        <f t="shared" si="49"/>
        <v>-685436.53131231084</v>
      </c>
      <c r="AP78" s="6">
        <f t="shared" si="49"/>
        <v>-733417.08850417275</v>
      </c>
      <c r="AQ78" s="6">
        <f t="shared" si="49"/>
        <v>-784756.2846994648</v>
      </c>
      <c r="AR78" s="6">
        <f t="shared" si="49"/>
        <v>-839689.2246284273</v>
      </c>
      <c r="AS78" s="6">
        <f t="shared" si="49"/>
        <v>-898467.47035241721</v>
      </c>
      <c r="AT78" s="6">
        <f t="shared" si="49"/>
        <v>-961360.19327708648</v>
      </c>
      <c r="AU78" s="6">
        <f t="shared" si="49"/>
        <v>-1028655.4068064825</v>
      </c>
      <c r="AV78" s="6">
        <f t="shared" si="49"/>
        <v>-1100661.2852829364</v>
      </c>
      <c r="AW78" s="6">
        <f t="shared" si="49"/>
        <v>-1177707.5752527418</v>
      </c>
      <c r="AX78" s="6">
        <f t="shared" si="49"/>
        <v>-1260147.1055204337</v>
      </c>
      <c r="AY78" s="6">
        <f t="shared" si="49"/>
        <v>-1348357.4029068642</v>
      </c>
      <c r="AZ78" s="6">
        <f t="shared" si="49"/>
        <v>-1442742.4211103446</v>
      </c>
      <c r="BA78" s="6">
        <f t="shared" si="49"/>
        <v>-1543734.3905880686</v>
      </c>
      <c r="BB78" s="6"/>
      <c r="BC78" s="6"/>
    </row>
    <row r="79" spans="1:256" x14ac:dyDescent="0.2">
      <c r="A79" s="8" t="s">
        <v>62</v>
      </c>
      <c r="B79" s="8"/>
      <c r="C79" s="6"/>
      <c r="D79" s="6">
        <v>0</v>
      </c>
      <c r="E79" s="6">
        <f>-$B30*(1+$H$7)^(E$41-3)*0.5</f>
        <v>-75000</v>
      </c>
      <c r="F79" s="6">
        <f t="shared" ref="F79:BA79" si="50">-$B30*(1+$H$7)^(F$41-3)</f>
        <v>-160500</v>
      </c>
      <c r="G79" s="6">
        <f t="shared" si="50"/>
        <v>-171735</v>
      </c>
      <c r="H79" s="6">
        <f t="shared" si="50"/>
        <v>-183756.45</v>
      </c>
      <c r="I79" s="6">
        <f t="shared" si="50"/>
        <v>-196619.40150000001</v>
      </c>
      <c r="J79" s="6">
        <f t="shared" si="50"/>
        <v>-210382.75960500003</v>
      </c>
      <c r="K79" s="6">
        <f t="shared" si="50"/>
        <v>-225109.55277735001</v>
      </c>
      <c r="L79" s="6">
        <f t="shared" si="50"/>
        <v>-240867.22147176453</v>
      </c>
      <c r="M79" s="6">
        <f t="shared" si="50"/>
        <v>-257727.92697478805</v>
      </c>
      <c r="N79" s="6">
        <f t="shared" si="50"/>
        <v>-275768.88186302321</v>
      </c>
      <c r="O79" s="6">
        <f t="shared" si="50"/>
        <v>-295072.70359343482</v>
      </c>
      <c r="P79" s="6">
        <f t="shared" si="50"/>
        <v>-315727.79284497531</v>
      </c>
      <c r="Q79" s="6">
        <f t="shared" si="50"/>
        <v>-337828.73834412353</v>
      </c>
      <c r="R79" s="6">
        <f t="shared" si="50"/>
        <v>-361476.75002821221</v>
      </c>
      <c r="S79" s="6">
        <f t="shared" si="50"/>
        <v>-386780.12253018701</v>
      </c>
      <c r="T79" s="6">
        <f t="shared" si="50"/>
        <v>-413854.73110730021</v>
      </c>
      <c r="U79" s="6">
        <f t="shared" si="50"/>
        <v>-442824.56228481111</v>
      </c>
      <c r="V79" s="6">
        <f t="shared" si="50"/>
        <v>-473822.28164474788</v>
      </c>
      <c r="W79" s="6">
        <f t="shared" si="50"/>
        <v>-506989.84135988029</v>
      </c>
      <c r="X79" s="6">
        <f t="shared" si="50"/>
        <v>-542479.13025507191</v>
      </c>
      <c r="Y79" s="6">
        <f t="shared" si="50"/>
        <v>-580452.66937292693</v>
      </c>
      <c r="Z79" s="6">
        <f t="shared" si="50"/>
        <v>-621084.35622903181</v>
      </c>
      <c r="AA79" s="6">
        <f t="shared" si="50"/>
        <v>-664560.26116506406</v>
      </c>
      <c r="AB79" s="6">
        <f t="shared" si="50"/>
        <v>-711079.47944661858</v>
      </c>
      <c r="AC79" s="6">
        <f t="shared" si="50"/>
        <v>-760855.04300788185</v>
      </c>
      <c r="AD79" s="6">
        <f t="shared" si="50"/>
        <v>-814114.89601843373</v>
      </c>
      <c r="AE79" s="6">
        <f t="shared" si="50"/>
        <v>-871102.93873972399</v>
      </c>
      <c r="AF79" s="6">
        <f t="shared" si="50"/>
        <v>-932080.14445150481</v>
      </c>
      <c r="AG79" s="6">
        <f t="shared" si="50"/>
        <v>-997325.75456310995</v>
      </c>
      <c r="AH79" s="6">
        <f t="shared" si="50"/>
        <v>-1067138.5573825277</v>
      </c>
      <c r="AI79" s="6">
        <f t="shared" si="50"/>
        <v>-1141838.2563993046</v>
      </c>
      <c r="AJ79" s="6">
        <f t="shared" si="50"/>
        <v>-1221766.9343472561</v>
      </c>
      <c r="AK79" s="6">
        <f t="shared" si="50"/>
        <v>-1307290.619751564</v>
      </c>
      <c r="AL79" s="6">
        <f t="shared" si="50"/>
        <v>-1398800.9631341735</v>
      </c>
      <c r="AM79" s="6">
        <f t="shared" si="50"/>
        <v>-1496717.0305535656</v>
      </c>
      <c r="AN79" s="6">
        <f t="shared" si="50"/>
        <v>-1601487.2226923152</v>
      </c>
      <c r="AO79" s="6">
        <f t="shared" si="50"/>
        <v>-1713591.3282807772</v>
      </c>
      <c r="AP79" s="6">
        <f t="shared" si="50"/>
        <v>-1833542.7212604319</v>
      </c>
      <c r="AQ79" s="6">
        <f t="shared" si="50"/>
        <v>-1961890.7117486619</v>
      </c>
      <c r="AR79" s="6">
        <f t="shared" si="50"/>
        <v>-2099223.0615710681</v>
      </c>
      <c r="AS79" s="6">
        <f t="shared" si="50"/>
        <v>-2246168.6758810431</v>
      </c>
      <c r="AT79" s="6">
        <f t="shared" si="50"/>
        <v>-2403400.4831927163</v>
      </c>
      <c r="AU79" s="6">
        <f t="shared" si="50"/>
        <v>-2571638.5170162059</v>
      </c>
      <c r="AV79" s="6">
        <f t="shared" si="50"/>
        <v>-2751653.2132073408</v>
      </c>
      <c r="AW79" s="6">
        <f t="shared" si="50"/>
        <v>-2944268.9381318544</v>
      </c>
      <c r="AX79" s="6">
        <f t="shared" si="50"/>
        <v>-3150367.7638010844</v>
      </c>
      <c r="AY79" s="6">
        <f t="shared" si="50"/>
        <v>-3370893.5072671603</v>
      </c>
      <c r="AZ79" s="6">
        <f t="shared" si="50"/>
        <v>-3606856.0527758617</v>
      </c>
      <c r="BA79" s="6">
        <f t="shared" si="50"/>
        <v>-3859335.9764701719</v>
      </c>
      <c r="BB79" s="6"/>
      <c r="BC79" s="6"/>
    </row>
    <row r="80" spans="1:256" x14ac:dyDescent="0.2">
      <c r="A80" s="5" t="s">
        <v>63</v>
      </c>
      <c r="B80" s="5"/>
      <c r="C80" s="6"/>
      <c r="D80" s="6">
        <v>0</v>
      </c>
      <c r="E80" s="6">
        <f>-$B32*(1+$H$7)^(E$41-3)*0.5</f>
        <v>-7500</v>
      </c>
      <c r="F80" s="6">
        <f t="shared" ref="F80:BA80" si="51">-$B32*(1+$H$7)^(F$41-3)</f>
        <v>-16050.000000000002</v>
      </c>
      <c r="G80" s="6">
        <f t="shared" si="51"/>
        <v>-17173.5</v>
      </c>
      <c r="H80" s="6">
        <f t="shared" si="51"/>
        <v>-18375.645</v>
      </c>
      <c r="I80" s="6">
        <f t="shared" si="51"/>
        <v>-19661.940149999999</v>
      </c>
      <c r="J80" s="6">
        <f t="shared" si="51"/>
        <v>-21038.275960500003</v>
      </c>
      <c r="K80" s="6">
        <f t="shared" si="51"/>
        <v>-22510.955277735</v>
      </c>
      <c r="L80" s="6">
        <f t="shared" si="51"/>
        <v>-24086.722147176453</v>
      </c>
      <c r="M80" s="6">
        <f t="shared" si="51"/>
        <v>-25772.792697478802</v>
      </c>
      <c r="N80" s="6">
        <f t="shared" si="51"/>
        <v>-27576.888186302323</v>
      </c>
      <c r="O80" s="6">
        <f t="shared" si="51"/>
        <v>-29507.270359343485</v>
      </c>
      <c r="P80" s="6">
        <f t="shared" si="51"/>
        <v>-31572.77928449753</v>
      </c>
      <c r="Q80" s="6">
        <f t="shared" si="51"/>
        <v>-33782.873834412356</v>
      </c>
      <c r="R80" s="6">
        <f t="shared" si="51"/>
        <v>-36147.675002821219</v>
      </c>
      <c r="S80" s="6">
        <f t="shared" si="51"/>
        <v>-38678.0122530187</v>
      </c>
      <c r="T80" s="6">
        <f t="shared" si="51"/>
        <v>-41385.473110730018</v>
      </c>
      <c r="U80" s="6">
        <f t="shared" si="51"/>
        <v>-44282.456228481111</v>
      </c>
      <c r="V80" s="6">
        <f t="shared" si="51"/>
        <v>-47382.228164474793</v>
      </c>
      <c r="W80" s="6">
        <f t="shared" si="51"/>
        <v>-50698.98413598803</v>
      </c>
      <c r="X80" s="6">
        <f t="shared" si="51"/>
        <v>-54247.913025507194</v>
      </c>
      <c r="Y80" s="6">
        <f t="shared" si="51"/>
        <v>-58045.26693729269</v>
      </c>
      <c r="Z80" s="6">
        <f t="shared" si="51"/>
        <v>-62108.435622903184</v>
      </c>
      <c r="AA80" s="6">
        <f t="shared" si="51"/>
        <v>-66456.0261165064</v>
      </c>
      <c r="AB80" s="6">
        <f t="shared" si="51"/>
        <v>-71107.94794466185</v>
      </c>
      <c r="AC80" s="6">
        <f t="shared" si="51"/>
        <v>-76085.50430078819</v>
      </c>
      <c r="AD80" s="6">
        <f t="shared" si="51"/>
        <v>-81411.489601843365</v>
      </c>
      <c r="AE80" s="6">
        <f t="shared" si="51"/>
        <v>-87110.29387397239</v>
      </c>
      <c r="AF80" s="6">
        <f t="shared" si="51"/>
        <v>-93208.014445150489</v>
      </c>
      <c r="AG80" s="6">
        <f t="shared" si="51"/>
        <v>-99732.575456310995</v>
      </c>
      <c r="AH80" s="6">
        <f t="shared" si="51"/>
        <v>-106713.85573825277</v>
      </c>
      <c r="AI80" s="6">
        <f t="shared" si="51"/>
        <v>-114183.82563993045</v>
      </c>
      <c r="AJ80" s="6">
        <f t="shared" si="51"/>
        <v>-122176.69343472562</v>
      </c>
      <c r="AK80" s="6">
        <f t="shared" si="51"/>
        <v>-130729.06197515639</v>
      </c>
      <c r="AL80" s="6">
        <f t="shared" si="51"/>
        <v>-139880.09631341734</v>
      </c>
      <c r="AM80" s="6">
        <f t="shared" si="51"/>
        <v>-149671.70305535654</v>
      </c>
      <c r="AN80" s="6">
        <f t="shared" si="51"/>
        <v>-160148.72226923151</v>
      </c>
      <c r="AO80" s="6">
        <f t="shared" si="51"/>
        <v>-171359.13282807771</v>
      </c>
      <c r="AP80" s="6">
        <f t="shared" si="51"/>
        <v>-183354.27212604319</v>
      </c>
      <c r="AQ80" s="6">
        <f t="shared" si="51"/>
        <v>-196189.0711748662</v>
      </c>
      <c r="AR80" s="6">
        <f t="shared" si="51"/>
        <v>-209922.30615710682</v>
      </c>
      <c r="AS80" s="6">
        <f t="shared" si="51"/>
        <v>-224616.8675881043</v>
      </c>
      <c r="AT80" s="6">
        <f t="shared" si="51"/>
        <v>-240340.04831927162</v>
      </c>
      <c r="AU80" s="6">
        <f t="shared" si="51"/>
        <v>-257163.85170162062</v>
      </c>
      <c r="AV80" s="6">
        <f t="shared" si="51"/>
        <v>-275165.3213207341</v>
      </c>
      <c r="AW80" s="6">
        <f t="shared" si="51"/>
        <v>-294426.89381318545</v>
      </c>
      <c r="AX80" s="6">
        <f t="shared" si="51"/>
        <v>-315036.77638010844</v>
      </c>
      <c r="AY80" s="6">
        <f t="shared" si="51"/>
        <v>-337089.35072671605</v>
      </c>
      <c r="AZ80" s="6">
        <f t="shared" si="51"/>
        <v>-360685.60527758615</v>
      </c>
      <c r="BA80" s="6">
        <f t="shared" si="51"/>
        <v>-385933.59764701716</v>
      </c>
      <c r="BB80" s="6"/>
      <c r="BC80" s="6"/>
    </row>
    <row r="81" spans="1:55" x14ac:dyDescent="0.2">
      <c r="A81" s="8" t="s">
        <v>64</v>
      </c>
      <c r="B81" s="8"/>
      <c r="C81" s="6"/>
      <c r="D81" s="6">
        <v>0</v>
      </c>
      <c r="E81" s="6">
        <f>-$B33*(1+$H$7)^(E$41-3)*0.5</f>
        <v>-40000</v>
      </c>
      <c r="F81" s="6">
        <f t="shared" ref="F81:BA81" si="52">-$B33*(1+$H$7)^(F$41-3)</f>
        <v>-85600</v>
      </c>
      <c r="G81" s="6">
        <f t="shared" si="52"/>
        <v>-91592</v>
      </c>
      <c r="H81" s="6">
        <f t="shared" si="52"/>
        <v>-98003.44</v>
      </c>
      <c r="I81" s="6">
        <f t="shared" si="52"/>
        <v>-104863.6808</v>
      </c>
      <c r="J81" s="6">
        <f t="shared" si="52"/>
        <v>-112204.13845600002</v>
      </c>
      <c r="K81" s="6">
        <f t="shared" si="52"/>
        <v>-120058.42814792</v>
      </c>
      <c r="L81" s="6">
        <f t="shared" si="52"/>
        <v>-128462.51811827441</v>
      </c>
      <c r="M81" s="6">
        <f t="shared" si="52"/>
        <v>-137454.89438655361</v>
      </c>
      <c r="N81" s="6">
        <f t="shared" si="52"/>
        <v>-147076.7369936124</v>
      </c>
      <c r="O81" s="6">
        <f t="shared" si="52"/>
        <v>-157372.10858316525</v>
      </c>
      <c r="P81" s="6">
        <f t="shared" si="52"/>
        <v>-168388.15618398684</v>
      </c>
      <c r="Q81" s="6">
        <f t="shared" si="52"/>
        <v>-180175.32711686587</v>
      </c>
      <c r="R81" s="6">
        <f t="shared" si="52"/>
        <v>-192787.60001504651</v>
      </c>
      <c r="S81" s="6">
        <f t="shared" si="52"/>
        <v>-206282.73201609976</v>
      </c>
      <c r="T81" s="6">
        <f t="shared" si="52"/>
        <v>-220722.52325722677</v>
      </c>
      <c r="U81" s="6">
        <f t="shared" si="52"/>
        <v>-236173.0998852326</v>
      </c>
      <c r="V81" s="6">
        <f t="shared" si="52"/>
        <v>-252705.21687719889</v>
      </c>
      <c r="W81" s="6">
        <f t="shared" si="52"/>
        <v>-270394.58205860283</v>
      </c>
      <c r="X81" s="6">
        <f t="shared" si="52"/>
        <v>-289322.20280270505</v>
      </c>
      <c r="Y81" s="6">
        <f t="shared" si="52"/>
        <v>-309574.75699889439</v>
      </c>
      <c r="Z81" s="6">
        <f t="shared" si="52"/>
        <v>-331244.98998881696</v>
      </c>
      <c r="AA81" s="6">
        <f t="shared" si="52"/>
        <v>-354432.13928803417</v>
      </c>
      <c r="AB81" s="6">
        <f t="shared" si="52"/>
        <v>-379242.38903819659</v>
      </c>
      <c r="AC81" s="6">
        <f t="shared" si="52"/>
        <v>-405789.35627087037</v>
      </c>
      <c r="AD81" s="6">
        <f t="shared" si="52"/>
        <v>-434194.61120983132</v>
      </c>
      <c r="AE81" s="6">
        <f t="shared" si="52"/>
        <v>-464588.23399451945</v>
      </c>
      <c r="AF81" s="6">
        <f t="shared" si="52"/>
        <v>-497109.41037413588</v>
      </c>
      <c r="AG81" s="6">
        <f t="shared" si="52"/>
        <v>-531907.06910032535</v>
      </c>
      <c r="AH81" s="6">
        <f t="shared" si="52"/>
        <v>-569140.56393734808</v>
      </c>
      <c r="AI81" s="6">
        <f t="shared" si="52"/>
        <v>-608980.40341296245</v>
      </c>
      <c r="AJ81" s="6">
        <f t="shared" si="52"/>
        <v>-651609.03165187</v>
      </c>
      <c r="AK81" s="6">
        <f t="shared" si="52"/>
        <v>-697221.66386750073</v>
      </c>
      <c r="AL81" s="6">
        <f t="shared" si="52"/>
        <v>-746027.18033822579</v>
      </c>
      <c r="AM81" s="6">
        <f t="shared" si="52"/>
        <v>-798249.08296190156</v>
      </c>
      <c r="AN81" s="6">
        <f t="shared" si="52"/>
        <v>-854126.51876923477</v>
      </c>
      <c r="AO81" s="6">
        <f t="shared" si="52"/>
        <v>-913915.37508308119</v>
      </c>
      <c r="AP81" s="6">
        <f t="shared" si="52"/>
        <v>-977889.45133889699</v>
      </c>
      <c r="AQ81" s="6">
        <f t="shared" si="52"/>
        <v>-1046341.7129326197</v>
      </c>
      <c r="AR81" s="6">
        <f t="shared" si="52"/>
        <v>-1119585.6328379032</v>
      </c>
      <c r="AS81" s="6">
        <f t="shared" si="52"/>
        <v>-1197956.6271365562</v>
      </c>
      <c r="AT81" s="6">
        <f t="shared" si="52"/>
        <v>-1281813.5910361153</v>
      </c>
      <c r="AU81" s="6">
        <f t="shared" si="52"/>
        <v>-1371540.5424086433</v>
      </c>
      <c r="AV81" s="6">
        <f t="shared" si="52"/>
        <v>-1467548.3803772486</v>
      </c>
      <c r="AW81" s="6">
        <f t="shared" si="52"/>
        <v>-1570276.7670036557</v>
      </c>
      <c r="AX81" s="6">
        <f t="shared" si="52"/>
        <v>-1680196.1406939116</v>
      </c>
      <c r="AY81" s="6">
        <f t="shared" si="52"/>
        <v>-1797809.8705424855</v>
      </c>
      <c r="AZ81" s="6">
        <f t="shared" si="52"/>
        <v>-1923656.5614804595</v>
      </c>
      <c r="BA81" s="6">
        <f t="shared" si="52"/>
        <v>-2058312.5207840917</v>
      </c>
      <c r="BB81" s="6"/>
      <c r="BC81" s="6"/>
    </row>
    <row r="82" spans="1:55" x14ac:dyDescent="0.2">
      <c r="A82" s="23" t="s">
        <v>65</v>
      </c>
      <c r="B82" s="23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</row>
    <row r="83" spans="1:55" x14ac:dyDescent="0.2">
      <c r="A83" s="8" t="s">
        <v>66</v>
      </c>
      <c r="B83" s="8"/>
      <c r="C83" s="6"/>
      <c r="D83" s="6">
        <v>0</v>
      </c>
      <c r="E83" s="6">
        <f>-(E55+E61)</f>
        <v>-95625</v>
      </c>
      <c r="F83" s="6">
        <f t="shared" ref="F83:U83" si="53">-(F55+F61)</f>
        <v>-699000</v>
      </c>
      <c r="G83" s="6">
        <f t="shared" si="53"/>
        <v>-699000</v>
      </c>
      <c r="H83" s="6">
        <f t="shared" si="53"/>
        <v>-699000</v>
      </c>
      <c r="I83" s="6">
        <f t="shared" si="53"/>
        <v>-699000</v>
      </c>
      <c r="J83" s="6">
        <f t="shared" si="53"/>
        <v>-699000</v>
      </c>
      <c r="K83" s="6">
        <f t="shared" si="53"/>
        <v>-699000</v>
      </c>
      <c r="L83" s="6">
        <f t="shared" si="53"/>
        <v>-699000</v>
      </c>
      <c r="M83" s="6">
        <f t="shared" si="53"/>
        <v>-699000</v>
      </c>
      <c r="N83" s="6">
        <f t="shared" si="53"/>
        <v>-699000</v>
      </c>
      <c r="O83" s="6">
        <f t="shared" si="53"/>
        <v>-699000</v>
      </c>
      <c r="P83" s="6">
        <f t="shared" si="53"/>
        <v>-699000</v>
      </c>
      <c r="Q83" s="6">
        <f t="shared" si="53"/>
        <v>-699000</v>
      </c>
      <c r="R83" s="6">
        <f t="shared" si="53"/>
        <v>-699000</v>
      </c>
      <c r="S83" s="6">
        <f t="shared" si="53"/>
        <v>-699000</v>
      </c>
      <c r="T83" s="6">
        <f t="shared" si="53"/>
        <v>-699000</v>
      </c>
      <c r="U83" s="6">
        <f t="shared" si="53"/>
        <v>-699000</v>
      </c>
      <c r="V83" s="6">
        <f t="shared" ref="V83:AK83" si="54">-(V55+V61)</f>
        <v>-699000</v>
      </c>
      <c r="W83" s="6">
        <f t="shared" si="54"/>
        <v>-699000</v>
      </c>
      <c r="X83" s="6">
        <f t="shared" si="54"/>
        <v>-699000</v>
      </c>
      <c r="Y83" s="6">
        <f t="shared" si="54"/>
        <v>-699000</v>
      </c>
      <c r="Z83" s="6">
        <f t="shared" si="54"/>
        <v>-699000</v>
      </c>
      <c r="AA83" s="6">
        <f t="shared" si="54"/>
        <v>-699000</v>
      </c>
      <c r="AB83" s="6">
        <f t="shared" si="54"/>
        <v>-699000</v>
      </c>
      <c r="AC83" s="6">
        <f t="shared" si="54"/>
        <v>-699000</v>
      </c>
      <c r="AD83" s="6">
        <f t="shared" si="54"/>
        <v>-699000</v>
      </c>
      <c r="AE83" s="6">
        <f t="shared" si="54"/>
        <v>-699000</v>
      </c>
      <c r="AF83" s="6">
        <f t="shared" si="54"/>
        <v>-699000</v>
      </c>
      <c r="AG83" s="6">
        <f t="shared" si="54"/>
        <v>-699000</v>
      </c>
      <c r="AH83" s="6">
        <f t="shared" si="54"/>
        <v>-699000</v>
      </c>
      <c r="AI83" s="6">
        <f t="shared" si="54"/>
        <v>-699000</v>
      </c>
      <c r="AJ83" s="6">
        <f t="shared" si="54"/>
        <v>-699000</v>
      </c>
      <c r="AK83" s="6">
        <f t="shared" si="54"/>
        <v>-699000</v>
      </c>
      <c r="AL83" s="6">
        <f t="shared" ref="AL83:BA83" si="55">-(AL55+AL61)</f>
        <v>-699000</v>
      </c>
      <c r="AM83" s="6">
        <f t="shared" si="55"/>
        <v>-137375</v>
      </c>
      <c r="AN83" s="6">
        <f t="shared" si="55"/>
        <v>0</v>
      </c>
      <c r="AO83" s="6">
        <f t="shared" si="55"/>
        <v>0</v>
      </c>
      <c r="AP83" s="6">
        <f t="shared" si="55"/>
        <v>0</v>
      </c>
      <c r="AQ83" s="6">
        <f t="shared" si="55"/>
        <v>0</v>
      </c>
      <c r="AR83" s="6">
        <f t="shared" si="55"/>
        <v>0</v>
      </c>
      <c r="AS83" s="6">
        <f t="shared" si="55"/>
        <v>0</v>
      </c>
      <c r="AT83" s="6">
        <f t="shared" si="55"/>
        <v>0</v>
      </c>
      <c r="AU83" s="6">
        <f t="shared" si="55"/>
        <v>0</v>
      </c>
      <c r="AV83" s="6">
        <f t="shared" si="55"/>
        <v>0</v>
      </c>
      <c r="AW83" s="6">
        <f t="shared" si="55"/>
        <v>0</v>
      </c>
      <c r="AX83" s="6">
        <f t="shared" si="55"/>
        <v>0</v>
      </c>
      <c r="AY83" s="6">
        <f t="shared" si="55"/>
        <v>0</v>
      </c>
      <c r="AZ83" s="6">
        <f t="shared" si="55"/>
        <v>0</v>
      </c>
      <c r="BA83" s="6">
        <f t="shared" si="55"/>
        <v>0</v>
      </c>
      <c r="BB83" s="6"/>
      <c r="BC83" s="6"/>
    </row>
    <row r="84" spans="1:55" x14ac:dyDescent="0.2">
      <c r="A84" s="8" t="s">
        <v>67</v>
      </c>
      <c r="B84" s="8"/>
      <c r="C84" s="6"/>
      <c r="D84" s="6"/>
      <c r="E84" s="6">
        <f>-E49</f>
        <v>-37500</v>
      </c>
      <c r="F84" s="6">
        <f t="shared" ref="F84:U84" si="56">-F49</f>
        <v>-819375</v>
      </c>
      <c r="G84" s="6">
        <f t="shared" si="56"/>
        <v>-696468.75</v>
      </c>
      <c r="H84" s="6">
        <f t="shared" si="56"/>
        <v>-591998.4375</v>
      </c>
      <c r="I84" s="6">
        <f t="shared" si="56"/>
        <v>-503198.671875</v>
      </c>
      <c r="J84" s="6">
        <f t="shared" si="56"/>
        <v>-427718.87109375</v>
      </c>
      <c r="K84" s="6">
        <f t="shared" si="56"/>
        <v>-363561.04042968748</v>
      </c>
      <c r="L84" s="6">
        <f t="shared" si="56"/>
        <v>-309026.88436523435</v>
      </c>
      <c r="M84" s="6">
        <f t="shared" si="56"/>
        <v>-262672.85171044921</v>
      </c>
      <c r="N84" s="6">
        <f t="shared" si="56"/>
        <v>-223271.92395388184</v>
      </c>
      <c r="O84" s="6">
        <f t="shared" si="56"/>
        <v>-189781.13536079953</v>
      </c>
      <c r="P84" s="6">
        <f t="shared" si="56"/>
        <v>-161313.96505667962</v>
      </c>
      <c r="Q84" s="6">
        <f t="shared" si="56"/>
        <v>-137116.87029817767</v>
      </c>
      <c r="R84" s="6">
        <f t="shared" si="56"/>
        <v>-116549.33975345101</v>
      </c>
      <c r="S84" s="6">
        <f t="shared" si="56"/>
        <v>-99066.938790433356</v>
      </c>
      <c r="T84" s="6">
        <f t="shared" si="56"/>
        <v>-84206.897971868355</v>
      </c>
      <c r="U84" s="6">
        <f t="shared" si="56"/>
        <v>-71575.863276088101</v>
      </c>
      <c r="V84" s="6">
        <f t="shared" ref="V84:AK84" si="57">-V49</f>
        <v>-60839.483784674885</v>
      </c>
      <c r="W84" s="6">
        <f t="shared" si="57"/>
        <v>-51713.561216973649</v>
      </c>
      <c r="X84" s="6">
        <f t="shared" si="57"/>
        <v>-43956.527034427607</v>
      </c>
      <c r="Y84" s="6">
        <f t="shared" si="57"/>
        <v>-37363.047979263465</v>
      </c>
      <c r="Z84" s="6">
        <f t="shared" si="57"/>
        <v>-31758.59078237394</v>
      </c>
      <c r="AA84" s="6">
        <f t="shared" si="57"/>
        <v>-26994.802165017853</v>
      </c>
      <c r="AB84" s="6">
        <f t="shared" si="57"/>
        <v>-22945.581840265175</v>
      </c>
      <c r="AC84" s="6">
        <f t="shared" si="57"/>
        <v>-19503.744564225399</v>
      </c>
      <c r="AD84" s="6">
        <f t="shared" si="57"/>
        <v>-16578.182879591586</v>
      </c>
      <c r="AE84" s="6">
        <f t="shared" si="57"/>
        <v>-14091.455447652852</v>
      </c>
      <c r="AF84" s="6">
        <f t="shared" si="57"/>
        <v>-11977.737130504922</v>
      </c>
      <c r="AG84" s="6">
        <f t="shared" si="57"/>
        <v>-10181.076560929185</v>
      </c>
      <c r="AH84" s="6">
        <f t="shared" si="57"/>
        <v>-8653.9150767898082</v>
      </c>
      <c r="AI84" s="6">
        <f t="shared" si="57"/>
        <v>-7355.8278152713365</v>
      </c>
      <c r="AJ84" s="6">
        <f t="shared" si="57"/>
        <v>-6252.4536429806349</v>
      </c>
      <c r="AK84" s="6">
        <f t="shared" si="57"/>
        <v>-5314.5855965335404</v>
      </c>
      <c r="AL84" s="6">
        <f t="shared" ref="AL84:BA84" si="58">-AL49</f>
        <v>-4517.3977570535098</v>
      </c>
      <c r="AM84" s="6">
        <f t="shared" si="58"/>
        <v>-3839.7880934954828</v>
      </c>
      <c r="AN84" s="6">
        <f t="shared" si="58"/>
        <v>-3263.8198794711611</v>
      </c>
      <c r="AO84" s="6">
        <f t="shared" si="58"/>
        <v>-2774.2468975504867</v>
      </c>
      <c r="AP84" s="6">
        <f t="shared" si="58"/>
        <v>-2358.1098629179137</v>
      </c>
      <c r="AQ84" s="6">
        <f t="shared" si="58"/>
        <v>-2004.3933834802267</v>
      </c>
      <c r="AR84" s="6">
        <f t="shared" si="58"/>
        <v>-1703.7343759581927</v>
      </c>
      <c r="AS84" s="6">
        <f t="shared" si="58"/>
        <v>-1448.1742195644638</v>
      </c>
      <c r="AT84" s="6">
        <f t="shared" si="58"/>
        <v>-1230.9480866297943</v>
      </c>
      <c r="AU84" s="6">
        <f t="shared" si="58"/>
        <v>-1046.305873635325</v>
      </c>
      <c r="AV84" s="6">
        <f t="shared" si="58"/>
        <v>-889.35999259002631</v>
      </c>
      <c r="AW84" s="6">
        <f t="shared" si="58"/>
        <v>-755.9559937015224</v>
      </c>
      <c r="AX84" s="6">
        <f t="shared" si="58"/>
        <v>-642.56259464629397</v>
      </c>
      <c r="AY84" s="6">
        <f t="shared" si="58"/>
        <v>-546.17820544934989</v>
      </c>
      <c r="AZ84" s="6">
        <f t="shared" si="58"/>
        <v>-464.25147463194742</v>
      </c>
      <c r="BA84" s="6">
        <f t="shared" si="58"/>
        <v>-394.61375343715531</v>
      </c>
      <c r="BB84" s="6"/>
      <c r="BC84" s="6"/>
    </row>
    <row r="85" spans="1:55" x14ac:dyDescent="0.2">
      <c r="A85" s="8" t="s">
        <v>68</v>
      </c>
      <c r="B85" s="8"/>
      <c r="C85" s="6"/>
      <c r="D85" s="6">
        <v>0</v>
      </c>
      <c r="E85" s="6">
        <f>-E67</f>
        <v>-17500</v>
      </c>
      <c r="F85" s="6">
        <f t="shared" ref="F85:U85" si="59">-F67</f>
        <v>-68250</v>
      </c>
      <c r="G85" s="6">
        <f t="shared" si="59"/>
        <v>-61425</v>
      </c>
      <c r="H85" s="6">
        <f t="shared" si="59"/>
        <v>-55282.5</v>
      </c>
      <c r="I85" s="6">
        <f t="shared" si="59"/>
        <v>-49754.25</v>
      </c>
      <c r="J85" s="6">
        <f t="shared" si="59"/>
        <v>-44778.825000000004</v>
      </c>
      <c r="K85" s="6">
        <f t="shared" si="59"/>
        <v>-40300.942500000005</v>
      </c>
      <c r="L85" s="6">
        <f t="shared" si="59"/>
        <v>-36270.848250000003</v>
      </c>
      <c r="M85" s="6">
        <f t="shared" si="59"/>
        <v>-32643.763425000001</v>
      </c>
      <c r="N85" s="6">
        <f t="shared" si="59"/>
        <v>-29379.387082500001</v>
      </c>
      <c r="O85" s="6">
        <f t="shared" si="59"/>
        <v>-26441.448374250002</v>
      </c>
      <c r="P85" s="6">
        <f t="shared" si="59"/>
        <v>-23797.303536825002</v>
      </c>
      <c r="Q85" s="6">
        <f t="shared" si="59"/>
        <v>-21417.573183142504</v>
      </c>
      <c r="R85" s="6">
        <f t="shared" si="59"/>
        <v>-19275.815864828252</v>
      </c>
      <c r="S85" s="6">
        <f t="shared" si="59"/>
        <v>-17348.23427834543</v>
      </c>
      <c r="T85" s="6">
        <f t="shared" si="59"/>
        <v>-15613.410850510887</v>
      </c>
      <c r="U85" s="6">
        <f t="shared" si="59"/>
        <v>-14052.069765459799</v>
      </c>
      <c r="V85" s="6">
        <f t="shared" ref="V85:AK85" si="60">-V67</f>
        <v>-12646.862788913819</v>
      </c>
      <c r="W85" s="6">
        <f t="shared" si="60"/>
        <v>-11382.176510022437</v>
      </c>
      <c r="X85" s="6">
        <f t="shared" si="60"/>
        <v>-10243.958859020193</v>
      </c>
      <c r="Y85" s="6">
        <f t="shared" si="60"/>
        <v>-9219.5629731181743</v>
      </c>
      <c r="Z85" s="6">
        <f t="shared" si="60"/>
        <v>-8297.6066758063571</v>
      </c>
      <c r="AA85" s="6">
        <f t="shared" si="60"/>
        <v>-7467.8460082257216</v>
      </c>
      <c r="AB85" s="6">
        <f t="shared" si="60"/>
        <v>-6721.0614074031491</v>
      </c>
      <c r="AC85" s="6">
        <f t="shared" si="60"/>
        <v>-6048.9552666628342</v>
      </c>
      <c r="AD85" s="6">
        <f t="shared" si="60"/>
        <v>-5444.0597399965509</v>
      </c>
      <c r="AE85" s="6">
        <f t="shared" si="60"/>
        <v>-4899.6537659968953</v>
      </c>
      <c r="AF85" s="6">
        <f t="shared" si="60"/>
        <v>-4409.6883893972063</v>
      </c>
      <c r="AG85" s="6">
        <f t="shared" si="60"/>
        <v>-3968.7195504574856</v>
      </c>
      <c r="AH85" s="6">
        <f t="shared" si="60"/>
        <v>-3571.8475954117371</v>
      </c>
      <c r="AI85" s="6">
        <f t="shared" si="60"/>
        <v>-3214.6628358705634</v>
      </c>
      <c r="AJ85" s="6">
        <f t="shared" si="60"/>
        <v>-2893.1965522835071</v>
      </c>
      <c r="AK85" s="6">
        <f t="shared" si="60"/>
        <v>-2603.876897055156</v>
      </c>
      <c r="AL85" s="6">
        <f t="shared" ref="AL85:BA85" si="61">-AL67</f>
        <v>-2343.4892073496403</v>
      </c>
      <c r="AM85" s="6">
        <f t="shared" si="61"/>
        <v>-2109.1402866146759</v>
      </c>
      <c r="AN85" s="6">
        <f t="shared" si="61"/>
        <v>-1898.2262579532087</v>
      </c>
      <c r="AO85" s="6">
        <f t="shared" si="61"/>
        <v>-1708.4036321578878</v>
      </c>
      <c r="AP85" s="6">
        <f t="shared" si="61"/>
        <v>-1537.5632689420991</v>
      </c>
      <c r="AQ85" s="6">
        <f t="shared" si="61"/>
        <v>-1383.8069420478894</v>
      </c>
      <c r="AR85" s="6">
        <f t="shared" si="61"/>
        <v>-1245.4262478431003</v>
      </c>
      <c r="AS85" s="6">
        <f t="shared" si="61"/>
        <v>-1120.8836230587901</v>
      </c>
      <c r="AT85" s="6">
        <f t="shared" si="61"/>
        <v>-1008.7952607529113</v>
      </c>
      <c r="AU85" s="6">
        <f t="shared" si="61"/>
        <v>-907.91573467762009</v>
      </c>
      <c r="AV85" s="6">
        <f t="shared" si="61"/>
        <v>-817.12416120985813</v>
      </c>
      <c r="AW85" s="6">
        <f t="shared" si="61"/>
        <v>-735.41174508887229</v>
      </c>
      <c r="AX85" s="6">
        <f t="shared" si="61"/>
        <v>-661.87057057998504</v>
      </c>
      <c r="AY85" s="6">
        <f t="shared" si="61"/>
        <v>-595.68351352198658</v>
      </c>
      <c r="AZ85" s="6">
        <f t="shared" si="61"/>
        <v>-536.11516216978794</v>
      </c>
      <c r="BA85" s="6">
        <f t="shared" si="61"/>
        <v>-482.50364595280911</v>
      </c>
      <c r="BB85" s="6"/>
      <c r="BC85" s="6"/>
    </row>
    <row r="86" spans="1:55" x14ac:dyDescent="0.2">
      <c r="A86" s="23" t="s">
        <v>69</v>
      </c>
      <c r="B86" s="23"/>
      <c r="C86" s="24"/>
      <c r="D86" s="6">
        <v>0</v>
      </c>
      <c r="E86" s="6">
        <f t="shared" ref="E86:T86" si="62">SUM(E74:E85)</f>
        <v>1214875</v>
      </c>
      <c r="F86" s="6">
        <f t="shared" si="62"/>
        <v>1184747</v>
      </c>
      <c r="G86" s="6">
        <f t="shared" si="62"/>
        <v>1518923.344</v>
      </c>
      <c r="H86" s="6">
        <f t="shared" si="62"/>
        <v>1849096.9842380001</v>
      </c>
      <c r="I86" s="6">
        <f t="shared" si="62"/>
        <v>2179221.6151418253</v>
      </c>
      <c r="J86" s="6">
        <f t="shared" si="62"/>
        <v>2512912.4716497217</v>
      </c>
      <c r="K86" s="6">
        <f t="shared" si="62"/>
        <v>2853515.4225027268</v>
      </c>
      <c r="L86" s="6">
        <f t="shared" si="62"/>
        <v>2071362.1303963771</v>
      </c>
      <c r="M86" s="6">
        <f t="shared" si="62"/>
        <v>2355746.3302300368</v>
      </c>
      <c r="N86" s="6">
        <f t="shared" si="62"/>
        <v>2650478.5631273636</v>
      </c>
      <c r="O86" s="6">
        <f t="shared" si="62"/>
        <v>2957971.2184847803</v>
      </c>
      <c r="P86" s="6">
        <f t="shared" si="62"/>
        <v>3280577.3790849117</v>
      </c>
      <c r="Q86" s="6">
        <f t="shared" si="62"/>
        <v>3620622.2773441295</v>
      </c>
      <c r="R86" s="6">
        <f t="shared" si="62"/>
        <v>3980431.7732958309</v>
      </c>
      <c r="S86" s="6">
        <f t="shared" si="62"/>
        <v>4005374.6016425998</v>
      </c>
      <c r="T86" s="6">
        <f t="shared" si="62"/>
        <v>4386832.9880947443</v>
      </c>
      <c r="U86" s="6">
        <f t="shared" ref="U86:AJ86" si="63">SUM(U74:U85)</f>
        <v>4793539.7669598721</v>
      </c>
      <c r="V86" s="6">
        <f t="shared" si="63"/>
        <v>5227944.7024951335</v>
      </c>
      <c r="W86" s="6">
        <f t="shared" si="63"/>
        <v>5692605.0488189152</v>
      </c>
      <c r="X86" s="6">
        <f t="shared" si="63"/>
        <v>6190205.3661843184</v>
      </c>
      <c r="Y86" s="6">
        <f t="shared" si="63"/>
        <v>6723577.1140509369</v>
      </c>
      <c r="Z86" s="6">
        <f t="shared" si="63"/>
        <v>7295718.2622480541</v>
      </c>
      <c r="AA86" s="6">
        <f t="shared" si="63"/>
        <v>7909813.141319463</v>
      </c>
      <c r="AB86" s="6">
        <f t="shared" si="63"/>
        <v>8569252.7371723074</v>
      </c>
      <c r="AC86" s="6">
        <f t="shared" si="63"/>
        <v>9277655.6228772979</v>
      </c>
      <c r="AD86" s="6">
        <f t="shared" si="63"/>
        <v>10038889.71143271</v>
      </c>
      <c r="AE86" s="6">
        <f t="shared" si="63"/>
        <v>10857095.007130949</v>
      </c>
      <c r="AF86" s="6">
        <f t="shared" si="63"/>
        <v>11736707.52954163</v>
      </c>
      <c r="AG86" s="6">
        <f t="shared" si="63"/>
        <v>12682484.58279136</v>
      </c>
      <c r="AH86" s="6">
        <f t="shared" si="63"/>
        <v>13699531.543568643</v>
      </c>
      <c r="AI86" s="6">
        <f t="shared" si="63"/>
        <v>14793330.343944216</v>
      </c>
      <c r="AJ86" s="6">
        <f t="shared" si="63"/>
        <v>15969769.829542076</v>
      </c>
      <c r="AK86" s="6">
        <f t="shared" ref="AK86:AZ86" si="64">SUM(AK74:AK85)</f>
        <v>17235178.17972314</v>
      </c>
      <c r="AL86" s="6">
        <f t="shared" si="64"/>
        <v>18596357.5841804</v>
      </c>
      <c r="AM86" s="6">
        <f t="shared" si="64"/>
        <v>20622246.379643649</v>
      </c>
      <c r="AN86" s="6">
        <f t="shared" si="64"/>
        <v>22334833.861227017</v>
      </c>
      <c r="AO86" s="6">
        <f t="shared" si="64"/>
        <v>24029452.99531826</v>
      </c>
      <c r="AP86" s="6">
        <f t="shared" si="64"/>
        <v>25852576.274816018</v>
      </c>
      <c r="AQ86" s="6">
        <f t="shared" si="64"/>
        <v>27813989.972999811</v>
      </c>
      <c r="AR86" s="6">
        <f t="shared" si="64"/>
        <v>29924222.069410067</v>
      </c>
      <c r="AS86" s="6">
        <f t="shared" si="64"/>
        <v>32194599.139881693</v>
      </c>
      <c r="AT86" s="6">
        <f t="shared" si="64"/>
        <v>34637307.523387998</v>
      </c>
      <c r="AU86" s="6">
        <f t="shared" si="64"/>
        <v>37265555.508853301</v>
      </c>
      <c r="AV86" s="6">
        <f t="shared" si="64"/>
        <v>40093368.357576996</v>
      </c>
      <c r="AW86" s="6">
        <f t="shared" si="64"/>
        <v>43135928.057073481</v>
      </c>
      <c r="AX86" s="6">
        <f t="shared" si="64"/>
        <v>46409571.002400704</v>
      </c>
      <c r="AY86" s="6">
        <f t="shared" si="64"/>
        <v>49931876.100752674</v>
      </c>
      <c r="AZ86" s="6">
        <f t="shared" si="64"/>
        <v>53721759.570998035</v>
      </c>
      <c r="BA86" s="6">
        <f>SUM(BA74:BA85)</f>
        <v>57799576.952407904</v>
      </c>
      <c r="BB86" s="6"/>
      <c r="BC86" s="6"/>
    </row>
    <row r="87" spans="1:55" x14ac:dyDescent="0.2">
      <c r="A87" s="8" t="s">
        <v>70</v>
      </c>
      <c r="B87" s="8"/>
      <c r="C87" s="6"/>
      <c r="D87" s="6">
        <f>D86*0.33</f>
        <v>0</v>
      </c>
      <c r="E87" s="6">
        <f t="shared" ref="E87:T87" si="65">E86*0.33</f>
        <v>400908.75</v>
      </c>
      <c r="F87" s="6">
        <f t="shared" si="65"/>
        <v>390966.51</v>
      </c>
      <c r="G87" s="6">
        <f t="shared" si="65"/>
        <v>501244.70352000004</v>
      </c>
      <c r="H87" s="6">
        <f t="shared" si="65"/>
        <v>610202.00479854003</v>
      </c>
      <c r="I87" s="6">
        <f t="shared" si="65"/>
        <v>719143.13299680233</v>
      </c>
      <c r="J87" s="6">
        <f t="shared" si="65"/>
        <v>829261.11564440816</v>
      </c>
      <c r="K87" s="6">
        <f t="shared" si="65"/>
        <v>941660.0894258999</v>
      </c>
      <c r="L87" s="6">
        <f t="shared" si="65"/>
        <v>683549.50303080445</v>
      </c>
      <c r="M87" s="6">
        <f t="shared" si="65"/>
        <v>777396.28897591215</v>
      </c>
      <c r="N87" s="6">
        <f t="shared" si="65"/>
        <v>874657.92583203001</v>
      </c>
      <c r="O87" s="6">
        <f t="shared" si="65"/>
        <v>976130.50209997757</v>
      </c>
      <c r="P87" s="6">
        <f t="shared" si="65"/>
        <v>1082590.5350980209</v>
      </c>
      <c r="Q87" s="6">
        <f t="shared" si="65"/>
        <v>1194805.3515235628</v>
      </c>
      <c r="R87" s="6">
        <f t="shared" si="65"/>
        <v>1313542.4851876243</v>
      </c>
      <c r="S87" s="6">
        <f t="shared" si="65"/>
        <v>1321773.6185420579</v>
      </c>
      <c r="T87" s="6">
        <f t="shared" si="65"/>
        <v>1447654.8860712657</v>
      </c>
      <c r="U87" s="6">
        <f t="shared" ref="U87:AJ87" si="66">U86*0.33</f>
        <v>1581868.1230967578</v>
      </c>
      <c r="V87" s="6">
        <f t="shared" si="66"/>
        <v>1725221.7518233941</v>
      </c>
      <c r="W87" s="6">
        <f t="shared" si="66"/>
        <v>1878559.666110242</v>
      </c>
      <c r="X87" s="6">
        <f t="shared" si="66"/>
        <v>2042767.7708408253</v>
      </c>
      <c r="Y87" s="6">
        <f t="shared" si="66"/>
        <v>2218780.4476368092</v>
      </c>
      <c r="Z87" s="6">
        <f t="shared" si="66"/>
        <v>2407587.026541858</v>
      </c>
      <c r="AA87" s="6">
        <f t="shared" si="66"/>
        <v>2610238.3366354229</v>
      </c>
      <c r="AB87" s="6">
        <f t="shared" si="66"/>
        <v>2827853.4032668616</v>
      </c>
      <c r="AC87" s="6">
        <f t="shared" si="66"/>
        <v>3061626.3555495082</v>
      </c>
      <c r="AD87" s="6">
        <f t="shared" si="66"/>
        <v>3312833.6047727945</v>
      </c>
      <c r="AE87" s="6">
        <f t="shared" si="66"/>
        <v>3582841.3523532134</v>
      </c>
      <c r="AF87" s="6">
        <f t="shared" si="66"/>
        <v>3873113.4847487384</v>
      </c>
      <c r="AG87" s="6">
        <f t="shared" si="66"/>
        <v>4185219.9123211489</v>
      </c>
      <c r="AH87" s="6">
        <f t="shared" si="66"/>
        <v>4520845.4093776522</v>
      </c>
      <c r="AI87" s="6">
        <f t="shared" si="66"/>
        <v>4881799.013501592</v>
      </c>
      <c r="AJ87" s="6">
        <f t="shared" si="66"/>
        <v>5270024.0437488854</v>
      </c>
      <c r="AK87" s="6">
        <f t="shared" ref="AK87:AZ87" si="67">AK86*0.33</f>
        <v>5687608.7993086362</v>
      </c>
      <c r="AL87" s="6">
        <f t="shared" si="67"/>
        <v>6136798.0027795322</v>
      </c>
      <c r="AM87" s="6">
        <f t="shared" si="67"/>
        <v>6805341.3052824046</v>
      </c>
      <c r="AN87" s="6">
        <f t="shared" si="67"/>
        <v>7370495.1742049158</v>
      </c>
      <c r="AO87" s="6">
        <f t="shared" si="67"/>
        <v>7929719.4884550264</v>
      </c>
      <c r="AP87" s="6">
        <f t="shared" si="67"/>
        <v>8531350.1706892867</v>
      </c>
      <c r="AQ87" s="6">
        <f t="shared" si="67"/>
        <v>9178616.6910899375</v>
      </c>
      <c r="AR87" s="6">
        <f t="shared" si="67"/>
        <v>9874993.2829053234</v>
      </c>
      <c r="AS87" s="6">
        <f t="shared" si="67"/>
        <v>10624217.716160959</v>
      </c>
      <c r="AT87" s="6">
        <f t="shared" si="67"/>
        <v>11430311.482718039</v>
      </c>
      <c r="AU87" s="6">
        <f t="shared" si="67"/>
        <v>12297633.31792159</v>
      </c>
      <c r="AV87" s="6">
        <f t="shared" si="67"/>
        <v>13230811.55800041</v>
      </c>
      <c r="AW87" s="6">
        <f t="shared" si="67"/>
        <v>14234856.25883425</v>
      </c>
      <c r="AX87" s="6">
        <f t="shared" si="67"/>
        <v>15315158.430792233</v>
      </c>
      <c r="AY87" s="6">
        <f t="shared" si="67"/>
        <v>16477519.113248384</v>
      </c>
      <c r="AZ87" s="6">
        <f t="shared" si="67"/>
        <v>17728180.658429351</v>
      </c>
      <c r="BA87" s="6">
        <f>BA86*0.33</f>
        <v>19073860.394294608</v>
      </c>
      <c r="BB87" s="6"/>
      <c r="BC87" s="6"/>
    </row>
    <row r="88" spans="1:55" x14ac:dyDescent="0.2">
      <c r="A88" s="23" t="s">
        <v>71</v>
      </c>
      <c r="B88" s="23"/>
      <c r="C88" s="6"/>
      <c r="D88" s="6">
        <f>D86-D87</f>
        <v>0</v>
      </c>
      <c r="E88" s="6">
        <f t="shared" ref="E88:T88" si="68">E86-E87</f>
        <v>813966.25</v>
      </c>
      <c r="F88" s="6">
        <f t="shared" si="68"/>
        <v>793780.49</v>
      </c>
      <c r="G88" s="6">
        <f t="shared" si="68"/>
        <v>1017678.6404800001</v>
      </c>
      <c r="H88" s="6">
        <f t="shared" si="68"/>
        <v>1238894.9794394602</v>
      </c>
      <c r="I88" s="6">
        <f t="shared" si="68"/>
        <v>1460078.4821450231</v>
      </c>
      <c r="J88" s="6">
        <f t="shared" si="68"/>
        <v>1683651.3560053136</v>
      </c>
      <c r="K88" s="6">
        <f t="shared" si="68"/>
        <v>1911855.3330768268</v>
      </c>
      <c r="L88" s="6">
        <f t="shared" si="68"/>
        <v>1387812.6273655726</v>
      </c>
      <c r="M88" s="6">
        <f t="shared" si="68"/>
        <v>1578350.0412541246</v>
      </c>
      <c r="N88" s="6">
        <f t="shared" si="68"/>
        <v>1775820.6372953337</v>
      </c>
      <c r="O88" s="6">
        <f t="shared" si="68"/>
        <v>1981840.7163848027</v>
      </c>
      <c r="P88" s="6">
        <f t="shared" si="68"/>
        <v>2197986.8439868907</v>
      </c>
      <c r="Q88" s="6">
        <f t="shared" si="68"/>
        <v>2425816.9258205667</v>
      </c>
      <c r="R88" s="6">
        <f t="shared" si="68"/>
        <v>2666889.2881082064</v>
      </c>
      <c r="S88" s="6">
        <f t="shared" si="68"/>
        <v>2683600.9831005419</v>
      </c>
      <c r="T88" s="6">
        <f t="shared" si="68"/>
        <v>2939178.1020234786</v>
      </c>
      <c r="U88" s="6">
        <f t="shared" ref="U88:AJ88" si="69">U86-U87</f>
        <v>3211671.6438631145</v>
      </c>
      <c r="V88" s="6">
        <f t="shared" si="69"/>
        <v>3502722.9506717394</v>
      </c>
      <c r="W88" s="6">
        <f t="shared" si="69"/>
        <v>3814045.3827086734</v>
      </c>
      <c r="X88" s="6">
        <f t="shared" si="69"/>
        <v>4147437.5953434929</v>
      </c>
      <c r="Y88" s="6">
        <f t="shared" si="69"/>
        <v>4504796.6664141277</v>
      </c>
      <c r="Z88" s="6">
        <f t="shared" si="69"/>
        <v>4888131.2357061962</v>
      </c>
      <c r="AA88" s="6">
        <f t="shared" si="69"/>
        <v>5299574.8046840401</v>
      </c>
      <c r="AB88" s="6">
        <f t="shared" si="69"/>
        <v>5741399.3339054454</v>
      </c>
      <c r="AC88" s="6">
        <f t="shared" si="69"/>
        <v>6216029.2673277892</v>
      </c>
      <c r="AD88" s="6">
        <f t="shared" si="69"/>
        <v>6726056.1066599153</v>
      </c>
      <c r="AE88" s="6">
        <f t="shared" si="69"/>
        <v>7274253.6547777355</v>
      </c>
      <c r="AF88" s="6">
        <f t="shared" si="69"/>
        <v>7863594.0447928924</v>
      </c>
      <c r="AG88" s="6">
        <f t="shared" si="69"/>
        <v>8497264.6704702117</v>
      </c>
      <c r="AH88" s="6">
        <f t="shared" si="69"/>
        <v>9178686.1341909915</v>
      </c>
      <c r="AI88" s="6">
        <f t="shared" si="69"/>
        <v>9911531.3304426242</v>
      </c>
      <c r="AJ88" s="6">
        <f t="shared" si="69"/>
        <v>10699745.785793191</v>
      </c>
      <c r="AK88" s="6">
        <f t="shared" ref="AK88:AZ88" si="70">AK86-AK87</f>
        <v>11547569.380414505</v>
      </c>
      <c r="AL88" s="6">
        <f t="shared" si="70"/>
        <v>12459559.581400868</v>
      </c>
      <c r="AM88" s="6">
        <f t="shared" si="70"/>
        <v>13816905.074361244</v>
      </c>
      <c r="AN88" s="6">
        <f t="shared" si="70"/>
        <v>14964338.687022101</v>
      </c>
      <c r="AO88" s="6">
        <f t="shared" si="70"/>
        <v>16099733.506863233</v>
      </c>
      <c r="AP88" s="6">
        <f t="shared" si="70"/>
        <v>17321226.104126729</v>
      </c>
      <c r="AQ88" s="6">
        <f t="shared" si="70"/>
        <v>18635373.281909876</v>
      </c>
      <c r="AR88" s="6">
        <f t="shared" si="70"/>
        <v>20049228.786504745</v>
      </c>
      <c r="AS88" s="6">
        <f t="shared" si="70"/>
        <v>21570381.423720732</v>
      </c>
      <c r="AT88" s="6">
        <f t="shared" si="70"/>
        <v>23206996.040669959</v>
      </c>
      <c r="AU88" s="6">
        <f t="shared" si="70"/>
        <v>24967922.190931711</v>
      </c>
      <c r="AV88" s="6">
        <f t="shared" si="70"/>
        <v>26862556.799576588</v>
      </c>
      <c r="AW88" s="6">
        <f t="shared" si="70"/>
        <v>28901071.798239231</v>
      </c>
      <c r="AX88" s="6">
        <f t="shared" si="70"/>
        <v>31094412.571608469</v>
      </c>
      <c r="AY88" s="6">
        <f t="shared" si="70"/>
        <v>33454356.987504289</v>
      </c>
      <c r="AZ88" s="6">
        <f t="shared" si="70"/>
        <v>35993578.912568688</v>
      </c>
      <c r="BA88" s="6">
        <f>BA86-BA87</f>
        <v>38725716.558113292</v>
      </c>
      <c r="BB88" s="6"/>
      <c r="BC88" s="6"/>
    </row>
    <row r="89" spans="1:55" x14ac:dyDescent="0.2">
      <c r="A89" s="8"/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</row>
    <row r="90" spans="1:55" x14ac:dyDescent="0.2">
      <c r="A90" s="28" t="s">
        <v>72</v>
      </c>
      <c r="B90" s="23"/>
      <c r="C90" s="6"/>
      <c r="D90" s="6"/>
      <c r="E90" s="6">
        <f>+B15</f>
        <v>888888.88888888888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</row>
    <row r="91" spans="1:55" x14ac:dyDescent="0.2">
      <c r="A91" s="23" t="s">
        <v>73</v>
      </c>
      <c r="B91" s="23"/>
      <c r="C91" s="6"/>
      <c r="D91" s="6">
        <f>D88-SUM(D83:D85)</f>
        <v>0</v>
      </c>
      <c r="E91" s="6">
        <f t="shared" ref="E91:T91" si="71">E88-SUM(E83:E85)</f>
        <v>964591.25</v>
      </c>
      <c r="F91" s="6">
        <f t="shared" si="71"/>
        <v>2380405.4900000002</v>
      </c>
      <c r="G91" s="6">
        <f t="shared" si="71"/>
        <v>2474572.3904800001</v>
      </c>
      <c r="H91" s="6">
        <f t="shared" si="71"/>
        <v>2585175.9169394602</v>
      </c>
      <c r="I91" s="6">
        <f t="shared" si="71"/>
        <v>2712031.4040200231</v>
      </c>
      <c r="J91" s="6">
        <f t="shared" si="71"/>
        <v>2855149.0520990635</v>
      </c>
      <c r="K91" s="6">
        <f t="shared" si="71"/>
        <v>3014717.3160065142</v>
      </c>
      <c r="L91" s="6">
        <f t="shared" si="71"/>
        <v>2432110.3599808067</v>
      </c>
      <c r="M91" s="6">
        <f t="shared" si="71"/>
        <v>2572666.6563895736</v>
      </c>
      <c r="N91" s="6">
        <f t="shared" si="71"/>
        <v>2727471.9483317155</v>
      </c>
      <c r="O91" s="6">
        <f t="shared" si="71"/>
        <v>2897063.3001198522</v>
      </c>
      <c r="P91" s="6">
        <f t="shared" si="71"/>
        <v>3082098.1125803953</v>
      </c>
      <c r="Q91" s="6">
        <f t="shared" si="71"/>
        <v>3283351.3693018868</v>
      </c>
      <c r="R91" s="6">
        <f t="shared" si="71"/>
        <v>3501714.4437264856</v>
      </c>
      <c r="S91" s="6">
        <f t="shared" si="71"/>
        <v>3499016.1561693205</v>
      </c>
      <c r="T91" s="6">
        <f t="shared" si="71"/>
        <v>3737998.410845858</v>
      </c>
      <c r="U91" s="6">
        <f t="shared" ref="U91:AJ91" si="72">U88-SUM(U83:U85)</f>
        <v>3996299.5769046624</v>
      </c>
      <c r="V91" s="6">
        <f t="shared" si="72"/>
        <v>4275209.2972453283</v>
      </c>
      <c r="W91" s="6">
        <f t="shared" si="72"/>
        <v>4576141.12043567</v>
      </c>
      <c r="X91" s="6">
        <f t="shared" si="72"/>
        <v>4900638.0812369408</v>
      </c>
      <c r="Y91" s="6">
        <f t="shared" si="72"/>
        <v>5250379.2773665097</v>
      </c>
      <c r="Z91" s="6">
        <f t="shared" si="72"/>
        <v>5627187.4331643768</v>
      </c>
      <c r="AA91" s="6">
        <f t="shared" si="72"/>
        <v>6033037.4528572839</v>
      </c>
      <c r="AB91" s="6">
        <f t="shared" si="72"/>
        <v>6470065.977153114</v>
      </c>
      <c r="AC91" s="6">
        <f t="shared" si="72"/>
        <v>6940581.9671586771</v>
      </c>
      <c r="AD91" s="6">
        <f t="shared" si="72"/>
        <v>7447078.3492795033</v>
      </c>
      <c r="AE91" s="6">
        <f t="shared" si="72"/>
        <v>7992244.7639913857</v>
      </c>
      <c r="AF91" s="6">
        <f t="shared" si="72"/>
        <v>8578981.4703127947</v>
      </c>
      <c r="AG91" s="6">
        <f t="shared" si="72"/>
        <v>9210414.4665815979</v>
      </c>
      <c r="AH91" s="6">
        <f t="shared" si="72"/>
        <v>9889911.8968631923</v>
      </c>
      <c r="AI91" s="6">
        <f t="shared" si="72"/>
        <v>10621101.821093766</v>
      </c>
      <c r="AJ91" s="6">
        <f t="shared" si="72"/>
        <v>11407891.435988454</v>
      </c>
      <c r="AK91" s="6">
        <f t="shared" ref="AK91:AZ91" si="73">AK88-SUM(AK83:AK85)</f>
        <v>12254487.842908094</v>
      </c>
      <c r="AL91" s="6">
        <f t="shared" si="73"/>
        <v>13165420.468365271</v>
      </c>
      <c r="AM91" s="6">
        <f t="shared" si="73"/>
        <v>13960229.002741354</v>
      </c>
      <c r="AN91" s="6">
        <f t="shared" si="73"/>
        <v>14969500.733159525</v>
      </c>
      <c r="AO91" s="6">
        <f t="shared" si="73"/>
        <v>16104216.157392941</v>
      </c>
      <c r="AP91" s="6">
        <f t="shared" si="73"/>
        <v>17325121.77725859</v>
      </c>
      <c r="AQ91" s="6">
        <f t="shared" si="73"/>
        <v>18638761.482235402</v>
      </c>
      <c r="AR91" s="6">
        <f t="shared" si="73"/>
        <v>20052177.947128545</v>
      </c>
      <c r="AS91" s="6">
        <f t="shared" si="73"/>
        <v>21572950.481563356</v>
      </c>
      <c r="AT91" s="6">
        <f t="shared" si="73"/>
        <v>23209235.784017343</v>
      </c>
      <c r="AU91" s="6">
        <f t="shared" si="73"/>
        <v>24969876.412540026</v>
      </c>
      <c r="AV91" s="6">
        <f t="shared" si="73"/>
        <v>26864263.283730388</v>
      </c>
      <c r="AW91" s="6">
        <f t="shared" si="73"/>
        <v>28902563.165978022</v>
      </c>
      <c r="AX91" s="6">
        <f t="shared" si="73"/>
        <v>31095717.004773695</v>
      </c>
      <c r="AY91" s="6">
        <f t="shared" si="73"/>
        <v>33455498.84922326</v>
      </c>
      <c r="AZ91" s="6">
        <f t="shared" si="73"/>
        <v>35994579.279205494</v>
      </c>
      <c r="BA91" s="6">
        <f>BA88-SUM(BA83:BA85)</f>
        <v>38726593.675512679</v>
      </c>
      <c r="BB91" s="6"/>
      <c r="BC91" s="6"/>
    </row>
    <row r="92" spans="1:5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</row>
    <row r="93" spans="1:55" x14ac:dyDescent="0.2">
      <c r="A93" s="6"/>
      <c r="B93" s="14" t="s">
        <v>74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</row>
    <row r="94" spans="1:55" x14ac:dyDescent="0.2">
      <c r="A94" s="23" t="s">
        <v>75</v>
      </c>
      <c r="B94" s="6">
        <f>SUM(C94:E94)</f>
        <v>-29500000</v>
      </c>
      <c r="C94" s="6">
        <v>0</v>
      </c>
      <c r="D94" s="6">
        <v>-10750000</v>
      </c>
      <c r="E94" s="6">
        <v>-18750000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</row>
    <row r="95" spans="1:55" x14ac:dyDescent="0.2">
      <c r="A95" s="25" t="s">
        <v>76</v>
      </c>
      <c r="B95" s="6">
        <v>0</v>
      </c>
      <c r="C95" s="6">
        <f>C94+C91</f>
        <v>0</v>
      </c>
      <c r="D95" s="6">
        <f t="shared" ref="D95:S95" si="74">D94+D91</f>
        <v>-10750000</v>
      </c>
      <c r="E95" s="6">
        <f t="shared" si="74"/>
        <v>-17785408.75</v>
      </c>
      <c r="F95" s="6">
        <f t="shared" si="74"/>
        <v>2380405.4900000002</v>
      </c>
      <c r="G95" s="6">
        <f t="shared" si="74"/>
        <v>2474572.3904800001</v>
      </c>
      <c r="H95" s="6">
        <f t="shared" si="74"/>
        <v>2585175.9169394602</v>
      </c>
      <c r="I95" s="6">
        <f t="shared" si="74"/>
        <v>2712031.4040200231</v>
      </c>
      <c r="J95" s="6">
        <f t="shared" si="74"/>
        <v>2855149.0520990635</v>
      </c>
      <c r="K95" s="6">
        <f t="shared" si="74"/>
        <v>3014717.3160065142</v>
      </c>
      <c r="L95" s="6">
        <f t="shared" si="74"/>
        <v>2432110.3599808067</v>
      </c>
      <c r="M95" s="6">
        <f t="shared" si="74"/>
        <v>2572666.6563895736</v>
      </c>
      <c r="N95" s="6">
        <f t="shared" si="74"/>
        <v>2727471.9483317155</v>
      </c>
      <c r="O95" s="6">
        <f t="shared" si="74"/>
        <v>2897063.3001198522</v>
      </c>
      <c r="P95" s="6">
        <f t="shared" si="74"/>
        <v>3082098.1125803953</v>
      </c>
      <c r="Q95" s="6">
        <f t="shared" si="74"/>
        <v>3283351.3693018868</v>
      </c>
      <c r="R95" s="6">
        <f t="shared" si="74"/>
        <v>3501714.4437264856</v>
      </c>
      <c r="S95" s="6">
        <f t="shared" si="74"/>
        <v>3499016.1561693205</v>
      </c>
      <c r="T95" s="6">
        <f t="shared" ref="T95:AI95" si="75">T94+T91</f>
        <v>3737998.410845858</v>
      </c>
      <c r="U95" s="6">
        <f t="shared" si="75"/>
        <v>3996299.5769046624</v>
      </c>
      <c r="V95" s="6">
        <f t="shared" si="75"/>
        <v>4275209.2972453283</v>
      </c>
      <c r="W95" s="6">
        <f t="shared" si="75"/>
        <v>4576141.12043567</v>
      </c>
      <c r="X95" s="6">
        <f t="shared" si="75"/>
        <v>4900638.0812369408</v>
      </c>
      <c r="Y95" s="6">
        <f t="shared" si="75"/>
        <v>5250379.2773665097</v>
      </c>
      <c r="Z95" s="6">
        <f t="shared" si="75"/>
        <v>5627187.4331643768</v>
      </c>
      <c r="AA95" s="6">
        <f t="shared" si="75"/>
        <v>6033037.4528572839</v>
      </c>
      <c r="AB95" s="6">
        <f t="shared" si="75"/>
        <v>6470065.977153114</v>
      </c>
      <c r="AC95" s="6">
        <f t="shared" si="75"/>
        <v>6940581.9671586771</v>
      </c>
      <c r="AD95" s="6">
        <f t="shared" si="75"/>
        <v>7447078.3492795033</v>
      </c>
      <c r="AE95" s="6">
        <f t="shared" si="75"/>
        <v>7992244.7639913857</v>
      </c>
      <c r="AF95" s="6">
        <f t="shared" si="75"/>
        <v>8578981.4703127947</v>
      </c>
      <c r="AG95" s="6">
        <f t="shared" si="75"/>
        <v>9210414.4665815979</v>
      </c>
      <c r="AH95" s="6">
        <f t="shared" si="75"/>
        <v>9889911.8968631923</v>
      </c>
      <c r="AI95" s="6">
        <f t="shared" si="75"/>
        <v>10621101.821093766</v>
      </c>
      <c r="AJ95" s="6">
        <f t="shared" ref="AJ95:AY95" si="76">AJ94+AJ91</f>
        <v>11407891.435988454</v>
      </c>
      <c r="AK95" s="6">
        <f t="shared" si="76"/>
        <v>12254487.842908094</v>
      </c>
      <c r="AL95" s="6">
        <f t="shared" si="76"/>
        <v>13165420.468365271</v>
      </c>
      <c r="AM95" s="6">
        <f t="shared" si="76"/>
        <v>13960229.002741354</v>
      </c>
      <c r="AN95" s="6">
        <f t="shared" si="76"/>
        <v>14969500.733159525</v>
      </c>
      <c r="AO95" s="6">
        <f t="shared" si="76"/>
        <v>16104216.157392941</v>
      </c>
      <c r="AP95" s="6">
        <f t="shared" si="76"/>
        <v>17325121.77725859</v>
      </c>
      <c r="AQ95" s="6">
        <f t="shared" si="76"/>
        <v>18638761.482235402</v>
      </c>
      <c r="AR95" s="6">
        <f t="shared" si="76"/>
        <v>20052177.947128545</v>
      </c>
      <c r="AS95" s="6">
        <f t="shared" si="76"/>
        <v>21572950.481563356</v>
      </c>
      <c r="AT95" s="6">
        <f t="shared" si="76"/>
        <v>23209235.784017343</v>
      </c>
      <c r="AU95" s="6">
        <f t="shared" si="76"/>
        <v>24969876.412540026</v>
      </c>
      <c r="AV95" s="6">
        <f t="shared" si="76"/>
        <v>26864263.283730388</v>
      </c>
      <c r="AW95" s="6">
        <f t="shared" si="76"/>
        <v>28902563.165978022</v>
      </c>
      <c r="AX95" s="6">
        <f t="shared" si="76"/>
        <v>31095717.004773695</v>
      </c>
      <c r="AY95" s="6">
        <f t="shared" si="76"/>
        <v>33455498.84922326</v>
      </c>
      <c r="AZ95" s="6">
        <f>AZ94+AZ91</f>
        <v>35994579.279205494</v>
      </c>
      <c r="BA95" s="6">
        <f>(BA94+BA91)+(BA91/I9)</f>
        <v>552956060.86997116</v>
      </c>
      <c r="BB95" s="6"/>
    </row>
    <row r="96" spans="1:5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</row>
    <row r="97" spans="1:55" x14ac:dyDescent="0.2">
      <c r="A97" s="24" t="s">
        <v>77</v>
      </c>
      <c r="B97" s="34">
        <f>IRR(B95:BA95,0.1)</f>
        <v>0.1261314936064446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</row>
    <row r="98" spans="1:55" x14ac:dyDescent="0.2">
      <c r="A98" s="24" t="s">
        <v>78</v>
      </c>
      <c r="B98" s="35">
        <f>NPV(B97,C95:BA95)+B95</f>
        <v>-5.7890735312182566E-8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</row>
    <row r="99" spans="1:55" x14ac:dyDescent="0.2">
      <c r="A99" s="24"/>
      <c r="B99" s="24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7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</row>
    <row r="100" spans="1:5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</row>
    <row r="101" spans="1:55" x14ac:dyDescent="0.2">
      <c r="A101" s="25"/>
      <c r="B101" s="2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</row>
    <row r="102" spans="1:55" x14ac:dyDescent="0.2">
      <c r="A102" s="7"/>
      <c r="B102" s="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</row>
    <row r="103" spans="1:5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</row>
    <row r="104" spans="1:5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</row>
    <row r="105" spans="1:5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6"/>
      <c r="BC105" s="6"/>
    </row>
    <row r="106" spans="1:5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6"/>
      <c r="BC106" s="6"/>
    </row>
  </sheetData>
  <customSheetViews>
    <customSheetView guid="{45E2C907-21A9-4DE3-B8AC-8D4C138C71A5}" scale="130" showGridLines="0" fitToPage="1" printArea="1" hiddenRows="1" hiddenColumns="1">
      <selection activeCell="A6" sqref="A6"/>
      <rowBreaks count="2" manualBreakCount="2">
        <brk id="39" max="16383" man="1"/>
        <brk id="70" max="16383" man="1"/>
      </rowBreaks>
      <pageMargins left="1" right="1" top="1" bottom="1" header="0.3" footer="0.3"/>
      <pageSetup orientation="landscape" r:id="rId1"/>
      <headerFooter alignWithMargins="0">
        <oddFooter>&amp;L&amp;D&amp;T&amp;C&amp;P&amp;N&amp;R&amp;Z&amp;F</oddFooter>
      </headerFooter>
    </customSheetView>
    <customSheetView guid="{4845B082-CC6D-40B1-A19C-F7A3857AE7CF}" scale="130" showPageBreaks="1" showGridLines="0" fitToPage="1" printArea="1">
      <selection activeCell="A6" sqref="A6"/>
      <rowBreaks count="2" manualBreakCount="2">
        <brk id="39" max="16383" man="1"/>
        <brk id="70" max="16383" man="1"/>
      </rowBreaks>
      <pageMargins left="1" right="1" top="1" bottom="1" header="0.3" footer="0.3"/>
      <pageSetup orientation="landscape" r:id="rId2"/>
      <headerFooter alignWithMargins="0">
        <oddFooter>&amp;L&amp;D&amp;T&amp;C&amp;P&amp;N&amp;R&amp;Z&amp;F</oddFooter>
      </headerFooter>
    </customSheetView>
    <customSheetView guid="{1C4F1D44-A361-480C-ADF0-4C9869BE30FD}" scale="130" showGridLines="0" fitToPage="1">
      <selection activeCell="A6" sqref="A6"/>
      <rowBreaks count="2" manualBreakCount="2">
        <brk id="39" max="16383" man="1"/>
        <brk id="70" max="16383" man="1"/>
      </rowBreaks>
      <pageMargins left="1" right="1" top="1" bottom="1" header="0.3" footer="0.3"/>
      <pageSetup orientation="landscape" r:id="rId3"/>
      <headerFooter alignWithMargins="0">
        <oddFooter>&amp;L&amp;D&amp;T&amp;C&amp;P&amp;N&amp;R&amp;Z&amp;F</oddFooter>
      </headerFooter>
    </customSheetView>
  </customSheetViews>
  <phoneticPr fontId="10" type="noConversion"/>
  <pageMargins left="1" right="1" top="1" bottom="1" header="0.3" footer="0.3"/>
  <pageSetup orientation="landscape" r:id="rId4"/>
  <headerFooter alignWithMargins="0">
    <oddFooter>&amp;L&amp;D&amp;T&amp;C&amp;P&amp;N&amp;R&amp;Z&amp;F</oddFooter>
  </headerFooter>
  <rowBreaks count="2" manualBreakCount="2">
    <brk id="39" max="16383" man="1"/>
    <brk id="70" max="16383" man="1"/>
  </rowBreaks>
  <cellWatches>
    <cellWatch r="B97"/>
  </cellWatch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129"/>
  <sheetViews>
    <sheetView showGridLines="0" zoomScale="130" zoomScaleNormal="130" workbookViewId="0">
      <selection activeCell="CK4" sqref="CK4"/>
    </sheetView>
  </sheetViews>
  <sheetFormatPr defaultRowHeight="12.75" x14ac:dyDescent="0.2"/>
  <cols>
    <col min="1" max="1" width="38.7109375" customWidth="1"/>
    <col min="2" max="2" width="10.140625" hidden="1" customWidth="1"/>
    <col min="3" max="3" width="9.42578125" hidden="1" customWidth="1"/>
    <col min="4" max="4" width="10.7109375" hidden="1" customWidth="1"/>
    <col min="5" max="5" width="9.85546875" hidden="1" customWidth="1"/>
    <col min="6" max="9" width="9.5703125" hidden="1" customWidth="1"/>
    <col min="10" max="16" width="9.140625" hidden="1" customWidth="1"/>
    <col min="17" max="17" width="9.5703125" hidden="1" customWidth="1"/>
    <col min="18" max="23" width="9.28515625" hidden="1" customWidth="1"/>
    <col min="24" max="24" width="9.28515625" customWidth="1"/>
    <col min="25" max="26" width="9.28515625" hidden="1" customWidth="1"/>
    <col min="27" max="45" width="10.140625" hidden="1" customWidth="1"/>
    <col min="46" max="53" width="11.42578125" hidden="1" customWidth="1"/>
    <col min="54" max="84" width="9.140625" hidden="1" customWidth="1"/>
    <col min="85" max="87" width="0" hidden="1" customWidth="1"/>
  </cols>
  <sheetData>
    <row r="1" spans="1:256" ht="18.75" x14ac:dyDescent="0.3">
      <c r="A1" s="102" t="s">
        <v>0</v>
      </c>
      <c r="B1" s="1"/>
      <c r="C1" s="2"/>
      <c r="E1" s="3"/>
      <c r="F1" s="2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256" s="61" customFormat="1" ht="15.75" x14ac:dyDescent="0.25">
      <c r="A2" s="84" t="s">
        <v>1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</row>
    <row r="3" spans="1:256" x14ac:dyDescent="0.2">
      <c r="A3" s="88" t="s">
        <v>79</v>
      </c>
      <c r="B3" s="2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</row>
    <row r="4" spans="1:256" x14ac:dyDescent="0.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</row>
    <row r="5" spans="1:256" x14ac:dyDescent="0.2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</row>
    <row r="6" spans="1:256" x14ac:dyDescent="0.2">
      <c r="A6" s="23" t="s">
        <v>80</v>
      </c>
      <c r="B6" s="36" t="s">
        <v>42</v>
      </c>
      <c r="C6" s="37">
        <v>1995</v>
      </c>
      <c r="D6" s="37">
        <v>1996</v>
      </c>
      <c r="E6" s="38">
        <v>1997</v>
      </c>
      <c r="F6" s="38">
        <f t="shared" ref="F6:U6" si="0">E6+1</f>
        <v>1998</v>
      </c>
      <c r="G6" s="38">
        <f t="shared" si="0"/>
        <v>1999</v>
      </c>
      <c r="H6" s="38">
        <f t="shared" si="0"/>
        <v>2000</v>
      </c>
      <c r="I6" s="38">
        <f t="shared" si="0"/>
        <v>2001</v>
      </c>
      <c r="J6" s="38">
        <f t="shared" si="0"/>
        <v>2002</v>
      </c>
      <c r="K6" s="38">
        <f t="shared" si="0"/>
        <v>2003</v>
      </c>
      <c r="L6" s="38">
        <f t="shared" si="0"/>
        <v>2004</v>
      </c>
      <c r="M6" s="38">
        <f t="shared" si="0"/>
        <v>2005</v>
      </c>
      <c r="N6" s="38">
        <f t="shared" si="0"/>
        <v>2006</v>
      </c>
      <c r="O6" s="38">
        <f t="shared" si="0"/>
        <v>2007</v>
      </c>
      <c r="P6" s="38">
        <f t="shared" si="0"/>
        <v>2008</v>
      </c>
      <c r="Q6" s="38">
        <f t="shared" si="0"/>
        <v>2009</v>
      </c>
      <c r="R6" s="38">
        <f t="shared" si="0"/>
        <v>2010</v>
      </c>
      <c r="S6" s="38">
        <f t="shared" si="0"/>
        <v>2011</v>
      </c>
      <c r="T6" s="38">
        <f t="shared" si="0"/>
        <v>2012</v>
      </c>
      <c r="U6" s="38">
        <f t="shared" si="0"/>
        <v>2013</v>
      </c>
      <c r="V6" s="38">
        <f t="shared" ref="V6:AK6" si="1">U6+1</f>
        <v>2014</v>
      </c>
      <c r="W6" s="38">
        <f t="shared" si="1"/>
        <v>2015</v>
      </c>
      <c r="X6" s="38">
        <f t="shared" si="1"/>
        <v>2016</v>
      </c>
      <c r="Y6" s="38">
        <f t="shared" si="1"/>
        <v>2017</v>
      </c>
      <c r="Z6" s="38">
        <f t="shared" si="1"/>
        <v>2018</v>
      </c>
      <c r="AA6" s="38">
        <f t="shared" si="1"/>
        <v>2019</v>
      </c>
      <c r="AB6" s="38">
        <f t="shared" si="1"/>
        <v>2020</v>
      </c>
      <c r="AC6" s="38">
        <f t="shared" si="1"/>
        <v>2021</v>
      </c>
      <c r="AD6" s="38">
        <f t="shared" si="1"/>
        <v>2022</v>
      </c>
      <c r="AE6" s="38">
        <f t="shared" si="1"/>
        <v>2023</v>
      </c>
      <c r="AF6" s="38">
        <f t="shared" si="1"/>
        <v>2024</v>
      </c>
      <c r="AG6" s="38">
        <f t="shared" si="1"/>
        <v>2025</v>
      </c>
      <c r="AH6" s="38">
        <f t="shared" si="1"/>
        <v>2026</v>
      </c>
      <c r="AI6" s="38">
        <f t="shared" si="1"/>
        <v>2027</v>
      </c>
      <c r="AJ6" s="38">
        <f t="shared" si="1"/>
        <v>2028</v>
      </c>
      <c r="AK6" s="38">
        <f t="shared" si="1"/>
        <v>2029</v>
      </c>
      <c r="AL6" s="38">
        <f t="shared" ref="AL6:BA6" si="2">AK6+1</f>
        <v>2030</v>
      </c>
      <c r="AM6" s="38">
        <f t="shared" si="2"/>
        <v>2031</v>
      </c>
      <c r="AN6" s="38">
        <f t="shared" si="2"/>
        <v>2032</v>
      </c>
      <c r="AO6" s="38">
        <f t="shared" si="2"/>
        <v>2033</v>
      </c>
      <c r="AP6" s="38">
        <f t="shared" si="2"/>
        <v>2034</v>
      </c>
      <c r="AQ6" s="38">
        <f t="shared" si="2"/>
        <v>2035</v>
      </c>
      <c r="AR6" s="38">
        <f t="shared" si="2"/>
        <v>2036</v>
      </c>
      <c r="AS6" s="38">
        <f t="shared" si="2"/>
        <v>2037</v>
      </c>
      <c r="AT6" s="38">
        <f t="shared" si="2"/>
        <v>2038</v>
      </c>
      <c r="AU6" s="38">
        <f t="shared" si="2"/>
        <v>2039</v>
      </c>
      <c r="AV6" s="38">
        <f t="shared" si="2"/>
        <v>2040</v>
      </c>
      <c r="AW6" s="38">
        <f t="shared" si="2"/>
        <v>2041</v>
      </c>
      <c r="AX6" s="38">
        <f t="shared" si="2"/>
        <v>2042</v>
      </c>
      <c r="AY6" s="38">
        <f t="shared" si="2"/>
        <v>2043</v>
      </c>
      <c r="AZ6" s="38">
        <f t="shared" si="2"/>
        <v>2044</v>
      </c>
      <c r="BA6" s="38">
        <f t="shared" si="2"/>
        <v>2045</v>
      </c>
      <c r="BB6" s="6"/>
      <c r="BC6" s="6"/>
    </row>
    <row r="7" spans="1:256" x14ac:dyDescent="0.2">
      <c r="A7" s="6"/>
      <c r="B7" s="6"/>
      <c r="C7" s="6"/>
      <c r="D7" s="6"/>
      <c r="BB7" s="6"/>
      <c r="BC7" s="6"/>
    </row>
    <row r="8" spans="1:256" x14ac:dyDescent="0.2">
      <c r="A8" s="23" t="s">
        <v>56</v>
      </c>
      <c r="B8" s="2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</row>
    <row r="9" spans="1:256" x14ac:dyDescent="0.2">
      <c r="A9" s="8" t="s">
        <v>57</v>
      </c>
      <c r="B9" s="8"/>
      <c r="C9" s="6"/>
      <c r="D9" s="6">
        <v>0</v>
      </c>
      <c r="E9" s="6">
        <f>'Adj Model'!E74</f>
        <v>675000</v>
      </c>
      <c r="F9" s="6">
        <f>'Adj Model'!F74</f>
        <v>1444500</v>
      </c>
      <c r="G9" s="6">
        <f>'Adj Model'!G74</f>
        <v>1545615</v>
      </c>
      <c r="H9" s="6">
        <f>'Adj Model'!H74</f>
        <v>1653808.0500000003</v>
      </c>
      <c r="I9" s="6">
        <f>'Adj Model'!I74</f>
        <v>1769574.6135</v>
      </c>
      <c r="J9" s="6">
        <f>'Adj Model'!J74</f>
        <v>1893444.8364450003</v>
      </c>
      <c r="K9" s="6">
        <f>'Adj Model'!K74</f>
        <v>2025985.97499615</v>
      </c>
      <c r="L9" s="6">
        <f>'Adj Model'!L74</f>
        <v>1035000</v>
      </c>
      <c r="M9" s="6">
        <f>'Adj Model'!M74</f>
        <v>1107450.0000000002</v>
      </c>
      <c r="N9" s="6">
        <f>'Adj Model'!N74</f>
        <v>1184971.5</v>
      </c>
      <c r="O9" s="6">
        <f>'Adj Model'!O74</f>
        <v>1267919.5050000001</v>
      </c>
      <c r="P9" s="6">
        <f>'Adj Model'!P74</f>
        <v>1356673.87035</v>
      </c>
      <c r="Q9" s="6">
        <f>'Adj Model'!Q74</f>
        <v>1451641.0412745001</v>
      </c>
      <c r="R9" s="6">
        <f>'Adj Model'!R74</f>
        <v>1553255.9141637152</v>
      </c>
      <c r="S9" s="6">
        <f>'Adj Model'!S74</f>
        <v>1305000</v>
      </c>
      <c r="T9" s="6">
        <f>'Adj Model'!T74</f>
        <v>1396350</v>
      </c>
      <c r="U9" s="6">
        <f>'Adj Model'!U74</f>
        <v>1494094.5</v>
      </c>
      <c r="V9" s="6">
        <f>'Adj Model'!V74</f>
        <v>1598681.1150000002</v>
      </c>
      <c r="W9" s="6">
        <f>'Adj Model'!W74</f>
        <v>1710588.79305</v>
      </c>
      <c r="X9" s="6">
        <f>'Adj Model'!X74</f>
        <v>1830330.0085635004</v>
      </c>
      <c r="Y9" s="6">
        <f>'Adj Model'!Y74</f>
        <v>1958453.1091629451</v>
      </c>
      <c r="Z9" s="6">
        <f>'Adj Model'!Z74</f>
        <v>2095544.8268043515</v>
      </c>
      <c r="AA9" s="6">
        <f>'Adj Model'!AA74</f>
        <v>2242232.9646806559</v>
      </c>
      <c r="AB9" s="6">
        <f>'Adj Model'!AB74</f>
        <v>2399189.2722083023</v>
      </c>
      <c r="AC9" s="6">
        <f>'Adj Model'!AC74</f>
        <v>2567132.5212628832</v>
      </c>
      <c r="AD9" s="6">
        <f>'Adj Model'!AD74</f>
        <v>2746831.7977512856</v>
      </c>
      <c r="AE9" s="6">
        <f>'Adj Model'!AE74</f>
        <v>2939110.0235938751</v>
      </c>
      <c r="AF9" s="6">
        <f>'Adj Model'!AF74</f>
        <v>3144847.7252454464</v>
      </c>
      <c r="AG9" s="6">
        <f>'Adj Model'!AG74</f>
        <v>3364987.0660126274</v>
      </c>
      <c r="AH9" s="6">
        <f>'Adj Model'!AH74</f>
        <v>3600536.1606335114</v>
      </c>
      <c r="AI9" s="6">
        <f>'Adj Model'!AI74</f>
        <v>3852573.6918778569</v>
      </c>
      <c r="AJ9" s="6">
        <f>'Adj Model'!AJ74</f>
        <v>4122253.8503093068</v>
      </c>
      <c r="AK9" s="6">
        <f>'Adj Model'!AK74</f>
        <v>4410811.6198309585</v>
      </c>
      <c r="AL9" s="6">
        <f>'Adj Model'!AL74</f>
        <v>4719568.4332191264</v>
      </c>
      <c r="AM9" s="6">
        <f>'Adj Model'!AM74</f>
        <v>5049938.2235444635</v>
      </c>
      <c r="AN9" s="6">
        <f>'Adj Model'!AN74</f>
        <v>5403433.8991925763</v>
      </c>
      <c r="AO9" s="6">
        <f>'Adj Model'!AO74</f>
        <v>5781674.2721360568</v>
      </c>
      <c r="AP9" s="6">
        <f>'Adj Model'!AP74</f>
        <v>6186391.4711855808</v>
      </c>
      <c r="AQ9" s="6">
        <f>'Adj Model'!AQ74</f>
        <v>6619438.874168572</v>
      </c>
      <c r="AR9" s="6">
        <f>'Adj Model'!AR74</f>
        <v>7082799.5953603731</v>
      </c>
      <c r="AS9" s="6">
        <f>'Adj Model'!AS74</f>
        <v>7578595.5670355977</v>
      </c>
      <c r="AT9" s="6">
        <f>'Adj Model'!AT74</f>
        <v>8109097.2567280922</v>
      </c>
      <c r="AU9" s="6">
        <f>'Adj Model'!AU74</f>
        <v>8676830.4728553314</v>
      </c>
      <c r="AV9" s="6">
        <f>'Adj Model'!AV74</f>
        <v>9284311.7626824174</v>
      </c>
      <c r="AW9" s="6">
        <f>'Adj Model'!AW74</f>
        <v>9934323.9637683053</v>
      </c>
      <c r="AX9" s="6">
        <f>'Adj Model'!AX74</f>
        <v>10629844.745369075</v>
      </c>
      <c r="AY9" s="6">
        <f>'Adj Model'!AY74</f>
        <v>11374060.248971486</v>
      </c>
      <c r="AZ9" s="6">
        <f>'Adj Model'!AZ74</f>
        <v>12170379.683825927</v>
      </c>
      <c r="BA9" s="6">
        <f>'Adj Model'!BA74</f>
        <v>13022450.944340028</v>
      </c>
      <c r="BB9" s="6"/>
      <c r="BC9" s="6"/>
    </row>
    <row r="10" spans="1:256" x14ac:dyDescent="0.2">
      <c r="A10" s="8" t="s">
        <v>58</v>
      </c>
      <c r="B10" s="8"/>
      <c r="C10" s="6"/>
      <c r="D10" s="6">
        <v>0</v>
      </c>
      <c r="E10" s="6">
        <f>'Adj Model'!E75</f>
        <v>150000</v>
      </c>
      <c r="F10" s="6">
        <f>'Adj Model'!F75</f>
        <v>160500</v>
      </c>
      <c r="G10" s="6">
        <f>'Adj Model'!G75</f>
        <v>171735</v>
      </c>
      <c r="H10" s="6">
        <f>'Adj Model'!H75</f>
        <v>183756.45</v>
      </c>
      <c r="I10" s="6">
        <f>'Adj Model'!I75</f>
        <v>196619.40150000001</v>
      </c>
      <c r="J10" s="6">
        <f>'Adj Model'!J75</f>
        <v>210382.75960500003</v>
      </c>
      <c r="K10" s="6">
        <f>'Adj Model'!K75</f>
        <v>225109.55277735001</v>
      </c>
      <c r="L10" s="6">
        <f>'Adj Model'!L75</f>
        <v>240867.22147176453</v>
      </c>
      <c r="M10" s="6">
        <f>'Adj Model'!M75</f>
        <v>257727.92697478805</v>
      </c>
      <c r="N10" s="6">
        <f>'Adj Model'!N75</f>
        <v>275768.88186302321</v>
      </c>
      <c r="O10" s="6">
        <f>'Adj Model'!O75</f>
        <v>295072.70359343482</v>
      </c>
      <c r="P10" s="6">
        <f>'Adj Model'!P75</f>
        <v>315727.79284497531</v>
      </c>
      <c r="Q10" s="6">
        <f>'Adj Model'!Q75</f>
        <v>337828.73834412353</v>
      </c>
      <c r="R10" s="6">
        <f>'Adj Model'!R75</f>
        <v>361476.75002821221</v>
      </c>
      <c r="S10" s="6">
        <f>'Adj Model'!S75</f>
        <v>386780.12253018701</v>
      </c>
      <c r="T10" s="6">
        <f>'Adj Model'!T75</f>
        <v>413854.73110730021</v>
      </c>
      <c r="U10" s="6">
        <f>'Adj Model'!U75</f>
        <v>442824.56228481111</v>
      </c>
      <c r="V10" s="6">
        <f>'Adj Model'!V75</f>
        <v>473822.28164474788</v>
      </c>
      <c r="W10" s="6">
        <f>'Adj Model'!W75</f>
        <v>506989.84135988029</v>
      </c>
      <c r="X10" s="6">
        <f>'Adj Model'!X75</f>
        <v>542479.13025507191</v>
      </c>
      <c r="Y10" s="6">
        <f>'Adj Model'!Y75</f>
        <v>580452.66937292693</v>
      </c>
      <c r="Z10" s="6">
        <f>'Adj Model'!Z75</f>
        <v>621084.35622903181</v>
      </c>
      <c r="AA10" s="6">
        <f>'Adj Model'!AA75</f>
        <v>664560.26116506406</v>
      </c>
      <c r="AB10" s="6">
        <f>'Adj Model'!AB75</f>
        <v>711079.47944661858</v>
      </c>
      <c r="AC10" s="6">
        <f>'Adj Model'!AC75</f>
        <v>760855.04300788185</v>
      </c>
      <c r="AD10" s="6">
        <f>'Adj Model'!AD75</f>
        <v>814114.89601843373</v>
      </c>
      <c r="AE10" s="6">
        <f>'Adj Model'!AE75</f>
        <v>871102.93873972399</v>
      </c>
      <c r="AF10" s="6">
        <f>'Adj Model'!AF75</f>
        <v>932080.14445150481</v>
      </c>
      <c r="AG10" s="6">
        <f>'Adj Model'!AG75</f>
        <v>997325.75456310995</v>
      </c>
      <c r="AH10" s="6">
        <f>'Adj Model'!AH75</f>
        <v>1067138.5573825277</v>
      </c>
      <c r="AI10" s="6">
        <f>'Adj Model'!AI75</f>
        <v>1141838.2563993046</v>
      </c>
      <c r="AJ10" s="6">
        <f>'Adj Model'!AJ75</f>
        <v>1221766.9343472561</v>
      </c>
      <c r="AK10" s="6">
        <f>'Adj Model'!AK75</f>
        <v>1307290.619751564</v>
      </c>
      <c r="AL10" s="6">
        <f>'Adj Model'!AL75</f>
        <v>1398800.9631341735</v>
      </c>
      <c r="AM10" s="6">
        <f>'Adj Model'!AM75</f>
        <v>1496717.0305535656</v>
      </c>
      <c r="AN10" s="6">
        <f>'Adj Model'!AN75</f>
        <v>1601487.2226923152</v>
      </c>
      <c r="AO10" s="6">
        <f>'Adj Model'!AO75</f>
        <v>1713591.3282807772</v>
      </c>
      <c r="AP10" s="6">
        <f>'Adj Model'!AP75</f>
        <v>1833542.7212604319</v>
      </c>
      <c r="AQ10" s="6">
        <f>'Adj Model'!AQ75</f>
        <v>1961890.7117486619</v>
      </c>
      <c r="AR10" s="6">
        <f>'Adj Model'!AR75</f>
        <v>2099223.0615710681</v>
      </c>
      <c r="AS10" s="6">
        <f>'Adj Model'!AS75</f>
        <v>2246168.6758810431</v>
      </c>
      <c r="AT10" s="6">
        <f>'Adj Model'!AT75</f>
        <v>2403400.4831927163</v>
      </c>
      <c r="AU10" s="6">
        <f>'Adj Model'!AU75</f>
        <v>2571638.5170162059</v>
      </c>
      <c r="AV10" s="6">
        <f>'Adj Model'!AV75</f>
        <v>2751653.2132073408</v>
      </c>
      <c r="AW10" s="6">
        <f>'Adj Model'!AW75</f>
        <v>2944268.9381318544</v>
      </c>
      <c r="AX10" s="6">
        <f>'Adj Model'!AX75</f>
        <v>3150367.7638010844</v>
      </c>
      <c r="AY10" s="6">
        <f>'Adj Model'!AY75</f>
        <v>3370893.5072671603</v>
      </c>
      <c r="AZ10" s="6">
        <f>'Adj Model'!AZ75</f>
        <v>3606856.0527758617</v>
      </c>
      <c r="BA10" s="6">
        <f>'Adj Model'!BA75</f>
        <v>3859335.9764701719</v>
      </c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x14ac:dyDescent="0.2">
      <c r="A11" s="8" t="s">
        <v>59</v>
      </c>
      <c r="B11" s="8"/>
      <c r="C11" s="6"/>
      <c r="D11" s="6">
        <v>0</v>
      </c>
      <c r="E11" s="6">
        <f>'Adj Model'!E76</f>
        <v>693000</v>
      </c>
      <c r="F11" s="6">
        <f>'Adj Model'!F76</f>
        <v>1492722</v>
      </c>
      <c r="G11" s="6">
        <f>'Adj Model'!G76</f>
        <v>1607661.594</v>
      </c>
      <c r="H11" s="6">
        <f>'Adj Model'!H76</f>
        <v>1731451.5367380001</v>
      </c>
      <c r="I11" s="6">
        <f>'Adj Model'!I76</f>
        <v>1864773.3050668261</v>
      </c>
      <c r="J11" s="6">
        <f>'Adj Model'!J76</f>
        <v>2008360.8495569718</v>
      </c>
      <c r="K11" s="6">
        <f>'Adj Model'!K76</f>
        <v>2163004.6349728587</v>
      </c>
      <c r="L11" s="6">
        <f>'Adj Model'!L76</f>
        <v>2329555.9918657686</v>
      </c>
      <c r="M11" s="6">
        <f>'Adj Model'!M76</f>
        <v>2508931.8032394331</v>
      </c>
      <c r="N11" s="6">
        <f>'Adj Model'!N76</f>
        <v>2702119.5520888693</v>
      </c>
      <c r="O11" s="6">
        <f>'Adj Model'!O76</f>
        <v>2910182.7575997119</v>
      </c>
      <c r="P11" s="6">
        <f>'Adj Model'!P76</f>
        <v>3134266.8299348904</v>
      </c>
      <c r="Q11" s="6">
        <f>'Adj Model'!Q76</f>
        <v>3375605.3758398765</v>
      </c>
      <c r="R11" s="6">
        <f>'Adj Model'!R76</f>
        <v>3635526.9897795473</v>
      </c>
      <c r="S11" s="6">
        <f>'Adj Model'!S76</f>
        <v>3915462.5679925727</v>
      </c>
      <c r="T11" s="6">
        <f>'Adj Model'!T76</f>
        <v>4216953.1857280005</v>
      </c>
      <c r="U11" s="6">
        <f>'Adj Model'!U76</f>
        <v>4541658.5810290575</v>
      </c>
      <c r="V11" s="6">
        <f>'Adj Model'!V76</f>
        <v>4891366.2917682938</v>
      </c>
      <c r="W11" s="6">
        <f>'Adj Model'!W76</f>
        <v>5268001.4962344533</v>
      </c>
      <c r="X11" s="6">
        <f>'Adj Model'!X76</f>
        <v>5673637.6114445068</v>
      </c>
      <c r="Y11" s="6">
        <f>'Adj Model'!Y76</f>
        <v>6110507.7075257329</v>
      </c>
      <c r="Z11" s="6">
        <f>'Adj Model'!Z76</f>
        <v>6581016.8010052154</v>
      </c>
      <c r="AA11" s="6">
        <f>'Adj Model'!AA76</f>
        <v>7087755.0946826162</v>
      </c>
      <c r="AB11" s="6">
        <f>'Adj Model'!AB76</f>
        <v>7633512.2369731786</v>
      </c>
      <c r="AC11" s="6">
        <f>'Adj Model'!AC76</f>
        <v>8221292.6792201139</v>
      </c>
      <c r="AD11" s="6">
        <f>'Adj Model'!AD76</f>
        <v>8854332.2155200616</v>
      </c>
      <c r="AE11" s="6">
        <f>'Adj Model'!AE76</f>
        <v>9536115.796115106</v>
      </c>
      <c r="AF11" s="6">
        <f>'Adj Model'!AF76</f>
        <v>10270396.712415971</v>
      </c>
      <c r="AG11" s="6">
        <f>'Adj Model'!AG76</f>
        <v>11061217.259272</v>
      </c>
      <c r="AH11" s="6">
        <f>'Adj Model'!AH76</f>
        <v>11912930.988235945</v>
      </c>
      <c r="AI11" s="6">
        <f>'Adj Model'!AI76</f>
        <v>12830226.674330113</v>
      </c>
      <c r="AJ11" s="6">
        <f>'Adj Model'!AJ76</f>
        <v>13818154.128253533</v>
      </c>
      <c r="AK11" s="6">
        <f>'Adj Model'!AK76</f>
        <v>14882151.996129053</v>
      </c>
      <c r="AL11" s="6">
        <f>'Adj Model'!AL76</f>
        <v>16028077.699830988</v>
      </c>
      <c r="AM11" s="6">
        <f>'Adj Model'!AM76</f>
        <v>17262239.682717979</v>
      </c>
      <c r="AN11" s="6">
        <f>'Adj Model'!AN76</f>
        <v>18591432.138287261</v>
      </c>
      <c r="AO11" s="6">
        <f>'Adj Model'!AO76</f>
        <v>20022972.41293538</v>
      </c>
      <c r="AP11" s="6">
        <f>'Adj Model'!AP76</f>
        <v>21564741.288731407</v>
      </c>
      <c r="AQ11" s="6">
        <f>'Adj Model'!AQ76</f>
        <v>23225226.367963724</v>
      </c>
      <c r="AR11" s="6">
        <f>'Adj Model'!AR76</f>
        <v>25013568.798296932</v>
      </c>
      <c r="AS11" s="6">
        <f>'Adj Model'!AS76</f>
        <v>26939613.595765796</v>
      </c>
      <c r="AT11" s="6">
        <f>'Adj Model'!AT76</f>
        <v>29013963.842639763</v>
      </c>
      <c r="AU11" s="6">
        <f>'Adj Model'!AU76</f>
        <v>31248039.058523022</v>
      </c>
      <c r="AV11" s="6">
        <f>'Adj Model'!AV76</f>
        <v>33654138.066029303</v>
      </c>
      <c r="AW11" s="6">
        <f>'Adj Model'!AW76</f>
        <v>36245506.697113551</v>
      </c>
      <c r="AX11" s="6">
        <f>'Adj Model'!AX76</f>
        <v>39036410.712791301</v>
      </c>
      <c r="AY11" s="6">
        <f>'Adj Model'!AY76</f>
        <v>42042214.337676235</v>
      </c>
      <c r="AZ11" s="6">
        <f>'Adj Model'!AZ76</f>
        <v>45279464.841677308</v>
      </c>
      <c r="BA11" s="6">
        <f>'Adj Model'!BA76</f>
        <v>48765983.634486452</v>
      </c>
      <c r="BB11" s="6"/>
      <c r="BC11" s="6"/>
    </row>
    <row r="12" spans="1:256" x14ac:dyDescent="0.2">
      <c r="A12" s="8" t="s">
        <v>81</v>
      </c>
      <c r="B12" s="8"/>
      <c r="C12" s="6"/>
      <c r="D12" s="6">
        <v>0</v>
      </c>
      <c r="E12" s="6">
        <f>IF(D47&gt;0,D47*'Adj Model'!$B$27,0)</f>
        <v>143700</v>
      </c>
      <c r="F12" s="6">
        <f>IF(E47&gt;0,E47*'Adj Model'!$B$27,0)</f>
        <v>26323.555555555522</v>
      </c>
      <c r="G12" s="6">
        <f>IF(F47&gt;0,F47*'Adj Model'!$B$27,0)</f>
        <v>17151.377777777743</v>
      </c>
      <c r="H12" s="6">
        <f>IF(G47&gt;0,G47*'Adj Model'!$B$27,0)</f>
        <v>33570.116648888848</v>
      </c>
      <c r="I12" s="6">
        <f>IF(H47&gt;0,H47*'Adj Model'!$B$27,0)</f>
        <v>63228.038184364399</v>
      </c>
      <c r="J12" s="6">
        <f>IF(I47&gt;0,I47*'Adj Model'!$B$27,0)</f>
        <v>107304.14119241199</v>
      </c>
      <c r="K12" s="6">
        <f>IF(J47&gt;0,J47*'Adj Model'!$B$27,0)</f>
        <v>167072.71354984734</v>
      </c>
      <c r="L12" s="6">
        <f>IF(K47&gt;0,K47*'Adj Model'!$B$27,0)</f>
        <v>243910.7183091378</v>
      </c>
      <c r="M12" s="6">
        <f>IF(L47&gt;0,L47*'Adj Model'!$B$27,0)</f>
        <v>293993.54156196775</v>
      </c>
      <c r="N12" s="6">
        <f>IF(M47&gt;0,M47*'Adj Model'!$B$27,0)</f>
        <v>374240.1098764998</v>
      </c>
      <c r="O12" s="6">
        <f>IF(N47&gt;0,N47*'Adj Model'!$B$27,0)</f>
        <v>477825.38919301279</v>
      </c>
      <c r="P12" s="6">
        <f>IF(O47&gt;0,O47*'Adj Model'!$B$27,0)</f>
        <v>606547.62521568814</v>
      </c>
      <c r="Q12" s="6">
        <f>IF(P47&gt;0,P47*'Adj Model'!$B$27,0)</f>
        <v>762744.37699027581</v>
      </c>
      <c r="R12" s="6">
        <f>IF(Q47&gt;0,Q47*'Adj Model'!$B$27,0)</f>
        <v>788969.1240822773</v>
      </c>
      <c r="S12" s="6">
        <f>IF(R47&gt;0,R47*'Adj Model'!$B$27,0)</f>
        <v>969711.38455679</v>
      </c>
      <c r="T12" s="6">
        <f>IF(S47&gt;0,S47*'Adj Model'!$B$27,0)</f>
        <v>1033131.6285822891</v>
      </c>
      <c r="U12" s="6">
        <f>IF(T47&gt;0,T47*'Adj Model'!$B$27,0)</f>
        <v>1268518.2211793428</v>
      </c>
      <c r="V12" s="6">
        <f>IF(U47&gt;0,U47*'Adj Model'!$B$27,0)</f>
        <v>1606112.3232069511</v>
      </c>
      <c r="W12" s="6">
        <f>IF(V47&gt;0,V47*'Adj Model'!$B$27,0)</f>
        <v>1984291.1105741858</v>
      </c>
      <c r="X12" s="6">
        <f>IF(W47&gt;0,W47*'Adj Model'!$B$27,0)</f>
        <v>2406893.315499919</v>
      </c>
      <c r="Y12" s="6">
        <f>IF(X47&gt;0,X47*'Adj Model'!$B$27,0)</f>
        <v>2878094.4845381989</v>
      </c>
      <c r="Z12" s="6">
        <f>IF(Y47&gt;0,Y47*'Adj Model'!$B$27,0)</f>
        <v>3402434.2177581764</v>
      </c>
      <c r="AA12" s="6">
        <f>IF(Z47&gt;0,Z47*'Adj Model'!$B$27,0)</f>
        <v>3984845.6773297759</v>
      </c>
      <c r="AB12" s="6">
        <f>IF(AA47&gt;0,AA47*'Adj Model'!$B$27,0)</f>
        <v>4630687.5321457852</v>
      </c>
      <c r="AC12" s="6">
        <f>IF(AB47&gt;0,AB47*'Adj Model'!$B$27,0)</f>
        <v>5345778.5199403549</v>
      </c>
      <c r="AD12" s="6">
        <f>IF(AC47&gt;0,AC47*'Adj Model'!$B$27,0)</f>
        <v>6136434.8240684299</v>
      </c>
      <c r="AE12" s="6">
        <f>IF(AD47&gt;0,AD47*'Adj Model'!$B$27,0)</f>
        <v>7009510.4787988141</v>
      </c>
      <c r="AF12" s="6">
        <f>IF(AE47&gt;0,AE47*'Adj Model'!$B$27,0)</f>
        <v>7972441.0347557645</v>
      </c>
      <c r="AG12" s="6">
        <f>IF(AF47&gt;0,AF47*'Adj Model'!$B$27,0)</f>
        <v>9033290.7351341229</v>
      </c>
      <c r="AH12" s="6">
        <f>IF(AG47&gt;0,AG47*'Adj Model'!$B$27,0)</f>
        <v>10200803.473629154</v>
      </c>
      <c r="AI12" s="6">
        <f>IF(AH47&gt;0,AH47*'Adj Model'!$B$27,0)</f>
        <v>11484457.826787906</v>
      </c>
      <c r="AJ12" s="6">
        <f>IF(AI47&gt;0,AI47*'Adj Model'!$B$27,0)</f>
        <v>12894526.476833839</v>
      </c>
      <c r="AK12" s="6">
        <f>IF(AJ47&gt;0,AJ47*'Adj Model'!$B$27,0)</f>
        <v>14442140.36607779</v>
      </c>
      <c r="AL12" s="6">
        <f>IF(AK47&gt;0,AK47*'Adj Model'!$B$27,0)</f>
        <v>16139357.950951083</v>
      </c>
      <c r="AM12" s="6">
        <f>IF(AL47&gt;0,AL47*'Adj Model'!$B$27,0)</f>
        <v>17999239.952635594</v>
      </c>
      <c r="AN12" s="6">
        <f>IF(AM47&gt;0,AM47*'Adj Model'!$B$27,0)</f>
        <v>20043343.482384995</v>
      </c>
      <c r="AO12" s="6">
        <f>IF(AN47&gt;0,AN47*'Adj Model'!$B$27,0)</f>
        <v>22281776.498647589</v>
      </c>
      <c r="AP12" s="6">
        <f>IF(AO47&gt;0,AO47*'Adj Model'!$B$27,0)</f>
        <v>24729420.713484701</v>
      </c>
      <c r="AQ12" s="6">
        <f>IF(AP47&gt;0,AP47*'Adj Model'!$B$27,0)</f>
        <v>27404246.279924516</v>
      </c>
      <c r="AR12" s="6">
        <f>IF(AQ47&gt;0,AQ47*'Adj Model'!$B$27,0)</f>
        <v>30325699.476330053</v>
      </c>
      <c r="AS12" s="6">
        <f>IF(AR47&gt;0,AR47*'Adj Model'!$B$27,0)</f>
        <v>33514820.768725321</v>
      </c>
      <c r="AT12" s="6">
        <f>IF(AS47&gt;0,AS47*'Adj Model'!$B$27,0)</f>
        <v>36994372.169913858</v>
      </c>
      <c r="AU12" s="6">
        <f>IF(AT47&gt;0,AT47*'Adj Model'!$B$27,0)</f>
        <v>40788974.619068354</v>
      </c>
      <c r="AV12" s="6">
        <f>IF(AU47&gt;0,AU47*'Adj Model'!$B$27,0)</f>
        <v>44925261.290475063</v>
      </c>
      <c r="AW12" s="6">
        <f>IF(AV47&gt;0,AV47*'Adj Model'!$B$27,0)</f>
        <v>49432028.146854527</v>
      </c>
      <c r="AX12" s="6">
        <f>IF(AW47&gt;0,AW47*'Adj Model'!$B$27,0)</f>
        <v>54340410.571349986</v>
      </c>
      <c r="AY12" s="6">
        <f>IF(AX47&gt;0,AX47*'Adj Model'!$B$27,0)</f>
        <v>59684069.268137075</v>
      </c>
      <c r="AZ12" s="6">
        <f>IF(AY47&gt;0,AY47*'Adj Model'!$B$27,0)</f>
        <v>65499390.735967711</v>
      </c>
      <c r="BA12" s="6">
        <f>IF(AZ47&gt;0,AZ47*'Adj Model'!$B$27,0)</f>
        <v>71825703.446700707</v>
      </c>
      <c r="BB12" s="6"/>
      <c r="BC12" s="6"/>
    </row>
    <row r="13" spans="1:256" x14ac:dyDescent="0.2">
      <c r="A13" s="23" t="s">
        <v>60</v>
      </c>
      <c r="B13" s="2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pans="1:256" x14ac:dyDescent="0.2">
      <c r="A14" s="5" t="s">
        <v>61</v>
      </c>
      <c r="B14" s="5"/>
      <c r="C14" s="6"/>
      <c r="D14" s="6">
        <v>0</v>
      </c>
      <c r="E14" s="6">
        <f>'Adj Model'!E78</f>
        <v>-30000</v>
      </c>
      <c r="F14" s="6">
        <f>'Adj Model'!F78</f>
        <v>-64200.000000000007</v>
      </c>
      <c r="G14" s="6">
        <f>'Adj Model'!G78</f>
        <v>-68694</v>
      </c>
      <c r="H14" s="6">
        <f>'Adj Model'!H78</f>
        <v>-73502.58</v>
      </c>
      <c r="I14" s="6">
        <f>'Adj Model'!I78</f>
        <v>-78647.760599999994</v>
      </c>
      <c r="J14" s="6">
        <f>'Adj Model'!J78</f>
        <v>-84153.103842000011</v>
      </c>
      <c r="K14" s="6">
        <f>'Adj Model'!K78</f>
        <v>-90043.82111094</v>
      </c>
      <c r="L14" s="6">
        <f>'Adj Model'!L78</f>
        <v>-96346.888588705813</v>
      </c>
      <c r="M14" s="6">
        <f>'Adj Model'!M78</f>
        <v>-103091.17078991521</v>
      </c>
      <c r="N14" s="6">
        <f>'Adj Model'!N78</f>
        <v>-110307.55274520929</v>
      </c>
      <c r="O14" s="6">
        <f>'Adj Model'!O78</f>
        <v>-118029.08143737394</v>
      </c>
      <c r="P14" s="6">
        <f>'Adj Model'!P78</f>
        <v>-126291.11713799012</v>
      </c>
      <c r="Q14" s="6">
        <f>'Adj Model'!Q78</f>
        <v>-135131.49533764942</v>
      </c>
      <c r="R14" s="6">
        <f>'Adj Model'!R78</f>
        <v>-144590.70001128488</v>
      </c>
      <c r="S14" s="6">
        <f>'Adj Model'!S78</f>
        <v>-154712.0490120748</v>
      </c>
      <c r="T14" s="6">
        <f>'Adj Model'!T78</f>
        <v>-165541.89244292007</v>
      </c>
      <c r="U14" s="6">
        <f>'Adj Model'!U78</f>
        <v>-177129.82491392444</v>
      </c>
      <c r="V14" s="6">
        <f>'Adj Model'!V78</f>
        <v>-189528.91265789917</v>
      </c>
      <c r="W14" s="6">
        <f>'Adj Model'!W78</f>
        <v>-202795.93654395212</v>
      </c>
      <c r="X14" s="6">
        <f>'Adj Model'!X78</f>
        <v>-216991.65210202878</v>
      </c>
      <c r="Y14" s="6">
        <f>'Adj Model'!Y78</f>
        <v>-232181.06774917076</v>
      </c>
      <c r="Z14" s="6">
        <f>'Adj Model'!Z78</f>
        <v>-248433.74249161273</v>
      </c>
      <c r="AA14" s="6">
        <f>'Adj Model'!AA78</f>
        <v>-265824.1044660256</v>
      </c>
      <c r="AB14" s="6">
        <f>'Adj Model'!AB78</f>
        <v>-284431.7917786474</v>
      </c>
      <c r="AC14" s="6">
        <f>'Adj Model'!AC78</f>
        <v>-304342.01720315276</v>
      </c>
      <c r="AD14" s="6">
        <f>'Adj Model'!AD78</f>
        <v>-325645.95840737346</v>
      </c>
      <c r="AE14" s="6">
        <f>'Adj Model'!AE78</f>
        <v>-348441.17549588956</v>
      </c>
      <c r="AF14" s="6">
        <f>'Adj Model'!AF78</f>
        <v>-372832.05778060196</v>
      </c>
      <c r="AG14" s="6">
        <f>'Adj Model'!AG78</f>
        <v>-398930.30182524398</v>
      </c>
      <c r="AH14" s="6">
        <f>'Adj Model'!AH78</f>
        <v>-426855.42295301106</v>
      </c>
      <c r="AI14" s="6">
        <f>'Adj Model'!AI78</f>
        <v>-456735.30255972181</v>
      </c>
      <c r="AJ14" s="6">
        <f>'Adj Model'!AJ78</f>
        <v>-488706.77373890247</v>
      </c>
      <c r="AK14" s="6">
        <f>'Adj Model'!AK78</f>
        <v>-522916.24790062557</v>
      </c>
      <c r="AL14" s="6">
        <f>'Adj Model'!AL78</f>
        <v>-559520.38525366934</v>
      </c>
      <c r="AM14" s="6">
        <f>'Adj Model'!AM78</f>
        <v>-598686.81222142617</v>
      </c>
      <c r="AN14" s="6">
        <f>'Adj Model'!AN78</f>
        <v>-640594.88907692605</v>
      </c>
      <c r="AO14" s="6">
        <f>'Adj Model'!AO78</f>
        <v>-685436.53131231084</v>
      </c>
      <c r="AP14" s="6">
        <f>'Adj Model'!AP78</f>
        <v>-733417.08850417275</v>
      </c>
      <c r="AQ14" s="6">
        <f>'Adj Model'!AQ78</f>
        <v>-784756.2846994648</v>
      </c>
      <c r="AR14" s="6">
        <f>'Adj Model'!AR78</f>
        <v>-839689.2246284273</v>
      </c>
      <c r="AS14" s="6">
        <f>'Adj Model'!AS78</f>
        <v>-898467.47035241721</v>
      </c>
      <c r="AT14" s="6">
        <f>'Adj Model'!AT78</f>
        <v>-961360.19327708648</v>
      </c>
      <c r="AU14" s="6">
        <f>'Adj Model'!AU78</f>
        <v>-1028655.4068064825</v>
      </c>
      <c r="AV14" s="6">
        <f>'Adj Model'!AV78</f>
        <v>-1100661.2852829364</v>
      </c>
      <c r="AW14" s="6">
        <f>'Adj Model'!AW78</f>
        <v>-1177707.5752527418</v>
      </c>
      <c r="AX14" s="6">
        <f>'Adj Model'!AX78</f>
        <v>-1260147.1055204337</v>
      </c>
      <c r="AY14" s="6">
        <f>'Adj Model'!AY78</f>
        <v>-1348357.4029068642</v>
      </c>
      <c r="AZ14" s="6">
        <f>'Adj Model'!AZ78</f>
        <v>-1442742.4211103446</v>
      </c>
      <c r="BA14" s="6">
        <f>'Adj Model'!BA78</f>
        <v>-1543734.3905880686</v>
      </c>
      <c r="BB14" s="6"/>
      <c r="BC14" s="6"/>
    </row>
    <row r="15" spans="1:256" x14ac:dyDescent="0.2">
      <c r="A15" s="8" t="s">
        <v>62</v>
      </c>
      <c r="B15" s="8"/>
      <c r="C15" s="6"/>
      <c r="D15" s="6">
        <v>0</v>
      </c>
      <c r="E15" s="6">
        <f>'Adj Model'!E79</f>
        <v>-75000</v>
      </c>
      <c r="F15" s="6">
        <f>'Adj Model'!F79</f>
        <v>-160500</v>
      </c>
      <c r="G15" s="6">
        <f>'Adj Model'!G79</f>
        <v>-171735</v>
      </c>
      <c r="H15" s="6">
        <f>'Adj Model'!H79</f>
        <v>-183756.45</v>
      </c>
      <c r="I15" s="6">
        <f>'Adj Model'!I79</f>
        <v>-196619.40150000001</v>
      </c>
      <c r="J15" s="6">
        <f>'Adj Model'!J79</f>
        <v>-210382.75960500003</v>
      </c>
      <c r="K15" s="6">
        <f>'Adj Model'!K79</f>
        <v>-225109.55277735001</v>
      </c>
      <c r="L15" s="6">
        <f>'Adj Model'!L79</f>
        <v>-240867.22147176453</v>
      </c>
      <c r="M15" s="6">
        <f>'Adj Model'!M79</f>
        <v>-257727.92697478805</v>
      </c>
      <c r="N15" s="6">
        <f>'Adj Model'!N79</f>
        <v>-275768.88186302321</v>
      </c>
      <c r="O15" s="6">
        <f>'Adj Model'!O79</f>
        <v>-295072.70359343482</v>
      </c>
      <c r="P15" s="6">
        <f>'Adj Model'!P79</f>
        <v>-315727.79284497531</v>
      </c>
      <c r="Q15" s="6">
        <f>'Adj Model'!Q79</f>
        <v>-337828.73834412353</v>
      </c>
      <c r="R15" s="6">
        <f>'Adj Model'!R79</f>
        <v>-361476.75002821221</v>
      </c>
      <c r="S15" s="6">
        <f>'Adj Model'!S79</f>
        <v>-386780.12253018701</v>
      </c>
      <c r="T15" s="6">
        <f>'Adj Model'!T79</f>
        <v>-413854.73110730021</v>
      </c>
      <c r="U15" s="6">
        <f>'Adj Model'!U79</f>
        <v>-442824.56228481111</v>
      </c>
      <c r="V15" s="6">
        <f>'Adj Model'!V79</f>
        <v>-473822.28164474788</v>
      </c>
      <c r="W15" s="6">
        <f>'Adj Model'!W79</f>
        <v>-506989.84135988029</v>
      </c>
      <c r="X15" s="6">
        <f>'Adj Model'!X79</f>
        <v>-542479.13025507191</v>
      </c>
      <c r="Y15" s="6">
        <f>'Adj Model'!Y79</f>
        <v>-580452.66937292693</v>
      </c>
      <c r="Z15" s="6">
        <f>'Adj Model'!Z79</f>
        <v>-621084.35622903181</v>
      </c>
      <c r="AA15" s="6">
        <f>'Adj Model'!AA79</f>
        <v>-664560.26116506406</v>
      </c>
      <c r="AB15" s="6">
        <f>'Adj Model'!AB79</f>
        <v>-711079.47944661858</v>
      </c>
      <c r="AC15" s="6">
        <f>'Adj Model'!AC79</f>
        <v>-760855.04300788185</v>
      </c>
      <c r="AD15" s="6">
        <f>'Adj Model'!AD79</f>
        <v>-814114.89601843373</v>
      </c>
      <c r="AE15" s="6">
        <f>'Adj Model'!AE79</f>
        <v>-871102.93873972399</v>
      </c>
      <c r="AF15" s="6">
        <f>'Adj Model'!AF79</f>
        <v>-932080.14445150481</v>
      </c>
      <c r="AG15" s="6">
        <f>'Adj Model'!AG79</f>
        <v>-997325.75456310995</v>
      </c>
      <c r="AH15" s="6">
        <f>'Adj Model'!AH79</f>
        <v>-1067138.5573825277</v>
      </c>
      <c r="AI15" s="6">
        <f>'Adj Model'!AI79</f>
        <v>-1141838.2563993046</v>
      </c>
      <c r="AJ15" s="6">
        <f>'Adj Model'!AJ79</f>
        <v>-1221766.9343472561</v>
      </c>
      <c r="AK15" s="6">
        <f>'Adj Model'!AK79</f>
        <v>-1307290.619751564</v>
      </c>
      <c r="AL15" s="6">
        <f>'Adj Model'!AL79</f>
        <v>-1398800.9631341735</v>
      </c>
      <c r="AM15" s="6">
        <f>'Adj Model'!AM79</f>
        <v>-1496717.0305535656</v>
      </c>
      <c r="AN15" s="6">
        <f>'Adj Model'!AN79</f>
        <v>-1601487.2226923152</v>
      </c>
      <c r="AO15" s="6">
        <f>'Adj Model'!AO79</f>
        <v>-1713591.3282807772</v>
      </c>
      <c r="AP15" s="6">
        <f>'Adj Model'!AP79</f>
        <v>-1833542.7212604319</v>
      </c>
      <c r="AQ15" s="6">
        <f>'Adj Model'!AQ79</f>
        <v>-1961890.7117486619</v>
      </c>
      <c r="AR15" s="6">
        <f>'Adj Model'!AR79</f>
        <v>-2099223.0615710681</v>
      </c>
      <c r="AS15" s="6">
        <f>'Adj Model'!AS79</f>
        <v>-2246168.6758810431</v>
      </c>
      <c r="AT15" s="6">
        <f>'Adj Model'!AT79</f>
        <v>-2403400.4831927163</v>
      </c>
      <c r="AU15" s="6">
        <f>'Adj Model'!AU79</f>
        <v>-2571638.5170162059</v>
      </c>
      <c r="AV15" s="6">
        <f>'Adj Model'!AV79</f>
        <v>-2751653.2132073408</v>
      </c>
      <c r="AW15" s="6">
        <f>'Adj Model'!AW79</f>
        <v>-2944268.9381318544</v>
      </c>
      <c r="AX15" s="6">
        <f>'Adj Model'!AX79</f>
        <v>-3150367.7638010844</v>
      </c>
      <c r="AY15" s="6">
        <f>'Adj Model'!AY79</f>
        <v>-3370893.5072671603</v>
      </c>
      <c r="AZ15" s="6">
        <f>'Adj Model'!AZ79</f>
        <v>-3606856.0527758617</v>
      </c>
      <c r="BA15" s="6">
        <f>'Adj Model'!BA79</f>
        <v>-3859335.9764701719</v>
      </c>
      <c r="BB15" s="6"/>
      <c r="BC15" s="6"/>
    </row>
    <row r="16" spans="1:256" x14ac:dyDescent="0.2">
      <c r="A16" s="5" t="s">
        <v>63</v>
      </c>
      <c r="B16" s="5"/>
      <c r="C16" s="6"/>
      <c r="D16" s="6">
        <v>0</v>
      </c>
      <c r="E16" s="6">
        <f>'Adj Model'!E80</f>
        <v>-7500</v>
      </c>
      <c r="F16" s="6">
        <f>'Adj Model'!F80</f>
        <v>-16050.000000000002</v>
      </c>
      <c r="G16" s="6">
        <f>'Adj Model'!G80</f>
        <v>-17173.5</v>
      </c>
      <c r="H16" s="6">
        <f>'Adj Model'!H80</f>
        <v>-18375.645</v>
      </c>
      <c r="I16" s="6">
        <f>'Adj Model'!I80</f>
        <v>-19661.940149999999</v>
      </c>
      <c r="J16" s="6">
        <f>'Adj Model'!J80</f>
        <v>-21038.275960500003</v>
      </c>
      <c r="K16" s="6">
        <f>'Adj Model'!K80</f>
        <v>-22510.955277735</v>
      </c>
      <c r="L16" s="6">
        <f>'Adj Model'!L80</f>
        <v>-24086.722147176453</v>
      </c>
      <c r="M16" s="6">
        <f>'Adj Model'!M80</f>
        <v>-25772.792697478802</v>
      </c>
      <c r="N16" s="6">
        <f>'Adj Model'!N80</f>
        <v>-27576.888186302323</v>
      </c>
      <c r="O16" s="6">
        <f>'Adj Model'!O80</f>
        <v>-29507.270359343485</v>
      </c>
      <c r="P16" s="6">
        <f>'Adj Model'!P80</f>
        <v>-31572.77928449753</v>
      </c>
      <c r="Q16" s="6">
        <f>'Adj Model'!Q80</f>
        <v>-33782.873834412356</v>
      </c>
      <c r="R16" s="6">
        <f>'Adj Model'!R80</f>
        <v>-36147.675002821219</v>
      </c>
      <c r="S16" s="6">
        <f>'Adj Model'!S80</f>
        <v>-38678.0122530187</v>
      </c>
      <c r="T16" s="6">
        <f>'Adj Model'!T80</f>
        <v>-41385.473110730018</v>
      </c>
      <c r="U16" s="6">
        <f>'Adj Model'!U80</f>
        <v>-44282.456228481111</v>
      </c>
      <c r="V16" s="6">
        <f>'Adj Model'!V80</f>
        <v>-47382.228164474793</v>
      </c>
      <c r="W16" s="6">
        <f>'Adj Model'!W80</f>
        <v>-50698.98413598803</v>
      </c>
      <c r="X16" s="6">
        <f>'Adj Model'!X80</f>
        <v>-54247.913025507194</v>
      </c>
      <c r="Y16" s="6">
        <f>'Adj Model'!Y80</f>
        <v>-58045.26693729269</v>
      </c>
      <c r="Z16" s="6">
        <f>'Adj Model'!Z80</f>
        <v>-62108.435622903184</v>
      </c>
      <c r="AA16" s="6">
        <f>'Adj Model'!AA80</f>
        <v>-66456.0261165064</v>
      </c>
      <c r="AB16" s="6">
        <f>'Adj Model'!AB80</f>
        <v>-71107.94794466185</v>
      </c>
      <c r="AC16" s="6">
        <f>'Adj Model'!AC80</f>
        <v>-76085.50430078819</v>
      </c>
      <c r="AD16" s="6">
        <f>'Adj Model'!AD80</f>
        <v>-81411.489601843365</v>
      </c>
      <c r="AE16" s="6">
        <f>'Adj Model'!AE80</f>
        <v>-87110.29387397239</v>
      </c>
      <c r="AF16" s="6">
        <f>'Adj Model'!AF80</f>
        <v>-93208.014445150489</v>
      </c>
      <c r="AG16" s="6">
        <f>'Adj Model'!AG80</f>
        <v>-99732.575456310995</v>
      </c>
      <c r="AH16" s="6">
        <f>'Adj Model'!AH80</f>
        <v>-106713.85573825277</v>
      </c>
      <c r="AI16" s="6">
        <f>'Adj Model'!AI80</f>
        <v>-114183.82563993045</v>
      </c>
      <c r="AJ16" s="6">
        <f>'Adj Model'!AJ80</f>
        <v>-122176.69343472562</v>
      </c>
      <c r="AK16" s="6">
        <f>'Adj Model'!AK80</f>
        <v>-130729.06197515639</v>
      </c>
      <c r="AL16" s="6">
        <f>'Adj Model'!AL80</f>
        <v>-139880.09631341734</v>
      </c>
      <c r="AM16" s="6">
        <f>'Adj Model'!AM80</f>
        <v>-149671.70305535654</v>
      </c>
      <c r="AN16" s="6">
        <f>'Adj Model'!AN80</f>
        <v>-160148.72226923151</v>
      </c>
      <c r="AO16" s="6">
        <f>'Adj Model'!AO80</f>
        <v>-171359.13282807771</v>
      </c>
      <c r="AP16" s="6">
        <f>'Adj Model'!AP80</f>
        <v>-183354.27212604319</v>
      </c>
      <c r="AQ16" s="6">
        <f>'Adj Model'!AQ80</f>
        <v>-196189.0711748662</v>
      </c>
      <c r="AR16" s="6">
        <f>'Adj Model'!AR80</f>
        <v>-209922.30615710682</v>
      </c>
      <c r="AS16" s="6">
        <f>'Adj Model'!AS80</f>
        <v>-224616.8675881043</v>
      </c>
      <c r="AT16" s="6">
        <f>'Adj Model'!AT80</f>
        <v>-240340.04831927162</v>
      </c>
      <c r="AU16" s="6">
        <f>'Adj Model'!AU80</f>
        <v>-257163.85170162062</v>
      </c>
      <c r="AV16" s="6">
        <f>'Adj Model'!AV80</f>
        <v>-275165.3213207341</v>
      </c>
      <c r="AW16" s="6">
        <f>'Adj Model'!AW80</f>
        <v>-294426.89381318545</v>
      </c>
      <c r="AX16" s="6">
        <f>'Adj Model'!AX80</f>
        <v>-315036.77638010844</v>
      </c>
      <c r="AY16" s="6">
        <f>'Adj Model'!AY80</f>
        <v>-337089.35072671605</v>
      </c>
      <c r="AZ16" s="6">
        <f>'Adj Model'!AZ80</f>
        <v>-360685.60527758615</v>
      </c>
      <c r="BA16" s="6">
        <f>'Adj Model'!BA80</f>
        <v>-385933.59764701716</v>
      </c>
      <c r="BB16" s="6"/>
      <c r="BC16" s="6"/>
    </row>
    <row r="17" spans="1:55" x14ac:dyDescent="0.2">
      <c r="A17" s="8" t="s">
        <v>64</v>
      </c>
      <c r="B17" s="8"/>
      <c r="C17" s="6"/>
      <c r="D17" s="6">
        <v>0</v>
      </c>
      <c r="E17" s="6">
        <f>'Adj Model'!E81</f>
        <v>-40000</v>
      </c>
      <c r="F17" s="6">
        <f>'Adj Model'!F81</f>
        <v>-85600</v>
      </c>
      <c r="G17" s="6">
        <f>'Adj Model'!G81</f>
        <v>-91592</v>
      </c>
      <c r="H17" s="6">
        <f>'Adj Model'!H81</f>
        <v>-98003.44</v>
      </c>
      <c r="I17" s="6">
        <f>'Adj Model'!I81</f>
        <v>-104863.6808</v>
      </c>
      <c r="J17" s="6">
        <f>'Adj Model'!J81</f>
        <v>-112204.13845600002</v>
      </c>
      <c r="K17" s="6">
        <f>'Adj Model'!K81</f>
        <v>-120058.42814792</v>
      </c>
      <c r="L17" s="6">
        <f>'Adj Model'!L81</f>
        <v>-128462.51811827441</v>
      </c>
      <c r="M17" s="6">
        <f>'Adj Model'!M81</f>
        <v>-137454.89438655361</v>
      </c>
      <c r="N17" s="6">
        <f>'Adj Model'!N81</f>
        <v>-147076.7369936124</v>
      </c>
      <c r="O17" s="6">
        <f>'Adj Model'!O81</f>
        <v>-157372.10858316525</v>
      </c>
      <c r="P17" s="6">
        <f>'Adj Model'!P81</f>
        <v>-168388.15618398684</v>
      </c>
      <c r="Q17" s="6">
        <f>'Adj Model'!Q81</f>
        <v>-180175.32711686587</v>
      </c>
      <c r="R17" s="6">
        <f>'Adj Model'!R81</f>
        <v>-192787.60001504651</v>
      </c>
      <c r="S17" s="6">
        <f>'Adj Model'!S81</f>
        <v>-206282.73201609976</v>
      </c>
      <c r="T17" s="6">
        <f>'Adj Model'!T81</f>
        <v>-220722.52325722677</v>
      </c>
      <c r="U17" s="6">
        <f>'Adj Model'!U81</f>
        <v>-236173.0998852326</v>
      </c>
      <c r="V17" s="6">
        <f>'Adj Model'!V81</f>
        <v>-252705.21687719889</v>
      </c>
      <c r="W17" s="6">
        <f>'Adj Model'!W81</f>
        <v>-270394.58205860283</v>
      </c>
      <c r="X17" s="6">
        <f>'Adj Model'!X81</f>
        <v>-289322.20280270505</v>
      </c>
      <c r="Y17" s="6">
        <f>'Adj Model'!Y81</f>
        <v>-309574.75699889439</v>
      </c>
      <c r="Z17" s="6">
        <f>'Adj Model'!Z81</f>
        <v>-331244.98998881696</v>
      </c>
      <c r="AA17" s="6">
        <f>'Adj Model'!AA81</f>
        <v>-354432.13928803417</v>
      </c>
      <c r="AB17" s="6">
        <f>'Adj Model'!AB81</f>
        <v>-379242.38903819659</v>
      </c>
      <c r="AC17" s="6">
        <f>'Adj Model'!AC81</f>
        <v>-405789.35627087037</v>
      </c>
      <c r="AD17" s="6">
        <f>'Adj Model'!AD81</f>
        <v>-434194.61120983132</v>
      </c>
      <c r="AE17" s="6">
        <f>'Adj Model'!AE81</f>
        <v>-464588.23399451945</v>
      </c>
      <c r="AF17" s="6">
        <f>'Adj Model'!AF81</f>
        <v>-497109.41037413588</v>
      </c>
      <c r="AG17" s="6">
        <f>'Adj Model'!AG81</f>
        <v>-531907.06910032535</v>
      </c>
      <c r="AH17" s="6">
        <f>'Adj Model'!AH81</f>
        <v>-569140.56393734808</v>
      </c>
      <c r="AI17" s="6">
        <f>'Adj Model'!AI81</f>
        <v>-608980.40341296245</v>
      </c>
      <c r="AJ17" s="6">
        <f>'Adj Model'!AJ81</f>
        <v>-651609.03165187</v>
      </c>
      <c r="AK17" s="6">
        <f>'Adj Model'!AK81</f>
        <v>-697221.66386750073</v>
      </c>
      <c r="AL17" s="6">
        <f>'Adj Model'!AL81</f>
        <v>-746027.18033822579</v>
      </c>
      <c r="AM17" s="6">
        <f>'Adj Model'!AM81</f>
        <v>-798249.08296190156</v>
      </c>
      <c r="AN17" s="6">
        <f>'Adj Model'!AN81</f>
        <v>-854126.51876923477</v>
      </c>
      <c r="AO17" s="6">
        <f>'Adj Model'!AO81</f>
        <v>-913915.37508308119</v>
      </c>
      <c r="AP17" s="6">
        <f>'Adj Model'!AP81</f>
        <v>-977889.45133889699</v>
      </c>
      <c r="AQ17" s="6">
        <f>'Adj Model'!AQ81</f>
        <v>-1046341.7129326197</v>
      </c>
      <c r="AR17" s="6">
        <f>'Adj Model'!AR81</f>
        <v>-1119585.6328379032</v>
      </c>
      <c r="AS17" s="6">
        <f>'Adj Model'!AS81</f>
        <v>-1197956.6271365562</v>
      </c>
      <c r="AT17" s="6">
        <f>'Adj Model'!AT81</f>
        <v>-1281813.5910361153</v>
      </c>
      <c r="AU17" s="6">
        <f>'Adj Model'!AU81</f>
        <v>-1371540.5424086433</v>
      </c>
      <c r="AV17" s="6">
        <f>'Adj Model'!AV81</f>
        <v>-1467548.3803772486</v>
      </c>
      <c r="AW17" s="6">
        <f>'Adj Model'!AW81</f>
        <v>-1570276.7670036557</v>
      </c>
      <c r="AX17" s="6">
        <f>'Adj Model'!AX81</f>
        <v>-1680196.1406939116</v>
      </c>
      <c r="AY17" s="6">
        <f>'Adj Model'!AY81</f>
        <v>-1797809.8705424855</v>
      </c>
      <c r="AZ17" s="6">
        <f>'Adj Model'!AZ81</f>
        <v>-1923656.5614804595</v>
      </c>
      <c r="BA17" s="6">
        <f>'Adj Model'!BA81</f>
        <v>-2058312.5207840917</v>
      </c>
      <c r="BB17" s="6"/>
      <c r="BC17" s="6"/>
    </row>
    <row r="18" spans="1:55" x14ac:dyDescent="0.2">
      <c r="A18" s="23" t="s">
        <v>65</v>
      </c>
      <c r="B18" s="2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55" x14ac:dyDescent="0.2">
      <c r="A19" s="8" t="s">
        <v>66</v>
      </c>
      <c r="B19" s="8"/>
      <c r="C19" s="6"/>
      <c r="D19" s="6">
        <v>0</v>
      </c>
      <c r="E19" s="6">
        <f>'Adj Model'!E83</f>
        <v>-95625</v>
      </c>
      <c r="F19" s="6">
        <f>'Adj Model'!F83</f>
        <v>-699000</v>
      </c>
      <c r="G19" s="6">
        <f>'Adj Model'!G83</f>
        <v>-699000</v>
      </c>
      <c r="H19" s="6">
        <f>'Adj Model'!H83</f>
        <v>-699000</v>
      </c>
      <c r="I19" s="6">
        <f>'Adj Model'!I83</f>
        <v>-699000</v>
      </c>
      <c r="J19" s="6">
        <f>'Adj Model'!J83</f>
        <v>-699000</v>
      </c>
      <c r="K19" s="6">
        <f>'Adj Model'!K83</f>
        <v>-699000</v>
      </c>
      <c r="L19" s="6">
        <f>'Adj Model'!L83</f>
        <v>-699000</v>
      </c>
      <c r="M19" s="6">
        <f>'Adj Model'!M83</f>
        <v>-699000</v>
      </c>
      <c r="N19" s="6">
        <f>'Adj Model'!N83</f>
        <v>-699000</v>
      </c>
      <c r="O19" s="6">
        <f>'Adj Model'!O83</f>
        <v>-699000</v>
      </c>
      <c r="P19" s="6">
        <f>'Adj Model'!P83</f>
        <v>-699000</v>
      </c>
      <c r="Q19" s="6">
        <f>'Adj Model'!Q83</f>
        <v>-699000</v>
      </c>
      <c r="R19" s="6">
        <f>'Adj Model'!R83</f>
        <v>-699000</v>
      </c>
      <c r="S19" s="6">
        <f>'Adj Model'!S83</f>
        <v>-699000</v>
      </c>
      <c r="T19" s="6">
        <f>'Adj Model'!T83</f>
        <v>-699000</v>
      </c>
      <c r="U19" s="6">
        <f>'Adj Model'!U83</f>
        <v>-699000</v>
      </c>
      <c r="V19" s="6">
        <f>'Adj Model'!V83</f>
        <v>-699000</v>
      </c>
      <c r="W19" s="6">
        <f>'Adj Model'!W83</f>
        <v>-699000</v>
      </c>
      <c r="X19" s="6">
        <f>'Adj Model'!X83</f>
        <v>-699000</v>
      </c>
      <c r="Y19" s="6">
        <f>'Adj Model'!Y83</f>
        <v>-699000</v>
      </c>
      <c r="Z19" s="6">
        <f>'Adj Model'!Z83</f>
        <v>-699000</v>
      </c>
      <c r="AA19" s="6">
        <f>'Adj Model'!AA83</f>
        <v>-699000</v>
      </c>
      <c r="AB19" s="6">
        <f>'Adj Model'!AB83</f>
        <v>-699000</v>
      </c>
      <c r="AC19" s="6">
        <f>'Adj Model'!AC83</f>
        <v>-699000</v>
      </c>
      <c r="AD19" s="6">
        <f>'Adj Model'!AD83</f>
        <v>-699000</v>
      </c>
      <c r="AE19" s="6">
        <f>'Adj Model'!AE83</f>
        <v>-699000</v>
      </c>
      <c r="AF19" s="6">
        <f>'Adj Model'!AF83</f>
        <v>-699000</v>
      </c>
      <c r="AG19" s="6">
        <f>'Adj Model'!AG83</f>
        <v>-699000</v>
      </c>
      <c r="AH19" s="6">
        <f>'Adj Model'!AH83</f>
        <v>-699000</v>
      </c>
      <c r="AI19" s="6">
        <f>'Adj Model'!AI83</f>
        <v>-699000</v>
      </c>
      <c r="AJ19" s="6">
        <f>'Adj Model'!AJ83</f>
        <v>-699000</v>
      </c>
      <c r="AK19" s="6">
        <f>'Adj Model'!AK83</f>
        <v>-699000</v>
      </c>
      <c r="AL19" s="6">
        <f>'Adj Model'!AL83</f>
        <v>-699000</v>
      </c>
      <c r="AM19" s="6">
        <f>'Adj Model'!AM83</f>
        <v>-137375</v>
      </c>
      <c r="AN19" s="6">
        <f>'Adj Model'!AN83</f>
        <v>0</v>
      </c>
      <c r="AO19" s="6">
        <f>'Adj Model'!AO83</f>
        <v>0</v>
      </c>
      <c r="AP19" s="6">
        <f>'Adj Model'!AP83</f>
        <v>0</v>
      </c>
      <c r="AQ19" s="6">
        <f>'Adj Model'!AQ83</f>
        <v>0</v>
      </c>
      <c r="AR19" s="6">
        <f>'Adj Model'!AR83</f>
        <v>0</v>
      </c>
      <c r="AS19" s="6">
        <f>'Adj Model'!AS83</f>
        <v>0</v>
      </c>
      <c r="AT19" s="6">
        <f>'Adj Model'!AT83</f>
        <v>0</v>
      </c>
      <c r="AU19" s="6">
        <f>'Adj Model'!AU83</f>
        <v>0</v>
      </c>
      <c r="AV19" s="6">
        <f>'Adj Model'!AV83</f>
        <v>0</v>
      </c>
      <c r="AW19" s="6">
        <f>'Adj Model'!AW83</f>
        <v>0</v>
      </c>
      <c r="AX19" s="6">
        <f>'Adj Model'!AX83</f>
        <v>0</v>
      </c>
      <c r="AY19" s="6">
        <f>'Adj Model'!AY83</f>
        <v>0</v>
      </c>
      <c r="AZ19" s="6">
        <f>'Adj Model'!AZ83</f>
        <v>0</v>
      </c>
      <c r="BA19" s="6">
        <f>'Adj Model'!BA83</f>
        <v>0</v>
      </c>
      <c r="BB19" s="6"/>
      <c r="BC19" s="6"/>
    </row>
    <row r="20" spans="1:55" x14ac:dyDescent="0.2">
      <c r="A20" s="8" t="s">
        <v>67</v>
      </c>
      <c r="B20" s="8"/>
      <c r="C20" s="6"/>
      <c r="D20" s="6"/>
      <c r="E20" s="6">
        <f>'Adj Model'!E84</f>
        <v>-37500</v>
      </c>
      <c r="F20" s="6">
        <f>'Adj Model'!F84</f>
        <v>-819375</v>
      </c>
      <c r="G20" s="6">
        <f>'Adj Model'!G84</f>
        <v>-696468.75</v>
      </c>
      <c r="H20" s="6">
        <f>'Adj Model'!H84</f>
        <v>-591998.4375</v>
      </c>
      <c r="I20" s="6">
        <f>'Adj Model'!I84</f>
        <v>-503198.671875</v>
      </c>
      <c r="J20" s="6">
        <f>'Adj Model'!J84</f>
        <v>-427718.87109375</v>
      </c>
      <c r="K20" s="6">
        <f>'Adj Model'!K84</f>
        <v>-363561.04042968748</v>
      </c>
      <c r="L20" s="6">
        <f>'Adj Model'!L84</f>
        <v>-309026.88436523435</v>
      </c>
      <c r="M20" s="6">
        <f>'Adj Model'!M84</f>
        <v>-262672.85171044921</v>
      </c>
      <c r="N20" s="6">
        <f>'Adj Model'!N84</f>
        <v>-223271.92395388184</v>
      </c>
      <c r="O20" s="6">
        <f>'Adj Model'!O84</f>
        <v>-189781.13536079953</v>
      </c>
      <c r="P20" s="6">
        <f>'Adj Model'!P84</f>
        <v>-161313.96505667962</v>
      </c>
      <c r="Q20" s="6">
        <f>'Adj Model'!Q84</f>
        <v>-137116.87029817767</v>
      </c>
      <c r="R20" s="6">
        <f>'Adj Model'!R84</f>
        <v>-116549.33975345101</v>
      </c>
      <c r="S20" s="6">
        <f>'Adj Model'!S84</f>
        <v>-99066.938790433356</v>
      </c>
      <c r="T20" s="6">
        <f>'Adj Model'!T84</f>
        <v>-84206.897971868355</v>
      </c>
      <c r="U20" s="6">
        <f>'Adj Model'!U84</f>
        <v>-71575.863276088101</v>
      </c>
      <c r="V20" s="6">
        <f>'Adj Model'!V84</f>
        <v>-60839.483784674885</v>
      </c>
      <c r="W20" s="6">
        <f>'Adj Model'!W84</f>
        <v>-51713.561216973649</v>
      </c>
      <c r="X20" s="6">
        <f>'Adj Model'!X84</f>
        <v>-43956.527034427607</v>
      </c>
      <c r="Y20" s="6">
        <f>'Adj Model'!Y84</f>
        <v>-37363.047979263465</v>
      </c>
      <c r="Z20" s="6">
        <f>'Adj Model'!Z84</f>
        <v>-31758.59078237394</v>
      </c>
      <c r="AA20" s="6">
        <f>'Adj Model'!AA84</f>
        <v>-26994.802165017853</v>
      </c>
      <c r="AB20" s="6">
        <f>'Adj Model'!AB84</f>
        <v>-22945.581840265175</v>
      </c>
      <c r="AC20" s="6">
        <f>'Adj Model'!AC84</f>
        <v>-19503.744564225399</v>
      </c>
      <c r="AD20" s="6">
        <f>'Adj Model'!AD84</f>
        <v>-16578.182879591586</v>
      </c>
      <c r="AE20" s="6">
        <f>'Adj Model'!AE84</f>
        <v>-14091.455447652852</v>
      </c>
      <c r="AF20" s="6">
        <f>'Adj Model'!AF84</f>
        <v>-11977.737130504922</v>
      </c>
      <c r="AG20" s="6">
        <f>'Adj Model'!AG84</f>
        <v>-10181.076560929185</v>
      </c>
      <c r="AH20" s="6">
        <f>'Adj Model'!AH84</f>
        <v>-8653.9150767898082</v>
      </c>
      <c r="AI20" s="6">
        <f>'Adj Model'!AI84</f>
        <v>-7355.8278152713365</v>
      </c>
      <c r="AJ20" s="6">
        <f>'Adj Model'!AJ84</f>
        <v>-6252.4536429806349</v>
      </c>
      <c r="AK20" s="6">
        <f>'Adj Model'!AK84</f>
        <v>-5314.5855965335404</v>
      </c>
      <c r="AL20" s="6">
        <f>'Adj Model'!AL84</f>
        <v>-4517.3977570535098</v>
      </c>
      <c r="AM20" s="6">
        <f>'Adj Model'!AM84</f>
        <v>-3839.7880934954828</v>
      </c>
      <c r="AN20" s="6">
        <f>'Adj Model'!AN84</f>
        <v>-3263.8198794711611</v>
      </c>
      <c r="AO20" s="6">
        <f>'Adj Model'!AO84</f>
        <v>-2774.2468975504867</v>
      </c>
      <c r="AP20" s="6">
        <f>'Adj Model'!AP84</f>
        <v>-2358.1098629179137</v>
      </c>
      <c r="AQ20" s="6">
        <f>'Adj Model'!AQ84</f>
        <v>-2004.3933834802267</v>
      </c>
      <c r="AR20" s="6">
        <f>'Adj Model'!AR84</f>
        <v>-1703.7343759581927</v>
      </c>
      <c r="AS20" s="6">
        <f>'Adj Model'!AS84</f>
        <v>-1448.1742195644638</v>
      </c>
      <c r="AT20" s="6">
        <f>'Adj Model'!AT84</f>
        <v>-1230.9480866297943</v>
      </c>
      <c r="AU20" s="6">
        <f>'Adj Model'!AU84</f>
        <v>-1046.305873635325</v>
      </c>
      <c r="AV20" s="6">
        <f>'Adj Model'!AV84</f>
        <v>-889.35999259002631</v>
      </c>
      <c r="AW20" s="6">
        <f>'Adj Model'!AW84</f>
        <v>-755.9559937015224</v>
      </c>
      <c r="AX20" s="6">
        <f>'Adj Model'!AX84</f>
        <v>-642.56259464629397</v>
      </c>
      <c r="AY20" s="6">
        <f>'Adj Model'!AY84</f>
        <v>-546.17820544934989</v>
      </c>
      <c r="AZ20" s="6">
        <f>'Adj Model'!AZ84</f>
        <v>-464.25147463194742</v>
      </c>
      <c r="BA20" s="6">
        <f>'Adj Model'!BA84</f>
        <v>-394.61375343715531</v>
      </c>
      <c r="BB20" s="6"/>
      <c r="BC20" s="6"/>
    </row>
    <row r="21" spans="1:55" x14ac:dyDescent="0.2">
      <c r="A21" s="8" t="s">
        <v>68</v>
      </c>
      <c r="B21" s="8"/>
      <c r="C21" s="6"/>
      <c r="D21" s="6">
        <v>0</v>
      </c>
      <c r="E21" s="6">
        <f>'Adj Model'!E85</f>
        <v>-17500</v>
      </c>
      <c r="F21" s="6">
        <f>'Adj Model'!F85</f>
        <v>-68250</v>
      </c>
      <c r="G21" s="6">
        <f>'Adj Model'!G85</f>
        <v>-61425</v>
      </c>
      <c r="H21" s="6">
        <f>'Adj Model'!H85</f>
        <v>-55282.5</v>
      </c>
      <c r="I21" s="6">
        <f>'Adj Model'!I85</f>
        <v>-49754.25</v>
      </c>
      <c r="J21" s="6">
        <f>'Adj Model'!J85</f>
        <v>-44778.825000000004</v>
      </c>
      <c r="K21" s="6">
        <f>'Adj Model'!K85</f>
        <v>-40300.942500000005</v>
      </c>
      <c r="L21" s="6">
        <f>'Adj Model'!L85</f>
        <v>-36270.848250000003</v>
      </c>
      <c r="M21" s="6">
        <f>'Adj Model'!M85</f>
        <v>-32643.763425000001</v>
      </c>
      <c r="N21" s="6">
        <f>'Adj Model'!N85</f>
        <v>-29379.387082500001</v>
      </c>
      <c r="O21" s="6">
        <f>'Adj Model'!O85</f>
        <v>-26441.448374250002</v>
      </c>
      <c r="P21" s="6">
        <f>'Adj Model'!P85</f>
        <v>-23797.303536825002</v>
      </c>
      <c r="Q21" s="6">
        <f>'Adj Model'!Q85</f>
        <v>-21417.573183142504</v>
      </c>
      <c r="R21" s="6">
        <f>'Adj Model'!R85</f>
        <v>-19275.815864828252</v>
      </c>
      <c r="S21" s="6">
        <f>'Adj Model'!S85</f>
        <v>-17348.23427834543</v>
      </c>
      <c r="T21" s="6">
        <f>'Adj Model'!T85</f>
        <v>-15613.410850510887</v>
      </c>
      <c r="U21" s="6">
        <f>'Adj Model'!U85</f>
        <v>-14052.069765459799</v>
      </c>
      <c r="V21" s="6">
        <f>'Adj Model'!V85</f>
        <v>-12646.862788913819</v>
      </c>
      <c r="W21" s="6">
        <f>'Adj Model'!W85</f>
        <v>-11382.176510022437</v>
      </c>
      <c r="X21" s="6">
        <f>'Adj Model'!X85</f>
        <v>-10243.958859020193</v>
      </c>
      <c r="Y21" s="6">
        <f>'Adj Model'!Y85</f>
        <v>-9219.5629731181743</v>
      </c>
      <c r="Z21" s="6">
        <f>'Adj Model'!Z85</f>
        <v>-8297.6066758063571</v>
      </c>
      <c r="AA21" s="6">
        <f>'Adj Model'!AA85</f>
        <v>-7467.8460082257216</v>
      </c>
      <c r="AB21" s="6">
        <f>'Adj Model'!AB85</f>
        <v>-6721.0614074031491</v>
      </c>
      <c r="AC21" s="6">
        <f>'Adj Model'!AC85</f>
        <v>-6048.9552666628342</v>
      </c>
      <c r="AD21" s="6">
        <f>'Adj Model'!AD85</f>
        <v>-5444.0597399965509</v>
      </c>
      <c r="AE21" s="6">
        <f>'Adj Model'!AE85</f>
        <v>-4899.6537659968953</v>
      </c>
      <c r="AF21" s="6">
        <f>'Adj Model'!AF85</f>
        <v>-4409.6883893972063</v>
      </c>
      <c r="AG21" s="6">
        <f>'Adj Model'!AG85</f>
        <v>-3968.7195504574856</v>
      </c>
      <c r="AH21" s="6">
        <f>'Adj Model'!AH85</f>
        <v>-3571.8475954117371</v>
      </c>
      <c r="AI21" s="6">
        <f>'Adj Model'!AI85</f>
        <v>-3214.6628358705634</v>
      </c>
      <c r="AJ21" s="6">
        <f>'Adj Model'!AJ85</f>
        <v>-2893.1965522835071</v>
      </c>
      <c r="AK21" s="6">
        <f>'Adj Model'!AK85</f>
        <v>-2603.876897055156</v>
      </c>
      <c r="AL21" s="6">
        <f>'Adj Model'!AL85</f>
        <v>-2343.4892073496403</v>
      </c>
      <c r="AM21" s="6">
        <f>'Adj Model'!AM85</f>
        <v>-2109.1402866146759</v>
      </c>
      <c r="AN21" s="6">
        <f>'Adj Model'!AN85</f>
        <v>-1898.2262579532087</v>
      </c>
      <c r="AO21" s="6">
        <f>'Adj Model'!AO85</f>
        <v>-1708.4036321578878</v>
      </c>
      <c r="AP21" s="6">
        <f>'Adj Model'!AP85</f>
        <v>-1537.5632689420991</v>
      </c>
      <c r="AQ21" s="6">
        <f>'Adj Model'!AQ85</f>
        <v>-1383.8069420478894</v>
      </c>
      <c r="AR21" s="6">
        <f>'Adj Model'!AR85</f>
        <v>-1245.4262478431003</v>
      </c>
      <c r="AS21" s="6">
        <f>'Adj Model'!AS85</f>
        <v>-1120.8836230587901</v>
      </c>
      <c r="AT21" s="6">
        <f>'Adj Model'!AT85</f>
        <v>-1008.7952607529113</v>
      </c>
      <c r="AU21" s="6">
        <f>'Adj Model'!AU85</f>
        <v>-907.91573467762009</v>
      </c>
      <c r="AV21" s="6">
        <f>'Adj Model'!AV85</f>
        <v>-817.12416120985813</v>
      </c>
      <c r="AW21" s="6">
        <f>'Adj Model'!AW85</f>
        <v>-735.41174508887229</v>
      </c>
      <c r="AX21" s="6">
        <f>'Adj Model'!AX85</f>
        <v>-661.87057057998504</v>
      </c>
      <c r="AY21" s="6">
        <f>'Adj Model'!AY85</f>
        <v>-595.68351352198658</v>
      </c>
      <c r="AZ21" s="6">
        <f>'Adj Model'!AZ85</f>
        <v>-536.11516216978794</v>
      </c>
      <c r="BA21" s="6">
        <f>'Adj Model'!BA85</f>
        <v>-482.50364595280911</v>
      </c>
      <c r="BB21" s="6"/>
      <c r="BC21" s="6"/>
    </row>
    <row r="22" spans="1:55" x14ac:dyDescent="0.2">
      <c r="A22" s="23" t="s">
        <v>69</v>
      </c>
      <c r="B22" s="23"/>
      <c r="C22" s="24"/>
      <c r="D22" s="6">
        <v>0</v>
      </c>
      <c r="E22" s="6">
        <f>SUM(E9:E21)</f>
        <v>1358575</v>
      </c>
      <c r="F22" s="6">
        <f>SUM(F10:F21)</f>
        <v>-233429.4444444445</v>
      </c>
      <c r="G22" s="6">
        <f>SUM(G9:G21)</f>
        <v>1536074.7217777777</v>
      </c>
      <c r="H22" s="6">
        <f t="shared" ref="H22:V22" si="3">SUM(H9:H21)</f>
        <v>1882667.1008868888</v>
      </c>
      <c r="I22" s="6">
        <f t="shared" si="3"/>
        <v>2242449.6533261896</v>
      </c>
      <c r="J22" s="6">
        <f t="shared" si="3"/>
        <v>2620216.6128421337</v>
      </c>
      <c r="K22" s="6">
        <f t="shared" si="3"/>
        <v>3020588.136052574</v>
      </c>
      <c r="L22" s="6">
        <f t="shared" si="3"/>
        <v>2315272.8487055153</v>
      </c>
      <c r="M22" s="6">
        <f t="shared" si="3"/>
        <v>2649739.8717920044</v>
      </c>
      <c r="N22" s="6">
        <f t="shared" si="3"/>
        <v>3024718.6730038635</v>
      </c>
      <c r="O22" s="6">
        <f t="shared" si="3"/>
        <v>3435796.6076777922</v>
      </c>
      <c r="P22" s="6">
        <f t="shared" si="3"/>
        <v>3887125.0043005995</v>
      </c>
      <c r="Q22" s="6">
        <f t="shared" si="3"/>
        <v>4383366.6543344045</v>
      </c>
      <c r="R22" s="6">
        <f t="shared" si="3"/>
        <v>4769400.8973781085</v>
      </c>
      <c r="S22" s="6">
        <f t="shared" si="3"/>
        <v>4975085.9861993911</v>
      </c>
      <c r="T22" s="6">
        <f t="shared" si="3"/>
        <v>5419964.6166770337</v>
      </c>
      <c r="U22" s="6">
        <f t="shared" si="3"/>
        <v>6062057.9881392149</v>
      </c>
      <c r="V22" s="6">
        <f t="shared" si="3"/>
        <v>6834057.0257020844</v>
      </c>
      <c r="W22" s="6">
        <f t="shared" ref="W22:AL22" si="4">SUM(W9:W21)</f>
        <v>7676896.1593931001</v>
      </c>
      <c r="X22" s="6">
        <f t="shared" si="4"/>
        <v>8597098.681684237</v>
      </c>
      <c r="Y22" s="6">
        <f t="shared" si="4"/>
        <v>9601671.5985891372</v>
      </c>
      <c r="Z22" s="6">
        <f t="shared" si="4"/>
        <v>10698152.480006233</v>
      </c>
      <c r="AA22" s="6">
        <f t="shared" si="4"/>
        <v>11894658.818649236</v>
      </c>
      <c r="AB22" s="6">
        <f t="shared" si="4"/>
        <v>13199940.269318093</v>
      </c>
      <c r="AC22" s="6">
        <f t="shared" si="4"/>
        <v>14623434.142817652</v>
      </c>
      <c r="AD22" s="6">
        <f t="shared" si="4"/>
        <v>16175324.535501143</v>
      </c>
      <c r="AE22" s="6">
        <f t="shared" si="4"/>
        <v>17866605.485929765</v>
      </c>
      <c r="AF22" s="6">
        <f t="shared" si="4"/>
        <v>19709148.564297393</v>
      </c>
      <c r="AG22" s="6">
        <f t="shared" si="4"/>
        <v>21715775.317925487</v>
      </c>
      <c r="AH22" s="6">
        <f t="shared" si="4"/>
        <v>23900335.017197803</v>
      </c>
      <c r="AI22" s="6">
        <f t="shared" si="4"/>
        <v>26277788.170732118</v>
      </c>
      <c r="AJ22" s="6">
        <f t="shared" si="4"/>
        <v>28864296.306375917</v>
      </c>
      <c r="AK22" s="6">
        <f t="shared" si="4"/>
        <v>31677318.545800924</v>
      </c>
      <c r="AL22" s="6">
        <f t="shared" si="4"/>
        <v>34735715.535131477</v>
      </c>
      <c r="AM22" s="6">
        <f t="shared" ref="AM22:BA22" si="5">SUM(AM9:AM21)</f>
        <v>38621486.332279243</v>
      </c>
      <c r="AN22" s="6">
        <f t="shared" si="5"/>
        <v>42378177.343612015</v>
      </c>
      <c r="AO22" s="6">
        <f t="shared" si="5"/>
        <v>46311229.493965849</v>
      </c>
      <c r="AP22" s="6">
        <f t="shared" si="5"/>
        <v>50581996.988300726</v>
      </c>
      <c r="AQ22" s="6">
        <f t="shared" si="5"/>
        <v>55218236.252924345</v>
      </c>
      <c r="AR22" s="6">
        <f t="shared" si="5"/>
        <v>60249921.54574012</v>
      </c>
      <c r="AS22" s="6">
        <f t="shared" si="5"/>
        <v>65709419.908607014</v>
      </c>
      <c r="AT22" s="6">
        <f t="shared" si="5"/>
        <v>71631679.693301857</v>
      </c>
      <c r="AU22" s="6">
        <f t="shared" si="5"/>
        <v>78054530.127921656</v>
      </c>
      <c r="AV22" s="6">
        <f t="shared" si="5"/>
        <v>85018629.648052067</v>
      </c>
      <c r="AW22" s="6">
        <f t="shared" si="5"/>
        <v>92567956.203928009</v>
      </c>
      <c r="AX22" s="6">
        <f t="shared" si="5"/>
        <v>100749981.57375067</v>
      </c>
      <c r="AY22" s="6">
        <f t="shared" si="5"/>
        <v>109615945.36888978</v>
      </c>
      <c r="AZ22" s="6">
        <f t="shared" si="5"/>
        <v>119221150.30696575</v>
      </c>
      <c r="BA22" s="6">
        <f t="shared" si="5"/>
        <v>129625280.3991086</v>
      </c>
      <c r="BB22" s="6"/>
      <c r="BC22" s="6"/>
    </row>
    <row r="23" spans="1:55" x14ac:dyDescent="0.2">
      <c r="A23" s="28" t="s">
        <v>82</v>
      </c>
      <c r="B23" s="23"/>
      <c r="C23" s="24"/>
      <c r="D23" s="48">
        <f>-'Ln &amp; Int Sch'!D29</f>
        <v>-463750</v>
      </c>
      <c r="E23" s="48">
        <f>-'Ln &amp; Int Sch'!E29</f>
        <v>-1904062.5</v>
      </c>
      <c r="F23" s="48">
        <f>-'Ln &amp; Int Sch'!F29</f>
        <v>-1920140.625</v>
      </c>
      <c r="G23" s="48">
        <f>-'Ln &amp; Int Sch'!G29</f>
        <v>-1937022.65625</v>
      </c>
      <c r="H23" s="48">
        <f>-'Ln &amp; Int Sch'!H29</f>
        <v>-1859748.7890625</v>
      </c>
      <c r="I23" s="48">
        <f>-'Ln &amp; Int Sch'!I29</f>
        <v>-1783361.228515625</v>
      </c>
      <c r="J23" s="48">
        <f>-'Ln &amp; Int Sch'!J29</f>
        <v>-1707904.2899414063</v>
      </c>
      <c r="K23" s="48">
        <f>-'Ln &amp; Int Sch'!K29</f>
        <v>-1633424.5044384766</v>
      </c>
      <c r="L23" s="48">
        <f>-'Ln &amp; Int Sch'!L29</f>
        <v>-1559970.7296604004</v>
      </c>
      <c r="M23" s="48">
        <f>-'Ln &amp; Int Sch'!M29</f>
        <v>-1487594.2661434205</v>
      </c>
      <c r="N23" s="48">
        <f>-'Ln &amp; Int Sch'!N29</f>
        <v>-1416348.9794505914</v>
      </c>
      <c r="O23" s="48">
        <f>-'Ln &amp; Int Sch'!O29</f>
        <v>-1346291.4284231211</v>
      </c>
      <c r="P23" s="48">
        <f>-'Ln &amp; Int Sch'!P29</f>
        <v>-1277480.999844277</v>
      </c>
      <c r="Q23" s="48">
        <f>-'Ln &amp; Int Sch'!Q29</f>
        <v>-1209980.049836491</v>
      </c>
      <c r="R23" s="48">
        <f>-'Ln &amp; Int Sch'!R29</f>
        <v>-763854.05232831556</v>
      </c>
      <c r="S23" s="48">
        <f>-'Ln &amp; Int Sch'!S29</f>
        <v>-636671.75494473125</v>
      </c>
      <c r="T23" s="48">
        <f>-'Ln &amp; Int Sch'!T29</f>
        <v>-386671.75494473131</v>
      </c>
      <c r="U23" s="48">
        <f>-'Ln &amp; Int Sch'!U29</f>
        <v>-306250.00494473131</v>
      </c>
      <c r="V23" s="48">
        <f>-'Ln &amp; Int Sch'!V29</f>
        <v>-306250.00494473131</v>
      </c>
      <c r="W23" s="48">
        <f>-'Ln &amp; Int Sch'!W29</f>
        <v>-306250.00494473131</v>
      </c>
      <c r="X23" s="48">
        <f>-'Ln &amp; Int Sch'!X29</f>
        <v>-306250.00494473131</v>
      </c>
      <c r="Y23" s="48">
        <f>-'Ln &amp; Int Sch'!Y29</f>
        <v>-306250.00494473131</v>
      </c>
      <c r="Z23" s="48">
        <f>-'Ln &amp; Int Sch'!Z29</f>
        <v>-306250.00494473131</v>
      </c>
      <c r="AA23" s="48">
        <f>-'Ln &amp; Int Sch'!AA29</f>
        <v>-306250.00494473131</v>
      </c>
      <c r="AB23" s="48">
        <f>-'Ln &amp; Int Sch'!AB29</f>
        <v>-306250.00494473131</v>
      </c>
      <c r="AC23" s="48">
        <f>-'Ln &amp; Int Sch'!AC29</f>
        <v>-306250.00494473131</v>
      </c>
      <c r="AD23" s="48">
        <f>-'Ln &amp; Int Sch'!AD29</f>
        <v>-306250.00494473131</v>
      </c>
      <c r="AE23" s="48">
        <f>-'Ln &amp; Int Sch'!AE29</f>
        <v>-306250.00494473131</v>
      </c>
      <c r="AF23" s="48">
        <f>-'Ln &amp; Int Sch'!AF29</f>
        <v>-306250.00494473131</v>
      </c>
      <c r="AG23" s="48">
        <f>-'Ln &amp; Int Sch'!AG29</f>
        <v>-306250.00494473131</v>
      </c>
      <c r="AH23" s="48">
        <f>-'Ln &amp; Int Sch'!AH29</f>
        <v>-306250.00494473131</v>
      </c>
      <c r="AI23" s="48">
        <f>-'Ln &amp; Int Sch'!AI29</f>
        <v>-306250.00494473131</v>
      </c>
      <c r="AJ23" s="48">
        <f>-'Ln &amp; Int Sch'!AJ29</f>
        <v>-306250.00494473131</v>
      </c>
      <c r="AK23" s="48">
        <f>-'Ln &amp; Int Sch'!AK29</f>
        <v>-306250.00494473131</v>
      </c>
      <c r="AL23" s="48">
        <f>-'Ln &amp; Int Sch'!AL29</f>
        <v>-306250.00494473131</v>
      </c>
      <c r="AM23" s="48">
        <f>-'Ln &amp; Int Sch'!AM29</f>
        <v>-306250.00494473131</v>
      </c>
      <c r="AN23" s="48">
        <f>-'Ln &amp; Int Sch'!AN29</f>
        <v>-306250.00494473131</v>
      </c>
      <c r="AO23" s="48">
        <f>-'Ln &amp; Int Sch'!AO29</f>
        <v>-306250.00494473131</v>
      </c>
      <c r="AP23" s="48">
        <f>-'Ln &amp; Int Sch'!AP29</f>
        <v>-306250.00494473131</v>
      </c>
      <c r="AQ23" s="48">
        <f>-'Ln &amp; Int Sch'!AQ29</f>
        <v>-306250.00494473131</v>
      </c>
      <c r="AR23" s="48">
        <f>-'Ln &amp; Int Sch'!AR29</f>
        <v>-306250.00494473131</v>
      </c>
      <c r="AS23" s="48">
        <f>-'Ln &amp; Int Sch'!AS29</f>
        <v>-306250.00494473131</v>
      </c>
      <c r="AT23" s="48">
        <f>-'Ln &amp; Int Sch'!AT29</f>
        <v>-306250.00494473131</v>
      </c>
      <c r="AU23" s="48">
        <f>-'Ln &amp; Int Sch'!AU29</f>
        <v>-306250.00494473131</v>
      </c>
      <c r="AV23" s="48">
        <f>-'Ln &amp; Int Sch'!AV29</f>
        <v>-306250.00494473131</v>
      </c>
      <c r="AW23" s="48">
        <f>-'Ln &amp; Int Sch'!AW29</f>
        <v>-306250.00494473131</v>
      </c>
      <c r="AX23" s="48">
        <f>-'Ln &amp; Int Sch'!AX29</f>
        <v>-306250.00494473131</v>
      </c>
      <c r="AY23" s="48">
        <f>-'Ln &amp; Int Sch'!AY29</f>
        <v>-306250.00494473131</v>
      </c>
      <c r="AZ23" s="48">
        <f>-'Ln &amp; Int Sch'!AZ29</f>
        <v>-306250.00494473131</v>
      </c>
      <c r="BA23" s="48">
        <f>-'Ln &amp; Int Sch'!BA29</f>
        <v>-306250.00494473131</v>
      </c>
      <c r="BB23" s="6"/>
      <c r="BC23" s="6"/>
    </row>
    <row r="24" spans="1:55" x14ac:dyDescent="0.2">
      <c r="A24" s="23" t="s">
        <v>83</v>
      </c>
      <c r="B24" s="23"/>
      <c r="C24" s="24"/>
      <c r="D24" s="6">
        <f>D23+D22</f>
        <v>-463750</v>
      </c>
      <c r="E24" s="6">
        <f t="shared" ref="E24:T24" si="6">E23+E22</f>
        <v>-545487.5</v>
      </c>
      <c r="F24" s="6">
        <f t="shared" si="6"/>
        <v>-2153570.0694444445</v>
      </c>
      <c r="G24" s="6">
        <f t="shared" si="6"/>
        <v>-400947.93447222235</v>
      </c>
      <c r="H24" s="6">
        <f t="shared" si="6"/>
        <v>22918.311824388802</v>
      </c>
      <c r="I24" s="6">
        <f t="shared" si="6"/>
        <v>459088.42481056461</v>
      </c>
      <c r="J24" s="6">
        <f t="shared" si="6"/>
        <v>912312.32290072739</v>
      </c>
      <c r="K24" s="6">
        <f t="shared" si="6"/>
        <v>1387163.6316140974</v>
      </c>
      <c r="L24" s="6">
        <f t="shared" si="6"/>
        <v>755302.11904511484</v>
      </c>
      <c r="M24" s="6">
        <f t="shared" si="6"/>
        <v>1162145.605648584</v>
      </c>
      <c r="N24" s="6">
        <f t="shared" si="6"/>
        <v>1608369.6935532722</v>
      </c>
      <c r="O24" s="6">
        <f t="shared" si="6"/>
        <v>2089505.1792546711</v>
      </c>
      <c r="P24" s="6">
        <f t="shared" si="6"/>
        <v>2609644.0044563226</v>
      </c>
      <c r="Q24" s="6">
        <f t="shared" si="6"/>
        <v>3173386.6044979133</v>
      </c>
      <c r="R24" s="6">
        <f t="shared" si="6"/>
        <v>4005546.8450497929</v>
      </c>
      <c r="S24" s="6">
        <f t="shared" si="6"/>
        <v>4338414.2312546596</v>
      </c>
      <c r="T24" s="6">
        <f t="shared" si="6"/>
        <v>5033292.8617323022</v>
      </c>
      <c r="U24" s="6">
        <f t="shared" ref="U24:AJ24" si="7">U23+U22</f>
        <v>5755807.9831944834</v>
      </c>
      <c r="V24" s="6">
        <f t="shared" si="7"/>
        <v>6527807.0207573529</v>
      </c>
      <c r="W24" s="6">
        <f t="shared" si="7"/>
        <v>7370646.1544483686</v>
      </c>
      <c r="X24" s="6">
        <f t="shared" si="7"/>
        <v>8290848.6767395055</v>
      </c>
      <c r="Y24" s="6">
        <f t="shared" si="7"/>
        <v>9295421.5936444066</v>
      </c>
      <c r="Z24" s="6">
        <f t="shared" si="7"/>
        <v>10391902.475061502</v>
      </c>
      <c r="AA24" s="6">
        <f t="shared" si="7"/>
        <v>11588408.813704506</v>
      </c>
      <c r="AB24" s="6">
        <f t="shared" si="7"/>
        <v>12893690.264373362</v>
      </c>
      <c r="AC24" s="6">
        <f t="shared" si="7"/>
        <v>14317184.137872921</v>
      </c>
      <c r="AD24" s="6">
        <f t="shared" si="7"/>
        <v>15869074.530556412</v>
      </c>
      <c r="AE24" s="6">
        <f t="shared" si="7"/>
        <v>17560355.480985034</v>
      </c>
      <c r="AF24" s="6">
        <f t="shared" si="7"/>
        <v>19402898.559352662</v>
      </c>
      <c r="AG24" s="6">
        <f t="shared" si="7"/>
        <v>21409525.312980756</v>
      </c>
      <c r="AH24" s="6">
        <f t="shared" si="7"/>
        <v>23594085.012253072</v>
      </c>
      <c r="AI24" s="6">
        <f t="shared" si="7"/>
        <v>25971538.165787388</v>
      </c>
      <c r="AJ24" s="6">
        <f t="shared" si="7"/>
        <v>28558046.301431186</v>
      </c>
      <c r="AK24" s="6">
        <f t="shared" ref="AK24:AZ24" si="8">AK23+AK22</f>
        <v>31371068.540856194</v>
      </c>
      <c r="AL24" s="6">
        <f t="shared" si="8"/>
        <v>34429465.530186743</v>
      </c>
      <c r="AM24" s="6">
        <f t="shared" si="8"/>
        <v>38315236.327334508</v>
      </c>
      <c r="AN24" s="6">
        <f t="shared" si="8"/>
        <v>42071927.338667281</v>
      </c>
      <c r="AO24" s="6">
        <f t="shared" si="8"/>
        <v>46004979.489021115</v>
      </c>
      <c r="AP24" s="6">
        <f t="shared" si="8"/>
        <v>50275746.983355992</v>
      </c>
      <c r="AQ24" s="6">
        <f t="shared" si="8"/>
        <v>54911986.247979611</v>
      </c>
      <c r="AR24" s="6">
        <f t="shared" si="8"/>
        <v>59943671.540795386</v>
      </c>
      <c r="AS24" s="6">
        <f t="shared" si="8"/>
        <v>65403169.903662279</v>
      </c>
      <c r="AT24" s="6">
        <f t="shared" si="8"/>
        <v>71325429.68835713</v>
      </c>
      <c r="AU24" s="6">
        <f t="shared" si="8"/>
        <v>77748280.122976929</v>
      </c>
      <c r="AV24" s="6">
        <f t="shared" si="8"/>
        <v>84712379.64310734</v>
      </c>
      <c r="AW24" s="6">
        <f t="shared" si="8"/>
        <v>92261706.198983282</v>
      </c>
      <c r="AX24" s="6">
        <f t="shared" si="8"/>
        <v>100443731.56880595</v>
      </c>
      <c r="AY24" s="6">
        <f t="shared" si="8"/>
        <v>109309695.36394505</v>
      </c>
      <c r="AZ24" s="6">
        <f t="shared" si="8"/>
        <v>118914900.30202103</v>
      </c>
      <c r="BA24" s="6">
        <f>BA23+BA22</f>
        <v>129319030.39416388</v>
      </c>
      <c r="BB24" s="6"/>
      <c r="BC24" s="6"/>
    </row>
    <row r="25" spans="1:55" x14ac:dyDescent="0.2">
      <c r="A25" s="8" t="s">
        <v>70</v>
      </c>
      <c r="B25" s="8"/>
      <c r="C25" s="6"/>
      <c r="D25" s="6">
        <f t="shared" ref="D25:M25" si="9">IF(D24&lt;0,0,IF(D24-D53&gt;0,-(D24-D53)*0.33,0))</f>
        <v>0</v>
      </c>
      <c r="E25" s="6">
        <f t="shared" si="9"/>
        <v>0</v>
      </c>
      <c r="F25" s="6">
        <f t="shared" si="9"/>
        <v>0</v>
      </c>
      <c r="G25" s="6">
        <f t="shared" si="9"/>
        <v>0</v>
      </c>
      <c r="H25" s="6">
        <f t="shared" si="9"/>
        <v>0</v>
      </c>
      <c r="I25" s="6">
        <f t="shared" si="9"/>
        <v>0</v>
      </c>
      <c r="J25" s="6">
        <f t="shared" si="9"/>
        <v>0</v>
      </c>
      <c r="K25" s="6">
        <f t="shared" si="9"/>
        <v>0</v>
      </c>
      <c r="L25" s="6">
        <f t="shared" si="9"/>
        <v>0</v>
      </c>
      <c r="M25" s="6">
        <f t="shared" si="9"/>
        <v>-374607.72093584738</v>
      </c>
      <c r="N25" s="6">
        <f t="shared" ref="N25:W25" si="10">IF(N24&lt;0,0,IF(N24-N53&gt;0,-(N24-N53)*0.33,0))</f>
        <v>-530761.99887257989</v>
      </c>
      <c r="O25" s="6">
        <f t="shared" si="10"/>
        <v>-689536.70915404148</v>
      </c>
      <c r="P25" s="6">
        <f t="shared" si="10"/>
        <v>-861182.52147058654</v>
      </c>
      <c r="Q25" s="6">
        <f t="shared" si="10"/>
        <v>-1047217.5794843114</v>
      </c>
      <c r="R25" s="6">
        <f t="shared" si="10"/>
        <v>-1321830.4588664316</v>
      </c>
      <c r="S25" s="6">
        <f t="shared" si="10"/>
        <v>-1431676.6963140378</v>
      </c>
      <c r="T25" s="6">
        <f t="shared" si="10"/>
        <v>-1660986.6443716597</v>
      </c>
      <c r="U25" s="6">
        <f t="shared" si="10"/>
        <v>-1899416.6344541796</v>
      </c>
      <c r="V25" s="6">
        <f t="shared" si="10"/>
        <v>-2154176.3168499265</v>
      </c>
      <c r="W25" s="6">
        <f t="shared" si="10"/>
        <v>-2432313.2309679617</v>
      </c>
      <c r="X25" s="6">
        <f t="shared" ref="X25:AG25" si="11">IF(X24&lt;0,0,IF(X24-X53&gt;0,-(X24-X53)*0.33,0))</f>
        <v>-2735980.063324037</v>
      </c>
      <c r="Y25" s="6">
        <f t="shared" si="11"/>
        <v>-3067489.1259026541</v>
      </c>
      <c r="Z25" s="6">
        <f t="shared" si="11"/>
        <v>-3429327.8167702961</v>
      </c>
      <c r="AA25" s="6">
        <f t="shared" si="11"/>
        <v>-3824174.9085224872</v>
      </c>
      <c r="AB25" s="6">
        <f t="shared" si="11"/>
        <v>-4254917.7872432098</v>
      </c>
      <c r="AC25" s="6">
        <f t="shared" si="11"/>
        <v>-4724670.7654980645</v>
      </c>
      <c r="AD25" s="6">
        <f t="shared" si="11"/>
        <v>-5236794.5950836167</v>
      </c>
      <c r="AE25" s="6">
        <f t="shared" si="11"/>
        <v>-5794917.3087250618</v>
      </c>
      <c r="AF25" s="6">
        <f t="shared" si="11"/>
        <v>-6402956.5245863786</v>
      </c>
      <c r="AG25" s="6">
        <f t="shared" si="11"/>
        <v>-7065143.3532836502</v>
      </c>
      <c r="AH25" s="6">
        <f t="shared" ref="AH25:AQ25" si="12">IF(AH24&lt;0,0,IF(AH24-AH53&gt;0,-(AH24-AH53)*0.33,0))</f>
        <v>-7786048.0540435137</v>
      </c>
      <c r="AI25" s="6">
        <f t="shared" si="12"/>
        <v>-8570607.5947098378</v>
      </c>
      <c r="AJ25" s="6">
        <f t="shared" si="12"/>
        <v>-9424155.2794722915</v>
      </c>
      <c r="AK25" s="6">
        <f t="shared" si="12"/>
        <v>-10352452.618482545</v>
      </c>
      <c r="AL25" s="6">
        <f t="shared" si="12"/>
        <v>-11361723.624961626</v>
      </c>
      <c r="AM25" s="6">
        <f t="shared" si="12"/>
        <v>-12644027.988020388</v>
      </c>
      <c r="AN25" s="6">
        <f t="shared" si="12"/>
        <v>-13883736.021760203</v>
      </c>
      <c r="AO25" s="6">
        <f t="shared" si="12"/>
        <v>-15181643.231376968</v>
      </c>
      <c r="AP25" s="6">
        <f t="shared" si="12"/>
        <v>-16590996.504507478</v>
      </c>
      <c r="AQ25" s="6">
        <f t="shared" si="12"/>
        <v>-18120955.461833272</v>
      </c>
      <c r="AR25" s="6">
        <f t="shared" ref="AR25:BA25" si="13">IF(AR24&lt;0,0,IF(AR24-AR53&gt;0,-(AR24-AR53)*0.33,0))</f>
        <v>-19781411.608462479</v>
      </c>
      <c r="AS25" s="6">
        <f t="shared" si="13"/>
        <v>-21583046.068208553</v>
      </c>
      <c r="AT25" s="6">
        <f t="shared" si="13"/>
        <v>-23537391.797157854</v>
      </c>
      <c r="AU25" s="6">
        <f t="shared" si="13"/>
        <v>-25656932.440582387</v>
      </c>
      <c r="AV25" s="6">
        <f t="shared" si="13"/>
        <v>-27955085.282225423</v>
      </c>
      <c r="AW25" s="6">
        <f t="shared" si="13"/>
        <v>-30446363.045664486</v>
      </c>
      <c r="AX25" s="6">
        <f t="shared" si="13"/>
        <v>-33146431.417705964</v>
      </c>
      <c r="AY25" s="6">
        <f t="shared" si="13"/>
        <v>-36072199.470101871</v>
      </c>
      <c r="AZ25" s="6">
        <f t="shared" si="13"/>
        <v>-39241917.099666938</v>
      </c>
      <c r="BA25" s="6">
        <f t="shared" si="13"/>
        <v>-42675280.030074082</v>
      </c>
      <c r="BB25" s="6"/>
      <c r="BC25" s="6"/>
    </row>
    <row r="26" spans="1:55" x14ac:dyDescent="0.2">
      <c r="A26" s="23" t="s">
        <v>71</v>
      </c>
      <c r="B26" s="23"/>
      <c r="C26" s="6"/>
      <c r="D26" s="6">
        <f>D24-D25</f>
        <v>-463750</v>
      </c>
      <c r="E26" s="6">
        <f t="shared" ref="E26:T26" si="14">E24-E25</f>
        <v>-545487.5</v>
      </c>
      <c r="F26" s="6">
        <f t="shared" si="14"/>
        <v>-2153570.0694444445</v>
      </c>
      <c r="G26" s="6">
        <f t="shared" si="14"/>
        <v>-400947.93447222235</v>
      </c>
      <c r="H26" s="6">
        <f t="shared" si="14"/>
        <v>22918.311824388802</v>
      </c>
      <c r="I26" s="6">
        <f t="shared" si="14"/>
        <v>459088.42481056461</v>
      </c>
      <c r="J26" s="6">
        <f t="shared" si="14"/>
        <v>912312.32290072739</v>
      </c>
      <c r="K26" s="6">
        <f t="shared" si="14"/>
        <v>1387163.6316140974</v>
      </c>
      <c r="L26" s="6">
        <f t="shared" si="14"/>
        <v>755302.11904511484</v>
      </c>
      <c r="M26" s="6">
        <f t="shared" si="14"/>
        <v>1536753.3265844313</v>
      </c>
      <c r="N26" s="6">
        <f t="shared" si="14"/>
        <v>2139131.6924258522</v>
      </c>
      <c r="O26" s="6">
        <f t="shared" si="14"/>
        <v>2779041.8884087126</v>
      </c>
      <c r="P26" s="6">
        <f t="shared" si="14"/>
        <v>3470826.5259269094</v>
      </c>
      <c r="Q26" s="6">
        <f t="shared" si="14"/>
        <v>4220604.1839822251</v>
      </c>
      <c r="R26" s="6">
        <f t="shared" si="14"/>
        <v>5327377.3039162243</v>
      </c>
      <c r="S26" s="6">
        <f t="shared" si="14"/>
        <v>5770090.9275686974</v>
      </c>
      <c r="T26" s="6">
        <f t="shared" si="14"/>
        <v>6694279.5061039617</v>
      </c>
      <c r="U26" s="6">
        <f t="shared" ref="U26:AJ26" si="15">U24-U25</f>
        <v>7655224.617648663</v>
      </c>
      <c r="V26" s="6">
        <f t="shared" si="15"/>
        <v>8681983.3376072794</v>
      </c>
      <c r="W26" s="6">
        <f t="shared" si="15"/>
        <v>9802959.3854163308</v>
      </c>
      <c r="X26" s="6">
        <f t="shared" si="15"/>
        <v>11026828.740063543</v>
      </c>
      <c r="Y26" s="6">
        <f t="shared" si="15"/>
        <v>12362910.719547061</v>
      </c>
      <c r="Z26" s="6">
        <f t="shared" si="15"/>
        <v>13821230.291831799</v>
      </c>
      <c r="AA26" s="6">
        <f t="shared" si="15"/>
        <v>15412583.722226992</v>
      </c>
      <c r="AB26" s="6">
        <f t="shared" si="15"/>
        <v>17148608.051616572</v>
      </c>
      <c r="AC26" s="6">
        <f t="shared" si="15"/>
        <v>19041854.903370984</v>
      </c>
      <c r="AD26" s="6">
        <f t="shared" si="15"/>
        <v>21105869.125640027</v>
      </c>
      <c r="AE26" s="6">
        <f t="shared" si="15"/>
        <v>23355272.789710097</v>
      </c>
      <c r="AF26" s="6">
        <f t="shared" si="15"/>
        <v>25805855.083939042</v>
      </c>
      <c r="AG26" s="6">
        <f t="shared" si="15"/>
        <v>28474668.666264407</v>
      </c>
      <c r="AH26" s="6">
        <f t="shared" si="15"/>
        <v>31380133.066296585</v>
      </c>
      <c r="AI26" s="6">
        <f t="shared" si="15"/>
        <v>34542145.760497227</v>
      </c>
      <c r="AJ26" s="6">
        <f t="shared" si="15"/>
        <v>37982201.580903478</v>
      </c>
      <c r="AK26" s="6">
        <f t="shared" ref="AK26:AZ26" si="16">AK24-AK25</f>
        <v>41723521.159338742</v>
      </c>
      <c r="AL26" s="6">
        <f t="shared" si="16"/>
        <v>45791189.155148372</v>
      </c>
      <c r="AM26" s="6">
        <f t="shared" si="16"/>
        <v>50959264.315354899</v>
      </c>
      <c r="AN26" s="6">
        <f t="shared" si="16"/>
        <v>55955663.360427484</v>
      </c>
      <c r="AO26" s="6">
        <f t="shared" si="16"/>
        <v>61186622.720398083</v>
      </c>
      <c r="AP26" s="6">
        <f t="shared" si="16"/>
        <v>66866743.487863466</v>
      </c>
      <c r="AQ26" s="6">
        <f t="shared" si="16"/>
        <v>73032941.70981288</v>
      </c>
      <c r="AR26" s="6">
        <f t="shared" si="16"/>
        <v>79725083.149257869</v>
      </c>
      <c r="AS26" s="6">
        <f t="shared" si="16"/>
        <v>86986215.97187084</v>
      </c>
      <c r="AT26" s="6">
        <f t="shared" si="16"/>
        <v>94862821.485514984</v>
      </c>
      <c r="AU26" s="6">
        <f t="shared" si="16"/>
        <v>103405212.56355932</v>
      </c>
      <c r="AV26" s="6">
        <f t="shared" si="16"/>
        <v>112667464.92533275</v>
      </c>
      <c r="AW26" s="6">
        <f t="shared" si="16"/>
        <v>122708069.24464777</v>
      </c>
      <c r="AX26" s="6">
        <f t="shared" si="16"/>
        <v>133590162.98651192</v>
      </c>
      <c r="AY26" s="6">
        <f t="shared" si="16"/>
        <v>145381894.83404693</v>
      </c>
      <c r="AZ26" s="6">
        <f t="shared" si="16"/>
        <v>158156817.40168798</v>
      </c>
      <c r="BA26" s="6">
        <f>BA24-BA25</f>
        <v>171994310.42423797</v>
      </c>
      <c r="BB26" s="6"/>
      <c r="BC26" s="6"/>
    </row>
    <row r="27" spans="1:55" hidden="1" x14ac:dyDescent="0.2">
      <c r="A27" s="8"/>
      <c r="B27" s="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</row>
    <row r="28" spans="1:55" hidden="1" x14ac:dyDescent="0.2">
      <c r="A28" s="28" t="s">
        <v>72</v>
      </c>
      <c r="B28" s="23"/>
      <c r="C28" s="6"/>
      <c r="D28" s="6"/>
      <c r="E28" s="6">
        <f>'Adj Model'!B15</f>
        <v>888888.88888888888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</row>
    <row r="29" spans="1:55" hidden="1" x14ac:dyDescent="0.2">
      <c r="A29" s="23" t="s">
        <v>73</v>
      </c>
      <c r="B29" s="23"/>
      <c r="C29" s="6"/>
      <c r="D29" s="6">
        <f>D26-SUM(D19:D21)+D28</f>
        <v>-463750</v>
      </c>
      <c r="E29" s="6">
        <f t="shared" ref="E29:T29" si="17">E26-SUM(E19:E21)+E28</f>
        <v>494026.38888888888</v>
      </c>
      <c r="F29" s="6">
        <f t="shared" si="17"/>
        <v>-566945.0694444445</v>
      </c>
      <c r="G29" s="6">
        <f t="shared" si="17"/>
        <v>1055945.8155277777</v>
      </c>
      <c r="H29" s="6">
        <f t="shared" si="17"/>
        <v>1369199.2493243888</v>
      </c>
      <c r="I29" s="6">
        <f t="shared" si="17"/>
        <v>1711041.3466855646</v>
      </c>
      <c r="J29" s="6">
        <f t="shared" si="17"/>
        <v>2083810.0189944773</v>
      </c>
      <c r="K29" s="6">
        <f t="shared" si="17"/>
        <v>2490025.6145437849</v>
      </c>
      <c r="L29" s="6">
        <f t="shared" si="17"/>
        <v>1799599.8516603492</v>
      </c>
      <c r="M29" s="6">
        <f t="shared" si="17"/>
        <v>2531069.9417198803</v>
      </c>
      <c r="N29" s="6">
        <f t="shared" si="17"/>
        <v>3090783.003462234</v>
      </c>
      <c r="O29" s="6">
        <f t="shared" si="17"/>
        <v>3694264.4721437618</v>
      </c>
      <c r="P29" s="6">
        <f t="shared" si="17"/>
        <v>4354937.7945204144</v>
      </c>
      <c r="Q29" s="6">
        <f t="shared" si="17"/>
        <v>5078138.6274635457</v>
      </c>
      <c r="R29" s="6">
        <f t="shared" si="17"/>
        <v>6162202.4595345035</v>
      </c>
      <c r="S29" s="6">
        <f t="shared" si="17"/>
        <v>6585506.100637476</v>
      </c>
      <c r="T29" s="6">
        <f t="shared" si="17"/>
        <v>7493099.8149263412</v>
      </c>
      <c r="U29" s="6">
        <f t="shared" ref="U29:AJ29" si="18">U26-SUM(U19:U21)+U28</f>
        <v>8439852.5506902114</v>
      </c>
      <c r="V29" s="6">
        <f t="shared" si="18"/>
        <v>9454469.6841808688</v>
      </c>
      <c r="W29" s="6">
        <f t="shared" si="18"/>
        <v>10565055.123143326</v>
      </c>
      <c r="X29" s="6">
        <f t="shared" si="18"/>
        <v>11780029.225956989</v>
      </c>
      <c r="Y29" s="6">
        <f t="shared" si="18"/>
        <v>13108493.330499442</v>
      </c>
      <c r="Z29" s="6">
        <f t="shared" si="18"/>
        <v>14560286.489289979</v>
      </c>
      <c r="AA29" s="6">
        <f t="shared" si="18"/>
        <v>16146046.370400235</v>
      </c>
      <c r="AB29" s="6">
        <f t="shared" si="18"/>
        <v>17877274.69486424</v>
      </c>
      <c r="AC29" s="6">
        <f t="shared" si="18"/>
        <v>19766407.603201874</v>
      </c>
      <c r="AD29" s="6">
        <f t="shared" si="18"/>
        <v>21826891.368259616</v>
      </c>
      <c r="AE29" s="6">
        <f t="shared" si="18"/>
        <v>24073263.898923747</v>
      </c>
      <c r="AF29" s="6">
        <f t="shared" si="18"/>
        <v>26521242.509458944</v>
      </c>
      <c r="AG29" s="6">
        <f t="shared" si="18"/>
        <v>29187818.462375794</v>
      </c>
      <c r="AH29" s="6">
        <f t="shared" si="18"/>
        <v>32091358.828968786</v>
      </c>
      <c r="AI29" s="6">
        <f t="shared" si="18"/>
        <v>35251716.251148373</v>
      </c>
      <c r="AJ29" s="6">
        <f t="shared" si="18"/>
        <v>38690347.231098741</v>
      </c>
      <c r="AK29" s="6">
        <f t="shared" ref="AK29:AZ29" si="19">AK26-SUM(AK19:AK21)+AK28</f>
        <v>42430439.621832334</v>
      </c>
      <c r="AL29" s="6">
        <f t="shared" si="19"/>
        <v>46497050.042112775</v>
      </c>
      <c r="AM29" s="6">
        <f t="shared" si="19"/>
        <v>51102588.243735008</v>
      </c>
      <c r="AN29" s="6">
        <f t="shared" si="19"/>
        <v>55960825.406564906</v>
      </c>
      <c r="AO29" s="6">
        <f t="shared" si="19"/>
        <v>61191105.370927788</v>
      </c>
      <c r="AP29" s="6">
        <f t="shared" si="19"/>
        <v>66870639.160995327</v>
      </c>
      <c r="AQ29" s="6">
        <f t="shared" si="19"/>
        <v>73036329.910138413</v>
      </c>
      <c r="AR29" s="6">
        <f t="shared" si="19"/>
        <v>79728032.309881672</v>
      </c>
      <c r="AS29" s="6">
        <f t="shared" si="19"/>
        <v>86988785.029713467</v>
      </c>
      <c r="AT29" s="6">
        <f t="shared" si="19"/>
        <v>94865061.22886236</v>
      </c>
      <c r="AU29" s="6">
        <f t="shared" si="19"/>
        <v>103407166.78516763</v>
      </c>
      <c r="AV29" s="6">
        <f t="shared" si="19"/>
        <v>112669171.40948656</v>
      </c>
      <c r="AW29" s="6">
        <f t="shared" si="19"/>
        <v>122709560.61238655</v>
      </c>
      <c r="AX29" s="6">
        <f t="shared" si="19"/>
        <v>133591467.41967714</v>
      </c>
      <c r="AY29" s="6">
        <f t="shared" si="19"/>
        <v>145383036.69576591</v>
      </c>
      <c r="AZ29" s="6">
        <f t="shared" si="19"/>
        <v>158157817.76832479</v>
      </c>
      <c r="BA29" s="6">
        <f>BA26-SUM(BA19:BA21)+BA28</f>
        <v>171995187.54163736</v>
      </c>
      <c r="BB29" s="6"/>
      <c r="BC29" s="6"/>
    </row>
    <row r="30" spans="1:55" hidden="1" x14ac:dyDescent="0.2">
      <c r="A30" s="28" t="s">
        <v>84</v>
      </c>
      <c r="B30" s="23"/>
      <c r="C30" s="6"/>
      <c r="D30" s="6">
        <f>'Ln &amp; Int Sch'!D32</f>
        <v>306250</v>
      </c>
      <c r="E30" s="6">
        <f>'Ln &amp; Int Sch'!E32</f>
        <v>321562.5</v>
      </c>
      <c r="F30" s="6">
        <f>'Ln &amp; Int Sch'!F32</f>
        <v>337640.625</v>
      </c>
      <c r="G30" s="6">
        <f>'Ln &amp; Int Sch'!G32</f>
        <v>354522.65625</v>
      </c>
      <c r="H30" s="6">
        <f>'Ln &amp; Int Sch'!H32</f>
        <v>372248.7890625</v>
      </c>
      <c r="I30" s="6">
        <f>'Ln &amp; Int Sch'!I32</f>
        <v>390861.228515625</v>
      </c>
      <c r="J30" s="6">
        <f>'Ln &amp; Int Sch'!J32</f>
        <v>410404.28994140623</v>
      </c>
      <c r="K30" s="6">
        <f>'Ln &amp; Int Sch'!K32</f>
        <v>430924.50443847658</v>
      </c>
      <c r="L30" s="6">
        <f>'Ln &amp; Int Sch'!L32</f>
        <v>452470.72966040042</v>
      </c>
      <c r="M30" s="6">
        <f>'Ln &amp; Int Sch'!M32</f>
        <v>475094.26614342048</v>
      </c>
      <c r="N30" s="6">
        <f>'Ln &amp; Int Sch'!N32</f>
        <v>498848.97945059149</v>
      </c>
      <c r="O30" s="6">
        <f>'Ln &amp; Int Sch'!O32</f>
        <v>523791.42842312111</v>
      </c>
      <c r="P30" s="6">
        <f>'Ln &amp; Int Sch'!P32</f>
        <v>549980.99984427704</v>
      </c>
      <c r="Q30" s="6">
        <f>'Ln &amp; Int Sch'!Q32</f>
        <v>577480.049836491</v>
      </c>
      <c r="R30" s="6">
        <f>'Ln &amp; Int Sch'!R32</f>
        <v>606354.05232831556</v>
      </c>
      <c r="S30" s="6">
        <f>'Ln &amp; Int Sch'!S32</f>
        <v>0</v>
      </c>
      <c r="T30" s="6">
        <f>'Ln &amp; Int Sch'!T32</f>
        <v>0</v>
      </c>
      <c r="U30" s="6">
        <f>'Ln &amp; Int Sch'!U32</f>
        <v>0</v>
      </c>
      <c r="V30" s="6">
        <f>'Ln &amp; Int Sch'!V32</f>
        <v>0</v>
      </c>
      <c r="W30" s="6">
        <f>'Ln &amp; Int Sch'!W32</f>
        <v>0</v>
      </c>
      <c r="X30" s="6">
        <f>'Ln &amp; Int Sch'!X32</f>
        <v>0</v>
      </c>
      <c r="Y30" s="6">
        <f>'Ln &amp; Int Sch'!Y32</f>
        <v>0</v>
      </c>
      <c r="Z30" s="6">
        <f>'Ln &amp; Int Sch'!Z32</f>
        <v>0</v>
      </c>
      <c r="AA30" s="6">
        <f>'Ln &amp; Int Sch'!AA32</f>
        <v>0</v>
      </c>
      <c r="AB30" s="6">
        <f>'Ln &amp; Int Sch'!AB32</f>
        <v>0</v>
      </c>
      <c r="AC30" s="6">
        <f>'Ln &amp; Int Sch'!AC32</f>
        <v>0</v>
      </c>
      <c r="AD30" s="6">
        <f>'Ln &amp; Int Sch'!AD32</f>
        <v>0</v>
      </c>
      <c r="AE30" s="6">
        <f>'Ln &amp; Int Sch'!AE32</f>
        <v>0</v>
      </c>
      <c r="AF30" s="6">
        <f>'Ln &amp; Int Sch'!AF32</f>
        <v>0</v>
      </c>
      <c r="AG30" s="6">
        <f>'Ln &amp; Int Sch'!AG32</f>
        <v>0</v>
      </c>
      <c r="AH30" s="6">
        <f>'Ln &amp; Int Sch'!AH32</f>
        <v>0</v>
      </c>
      <c r="AI30" s="6">
        <f>'Ln &amp; Int Sch'!AI32</f>
        <v>0</v>
      </c>
      <c r="AJ30" s="6">
        <f>'Ln &amp; Int Sch'!AJ32</f>
        <v>0</v>
      </c>
      <c r="AK30" s="6">
        <f>'Ln &amp; Int Sch'!AK32</f>
        <v>0</v>
      </c>
      <c r="AL30" s="6">
        <f>'Ln &amp; Int Sch'!AL32</f>
        <v>0</v>
      </c>
      <c r="AM30" s="6">
        <f>'Ln &amp; Int Sch'!AM32</f>
        <v>0</v>
      </c>
      <c r="AN30" s="6">
        <f>'Ln &amp; Int Sch'!AN32</f>
        <v>0</v>
      </c>
      <c r="AO30" s="6">
        <f>'Ln &amp; Int Sch'!AO32</f>
        <v>0</v>
      </c>
      <c r="AP30" s="6">
        <f>'Ln &amp; Int Sch'!AP32</f>
        <v>0</v>
      </c>
      <c r="AQ30" s="6">
        <f>'Ln &amp; Int Sch'!AQ32</f>
        <v>0</v>
      </c>
      <c r="AR30" s="6">
        <f>'Ln &amp; Int Sch'!AR32</f>
        <v>0</v>
      </c>
      <c r="AS30" s="6">
        <f>'Ln &amp; Int Sch'!AS32</f>
        <v>0</v>
      </c>
      <c r="AT30" s="6">
        <f>'Ln &amp; Int Sch'!AT32</f>
        <v>0</v>
      </c>
      <c r="AU30" s="6">
        <f>'Ln &amp; Int Sch'!AU32</f>
        <v>0</v>
      </c>
      <c r="AV30" s="6">
        <f>'Ln &amp; Int Sch'!AV32</f>
        <v>0</v>
      </c>
      <c r="AW30" s="6">
        <f>'Ln &amp; Int Sch'!AW32</f>
        <v>0</v>
      </c>
      <c r="AX30" s="6">
        <f>'Ln &amp; Int Sch'!AX32</f>
        <v>0</v>
      </c>
      <c r="AY30" s="6">
        <f>'Ln &amp; Int Sch'!AY32</f>
        <v>0</v>
      </c>
      <c r="AZ30" s="6">
        <f>'Ln &amp; Int Sch'!AZ32</f>
        <v>0</v>
      </c>
      <c r="BA30" s="6">
        <f>'Ln &amp; Int Sch'!BA32</f>
        <v>0</v>
      </c>
      <c r="BB30" s="6"/>
      <c r="BC30" s="6"/>
    </row>
    <row r="31" spans="1:55" hidden="1" x14ac:dyDescent="0.2">
      <c r="A31" s="23" t="s">
        <v>85</v>
      </c>
      <c r="B31" s="23"/>
      <c r="C31" s="6"/>
      <c r="D31" s="6">
        <f>D30+D29</f>
        <v>-157500</v>
      </c>
      <c r="E31" s="6">
        <f t="shared" ref="E31:T31" si="20">E30+E29</f>
        <v>815588.88888888888</v>
      </c>
      <c r="F31" s="6">
        <f t="shared" si="20"/>
        <v>-229304.4444444445</v>
      </c>
      <c r="G31" s="6">
        <f t="shared" si="20"/>
        <v>1410468.4717777777</v>
      </c>
      <c r="H31" s="6">
        <f t="shared" si="20"/>
        <v>1741448.0383868888</v>
      </c>
      <c r="I31" s="6">
        <f t="shared" si="20"/>
        <v>2101902.5752011896</v>
      </c>
      <c r="J31" s="6">
        <f t="shared" si="20"/>
        <v>2494214.3089358835</v>
      </c>
      <c r="K31" s="6">
        <f t="shared" si="20"/>
        <v>2920950.1189822615</v>
      </c>
      <c r="L31" s="6">
        <f t="shared" si="20"/>
        <v>2252070.5813207496</v>
      </c>
      <c r="M31" s="6">
        <f t="shared" si="20"/>
        <v>3006164.207863301</v>
      </c>
      <c r="N31" s="6">
        <f t="shared" si="20"/>
        <v>3589631.9829128254</v>
      </c>
      <c r="O31" s="6">
        <f t="shared" si="20"/>
        <v>4218055.9005668834</v>
      </c>
      <c r="P31" s="6">
        <f t="shared" si="20"/>
        <v>4904918.7943646917</v>
      </c>
      <c r="Q31" s="6">
        <f t="shared" si="20"/>
        <v>5655618.6773000369</v>
      </c>
      <c r="R31" s="6">
        <f t="shared" si="20"/>
        <v>6768556.5118628191</v>
      </c>
      <c r="S31" s="6">
        <f t="shared" si="20"/>
        <v>6585506.100637476</v>
      </c>
      <c r="T31" s="6">
        <f t="shared" si="20"/>
        <v>7493099.8149263412</v>
      </c>
      <c r="U31" s="6">
        <f t="shared" ref="U31:AJ31" si="21">U30+U29</f>
        <v>8439852.5506902114</v>
      </c>
      <c r="V31" s="6">
        <f t="shared" si="21"/>
        <v>9454469.6841808688</v>
      </c>
      <c r="W31" s="6">
        <f t="shared" si="21"/>
        <v>10565055.123143326</v>
      </c>
      <c r="X31" s="6">
        <f t="shared" si="21"/>
        <v>11780029.225956989</v>
      </c>
      <c r="Y31" s="6">
        <f t="shared" si="21"/>
        <v>13108493.330499442</v>
      </c>
      <c r="Z31" s="6">
        <f t="shared" si="21"/>
        <v>14560286.489289979</v>
      </c>
      <c r="AA31" s="6">
        <f t="shared" si="21"/>
        <v>16146046.370400235</v>
      </c>
      <c r="AB31" s="6">
        <f t="shared" si="21"/>
        <v>17877274.69486424</v>
      </c>
      <c r="AC31" s="6">
        <f t="shared" si="21"/>
        <v>19766407.603201874</v>
      </c>
      <c r="AD31" s="6">
        <f t="shared" si="21"/>
        <v>21826891.368259616</v>
      </c>
      <c r="AE31" s="6">
        <f t="shared" si="21"/>
        <v>24073263.898923747</v>
      </c>
      <c r="AF31" s="6">
        <f t="shared" si="21"/>
        <v>26521242.509458944</v>
      </c>
      <c r="AG31" s="6">
        <f t="shared" si="21"/>
        <v>29187818.462375794</v>
      </c>
      <c r="AH31" s="6">
        <f t="shared" si="21"/>
        <v>32091358.828968786</v>
      </c>
      <c r="AI31" s="6">
        <f t="shared" si="21"/>
        <v>35251716.251148373</v>
      </c>
      <c r="AJ31" s="6">
        <f t="shared" si="21"/>
        <v>38690347.231098741</v>
      </c>
      <c r="AK31" s="6">
        <f t="shared" ref="AK31:AZ31" si="22">AK30+AK29</f>
        <v>42430439.621832334</v>
      </c>
      <c r="AL31" s="6">
        <f t="shared" si="22"/>
        <v>46497050.042112775</v>
      </c>
      <c r="AM31" s="6">
        <f t="shared" si="22"/>
        <v>51102588.243735008</v>
      </c>
      <c r="AN31" s="6">
        <f t="shared" si="22"/>
        <v>55960825.406564906</v>
      </c>
      <c r="AO31" s="6">
        <f t="shared" si="22"/>
        <v>61191105.370927788</v>
      </c>
      <c r="AP31" s="6">
        <f t="shared" si="22"/>
        <v>66870639.160995327</v>
      </c>
      <c r="AQ31" s="6">
        <f t="shared" si="22"/>
        <v>73036329.910138413</v>
      </c>
      <c r="AR31" s="6">
        <f t="shared" si="22"/>
        <v>79728032.309881672</v>
      </c>
      <c r="AS31" s="6">
        <f t="shared" si="22"/>
        <v>86988785.029713467</v>
      </c>
      <c r="AT31" s="6">
        <f t="shared" si="22"/>
        <v>94865061.22886236</v>
      </c>
      <c r="AU31" s="6">
        <f t="shared" si="22"/>
        <v>103407166.78516763</v>
      </c>
      <c r="AV31" s="6">
        <f t="shared" si="22"/>
        <v>112669171.40948656</v>
      </c>
      <c r="AW31" s="6">
        <f t="shared" si="22"/>
        <v>122709560.61238655</v>
      </c>
      <c r="AX31" s="6">
        <f t="shared" si="22"/>
        <v>133591467.41967714</v>
      </c>
      <c r="AY31" s="6">
        <f t="shared" si="22"/>
        <v>145383036.69576591</v>
      </c>
      <c r="AZ31" s="6">
        <f t="shared" si="22"/>
        <v>158157817.76832479</v>
      </c>
      <c r="BA31" s="6">
        <f>BA30+BA29</f>
        <v>171995187.54163736</v>
      </c>
      <c r="BB31" s="6"/>
      <c r="BC31" s="6"/>
    </row>
    <row r="32" spans="1:55" hidden="1" x14ac:dyDescent="0.2">
      <c r="A32" s="23"/>
      <c r="B32" s="23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</row>
    <row r="33" spans="1:55" hidden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  <row r="34" spans="1:55" hidden="1" x14ac:dyDescent="0.2">
      <c r="A34" s="24" t="s">
        <v>86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55" hidden="1" x14ac:dyDescent="0.2">
      <c r="A35" s="24" t="s">
        <v>87</v>
      </c>
      <c r="B35" s="6">
        <v>0</v>
      </c>
      <c r="C35" s="6">
        <v>0</v>
      </c>
      <c r="D35" s="6">
        <f t="shared" ref="D35:AI35" si="23">D31</f>
        <v>-157500</v>
      </c>
      <c r="E35" s="6">
        <f t="shared" si="23"/>
        <v>815588.88888888888</v>
      </c>
      <c r="F35" s="6">
        <f t="shared" si="23"/>
        <v>-229304.4444444445</v>
      </c>
      <c r="G35" s="6">
        <f t="shared" si="23"/>
        <v>1410468.4717777777</v>
      </c>
      <c r="H35" s="6">
        <f t="shared" si="23"/>
        <v>1741448.0383868888</v>
      </c>
      <c r="I35" s="6">
        <f t="shared" si="23"/>
        <v>2101902.5752011896</v>
      </c>
      <c r="J35" s="6">
        <f t="shared" si="23"/>
        <v>2494214.3089358835</v>
      </c>
      <c r="K35" s="6">
        <f t="shared" si="23"/>
        <v>2920950.1189822615</v>
      </c>
      <c r="L35" s="6">
        <f t="shared" si="23"/>
        <v>2252070.5813207496</v>
      </c>
      <c r="M35" s="6">
        <f t="shared" si="23"/>
        <v>3006164.207863301</v>
      </c>
      <c r="N35" s="6">
        <f t="shared" si="23"/>
        <v>3589631.9829128254</v>
      </c>
      <c r="O35" s="6">
        <f t="shared" si="23"/>
        <v>4218055.9005668834</v>
      </c>
      <c r="P35" s="6">
        <f t="shared" si="23"/>
        <v>4904918.7943646917</v>
      </c>
      <c r="Q35" s="6">
        <f t="shared" si="23"/>
        <v>5655618.6773000369</v>
      </c>
      <c r="R35" s="6">
        <f t="shared" si="23"/>
        <v>6768556.5118628191</v>
      </c>
      <c r="S35" s="6">
        <f t="shared" si="23"/>
        <v>6585506.100637476</v>
      </c>
      <c r="T35" s="6">
        <f t="shared" si="23"/>
        <v>7493099.8149263412</v>
      </c>
      <c r="U35" s="6">
        <f t="shared" si="23"/>
        <v>8439852.5506902114</v>
      </c>
      <c r="V35" s="6">
        <f t="shared" si="23"/>
        <v>9454469.6841808688</v>
      </c>
      <c r="W35" s="6">
        <f t="shared" si="23"/>
        <v>10565055.123143326</v>
      </c>
      <c r="X35" s="6">
        <f t="shared" si="23"/>
        <v>11780029.225956989</v>
      </c>
      <c r="Y35" s="6">
        <f t="shared" si="23"/>
        <v>13108493.330499442</v>
      </c>
      <c r="Z35" s="6">
        <f t="shared" si="23"/>
        <v>14560286.489289979</v>
      </c>
      <c r="AA35" s="6">
        <f t="shared" si="23"/>
        <v>16146046.370400235</v>
      </c>
      <c r="AB35" s="6">
        <f t="shared" si="23"/>
        <v>17877274.69486424</v>
      </c>
      <c r="AC35" s="6">
        <f t="shared" si="23"/>
        <v>19766407.603201874</v>
      </c>
      <c r="AD35" s="6">
        <f t="shared" si="23"/>
        <v>21826891.368259616</v>
      </c>
      <c r="AE35" s="6">
        <f t="shared" si="23"/>
        <v>24073263.898923747</v>
      </c>
      <c r="AF35" s="6">
        <f t="shared" si="23"/>
        <v>26521242.509458944</v>
      </c>
      <c r="AG35" s="6">
        <f t="shared" si="23"/>
        <v>29187818.462375794</v>
      </c>
      <c r="AH35" s="6">
        <f t="shared" si="23"/>
        <v>32091358.828968786</v>
      </c>
      <c r="AI35" s="6">
        <f t="shared" si="23"/>
        <v>35251716.251148373</v>
      </c>
      <c r="AJ35" s="6">
        <f t="shared" ref="AJ35:BA35" si="24">AJ31</f>
        <v>38690347.231098741</v>
      </c>
      <c r="AK35" s="6">
        <f t="shared" si="24"/>
        <v>42430439.621832334</v>
      </c>
      <c r="AL35" s="6">
        <f t="shared" si="24"/>
        <v>46497050.042112775</v>
      </c>
      <c r="AM35" s="6">
        <f t="shared" si="24"/>
        <v>51102588.243735008</v>
      </c>
      <c r="AN35" s="6">
        <f t="shared" si="24"/>
        <v>55960825.406564906</v>
      </c>
      <c r="AO35" s="6">
        <f t="shared" si="24"/>
        <v>61191105.370927788</v>
      </c>
      <c r="AP35" s="6">
        <f t="shared" si="24"/>
        <v>66870639.160995327</v>
      </c>
      <c r="AQ35" s="6">
        <f t="shared" si="24"/>
        <v>73036329.910138413</v>
      </c>
      <c r="AR35" s="6">
        <f t="shared" si="24"/>
        <v>79728032.309881672</v>
      </c>
      <c r="AS35" s="6">
        <f t="shared" si="24"/>
        <v>86988785.029713467</v>
      </c>
      <c r="AT35" s="6">
        <f t="shared" si="24"/>
        <v>94865061.22886236</v>
      </c>
      <c r="AU35" s="6">
        <f t="shared" si="24"/>
        <v>103407166.78516763</v>
      </c>
      <c r="AV35" s="6">
        <f t="shared" si="24"/>
        <v>112669171.40948656</v>
      </c>
      <c r="AW35" s="6">
        <f t="shared" si="24"/>
        <v>122709560.61238655</v>
      </c>
      <c r="AX35" s="6">
        <f t="shared" si="24"/>
        <v>133591467.41967714</v>
      </c>
      <c r="AY35" s="6">
        <f t="shared" si="24"/>
        <v>145383036.69576591</v>
      </c>
      <c r="AZ35" s="6">
        <f t="shared" si="24"/>
        <v>158157817.76832479</v>
      </c>
      <c r="BA35" s="6">
        <f t="shared" si="24"/>
        <v>171995187.54163736</v>
      </c>
      <c r="BB35" s="6"/>
      <c r="BC35" s="6"/>
    </row>
    <row r="36" spans="1:55" hidden="1" x14ac:dyDescent="0.2">
      <c r="A36" s="24" t="s">
        <v>88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1:55" hidden="1" x14ac:dyDescent="0.2">
      <c r="A37" s="6" t="s">
        <v>89</v>
      </c>
      <c r="B37" s="6">
        <v>0</v>
      </c>
      <c r="C37" s="6">
        <v>0</v>
      </c>
      <c r="D37" s="6">
        <v>6125000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</row>
    <row r="38" spans="1:55" hidden="1" x14ac:dyDescent="0.2">
      <c r="A38" s="6" t="s">
        <v>90</v>
      </c>
      <c r="B38" s="6">
        <v>0</v>
      </c>
      <c r="C38" s="6">
        <v>0</v>
      </c>
      <c r="D38" s="6">
        <v>8375000</v>
      </c>
      <c r="E38" s="6">
        <v>15000000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  <row r="39" spans="1:55" hidden="1" x14ac:dyDescent="0.2">
      <c r="A39" s="6" t="s">
        <v>91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39">
        <v>-1000000</v>
      </c>
      <c r="H39" s="39">
        <v>-1000000</v>
      </c>
      <c r="I39" s="39">
        <v>-1000000</v>
      </c>
      <c r="J39" s="39">
        <v>-1000000</v>
      </c>
      <c r="K39" s="39">
        <v>-1000000</v>
      </c>
      <c r="L39" s="39">
        <v>-1000000</v>
      </c>
      <c r="M39" s="39">
        <v>-1000000</v>
      </c>
      <c r="N39" s="39">
        <v>-1000000</v>
      </c>
      <c r="O39" s="39">
        <v>-1000000</v>
      </c>
      <c r="P39" s="39">
        <v>-1000000</v>
      </c>
      <c r="Q39" s="39">
        <v>-5000000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9">
        <v>0</v>
      </c>
      <c r="AM39" s="39">
        <v>0</v>
      </c>
      <c r="AN39" s="39">
        <v>0</v>
      </c>
      <c r="AO39" s="39">
        <v>0</v>
      </c>
      <c r="AP39" s="39">
        <v>0</v>
      </c>
      <c r="AQ39" s="39">
        <v>0</v>
      </c>
      <c r="AR39" s="39">
        <v>0</v>
      </c>
      <c r="AS39" s="39">
        <v>0</v>
      </c>
      <c r="AT39" s="39">
        <v>0</v>
      </c>
      <c r="AU39" s="39">
        <v>0</v>
      </c>
      <c r="AV39" s="39">
        <v>0</v>
      </c>
      <c r="AW39" s="39">
        <v>0</v>
      </c>
      <c r="AX39" s="39">
        <v>0</v>
      </c>
      <c r="AY39" s="39">
        <v>0</v>
      </c>
      <c r="AZ39" s="39">
        <v>0</v>
      </c>
      <c r="BA39" s="39">
        <v>0</v>
      </c>
      <c r="BB39" s="6"/>
      <c r="BC39" s="6"/>
    </row>
    <row r="40" spans="1:55" hidden="1" x14ac:dyDescent="0.2">
      <c r="A40" s="6" t="s">
        <v>92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-2250000</v>
      </c>
      <c r="S40" s="39">
        <v>-5000000</v>
      </c>
      <c r="T40" s="39">
        <v>-1608435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>
        <v>0</v>
      </c>
      <c r="AC40" s="39">
        <v>0</v>
      </c>
      <c r="AD40" s="39">
        <v>0</v>
      </c>
      <c r="AE40" s="39">
        <v>0</v>
      </c>
      <c r="AF40" s="39">
        <v>0</v>
      </c>
      <c r="AG40" s="39">
        <v>0</v>
      </c>
      <c r="AH40" s="39">
        <v>0</v>
      </c>
      <c r="AI40" s="39">
        <v>0</v>
      </c>
      <c r="AJ40" s="39">
        <v>0</v>
      </c>
      <c r="AK40" s="39">
        <v>0</v>
      </c>
      <c r="AL40" s="39">
        <v>0</v>
      </c>
      <c r="AM40" s="39">
        <v>0</v>
      </c>
      <c r="AN40" s="39">
        <v>0</v>
      </c>
      <c r="AO40" s="39">
        <v>0</v>
      </c>
      <c r="AP40" s="39">
        <v>0</v>
      </c>
      <c r="AQ40" s="39">
        <v>0</v>
      </c>
      <c r="AR40" s="39">
        <v>0</v>
      </c>
      <c r="AS40" s="39">
        <v>0</v>
      </c>
      <c r="AT40" s="39">
        <v>0</v>
      </c>
      <c r="AU40" s="39">
        <v>0</v>
      </c>
      <c r="AV40" s="39">
        <v>0</v>
      </c>
      <c r="AW40" s="39">
        <v>0</v>
      </c>
      <c r="AX40" s="39">
        <v>0</v>
      </c>
      <c r="AY40" s="39">
        <v>0</v>
      </c>
      <c r="AZ40" s="39">
        <v>0</v>
      </c>
      <c r="BA40" s="39">
        <v>0</v>
      </c>
      <c r="BB40" s="6"/>
      <c r="BC40" s="6"/>
    </row>
    <row r="41" spans="1:55" hidden="1" x14ac:dyDescent="0.2">
      <c r="A41" s="6" t="s">
        <v>93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</row>
    <row r="42" spans="1:55" hidden="1" x14ac:dyDescent="0.2">
      <c r="A42" s="24" t="s">
        <v>94</v>
      </c>
      <c r="B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</row>
    <row r="43" spans="1:55" hidden="1" x14ac:dyDescent="0.2">
      <c r="A43" s="51" t="s">
        <v>95</v>
      </c>
      <c r="B43" s="6">
        <v>0</v>
      </c>
      <c r="C43" s="6">
        <v>0</v>
      </c>
      <c r="D43" s="6">
        <f>-('Adj Model'!D48+'Adj Model'!D54+'Adj Model'!D60+'Adj Model'!D66)</f>
        <v>-10750000</v>
      </c>
      <c r="E43" s="6">
        <f>-('Adj Model'!E48+'Adj Model'!E54+'Adj Model'!E60+'Adj Model'!E66)</f>
        <v>-18750000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</row>
    <row r="44" spans="1:55" hidden="1" x14ac:dyDescent="0.2">
      <c r="A44" s="5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</row>
    <row r="45" spans="1:55" hidden="1" x14ac:dyDescent="0.2">
      <c r="A45" s="24" t="s">
        <v>96</v>
      </c>
      <c r="B45" s="6">
        <v>0</v>
      </c>
      <c r="C45" s="6">
        <v>0</v>
      </c>
      <c r="D45" s="6">
        <f>SUM(D35:D43)</f>
        <v>3592500</v>
      </c>
      <c r="E45" s="6">
        <f t="shared" ref="E45:T45" si="25">SUM(E35:E43)</f>
        <v>-2934411.1111111119</v>
      </c>
      <c r="F45" s="6">
        <f t="shared" si="25"/>
        <v>-229304.4444444445</v>
      </c>
      <c r="G45" s="6">
        <f t="shared" si="25"/>
        <v>410468.47177777765</v>
      </c>
      <c r="H45" s="6">
        <f t="shared" si="25"/>
        <v>741448.0383868888</v>
      </c>
      <c r="I45" s="6">
        <f t="shared" si="25"/>
        <v>1101902.5752011896</v>
      </c>
      <c r="J45" s="6">
        <f t="shared" si="25"/>
        <v>1494214.3089358835</v>
      </c>
      <c r="K45" s="6">
        <f t="shared" si="25"/>
        <v>1920950.1189822615</v>
      </c>
      <c r="L45" s="6">
        <f t="shared" si="25"/>
        <v>1252070.5813207496</v>
      </c>
      <c r="M45" s="6">
        <f t="shared" si="25"/>
        <v>2006164.207863301</v>
      </c>
      <c r="N45" s="6">
        <f t="shared" si="25"/>
        <v>2589631.9829128254</v>
      </c>
      <c r="O45" s="6">
        <f t="shared" si="25"/>
        <v>3218055.9005668834</v>
      </c>
      <c r="P45" s="6">
        <f t="shared" si="25"/>
        <v>3904918.7943646917</v>
      </c>
      <c r="Q45" s="6">
        <f t="shared" si="25"/>
        <v>655618.67730003688</v>
      </c>
      <c r="R45" s="6">
        <f t="shared" si="25"/>
        <v>4518556.5118628191</v>
      </c>
      <c r="S45" s="6">
        <f t="shared" si="25"/>
        <v>1585506.100637476</v>
      </c>
      <c r="T45" s="6">
        <f t="shared" si="25"/>
        <v>5884664.8149263412</v>
      </c>
      <c r="U45" s="6">
        <f t="shared" ref="U45:AJ45" si="26">SUM(U35:U43)</f>
        <v>8439852.5506902114</v>
      </c>
      <c r="V45" s="6">
        <f t="shared" si="26"/>
        <v>9454469.6841808688</v>
      </c>
      <c r="W45" s="6">
        <f t="shared" si="26"/>
        <v>10565055.123143326</v>
      </c>
      <c r="X45" s="6">
        <f t="shared" si="26"/>
        <v>11780029.225956989</v>
      </c>
      <c r="Y45" s="6">
        <f t="shared" si="26"/>
        <v>13108493.330499442</v>
      </c>
      <c r="Z45" s="6">
        <f t="shared" si="26"/>
        <v>14560286.489289979</v>
      </c>
      <c r="AA45" s="6">
        <f t="shared" si="26"/>
        <v>16146046.370400235</v>
      </c>
      <c r="AB45" s="6">
        <f t="shared" si="26"/>
        <v>17877274.69486424</v>
      </c>
      <c r="AC45" s="6">
        <f t="shared" si="26"/>
        <v>19766407.603201874</v>
      </c>
      <c r="AD45" s="6">
        <f t="shared" si="26"/>
        <v>21826891.368259616</v>
      </c>
      <c r="AE45" s="6">
        <f t="shared" si="26"/>
        <v>24073263.898923747</v>
      </c>
      <c r="AF45" s="6">
        <f t="shared" si="26"/>
        <v>26521242.509458944</v>
      </c>
      <c r="AG45" s="6">
        <f t="shared" si="26"/>
        <v>29187818.462375794</v>
      </c>
      <c r="AH45" s="6">
        <f t="shared" si="26"/>
        <v>32091358.828968786</v>
      </c>
      <c r="AI45" s="6">
        <f t="shared" si="26"/>
        <v>35251716.251148373</v>
      </c>
      <c r="AJ45" s="6">
        <f t="shared" si="26"/>
        <v>38690347.231098741</v>
      </c>
      <c r="AK45" s="6">
        <f t="shared" ref="AK45:AZ45" si="27">SUM(AK35:AK43)</f>
        <v>42430439.621832334</v>
      </c>
      <c r="AL45" s="6">
        <f t="shared" si="27"/>
        <v>46497050.042112775</v>
      </c>
      <c r="AM45" s="6">
        <f t="shared" si="27"/>
        <v>51102588.243735008</v>
      </c>
      <c r="AN45" s="6">
        <f t="shared" si="27"/>
        <v>55960825.406564906</v>
      </c>
      <c r="AO45" s="6">
        <f t="shared" si="27"/>
        <v>61191105.370927788</v>
      </c>
      <c r="AP45" s="6">
        <f t="shared" si="27"/>
        <v>66870639.160995327</v>
      </c>
      <c r="AQ45" s="6">
        <f t="shared" si="27"/>
        <v>73036329.910138413</v>
      </c>
      <c r="AR45" s="6">
        <f t="shared" si="27"/>
        <v>79728032.309881672</v>
      </c>
      <c r="AS45" s="6">
        <f t="shared" si="27"/>
        <v>86988785.029713467</v>
      </c>
      <c r="AT45" s="6">
        <f t="shared" si="27"/>
        <v>94865061.22886236</v>
      </c>
      <c r="AU45" s="6">
        <f t="shared" si="27"/>
        <v>103407166.78516763</v>
      </c>
      <c r="AV45" s="6">
        <f t="shared" si="27"/>
        <v>112669171.40948656</v>
      </c>
      <c r="AW45" s="6">
        <f t="shared" si="27"/>
        <v>122709560.61238655</v>
      </c>
      <c r="AX45" s="6">
        <f t="shared" si="27"/>
        <v>133591467.41967714</v>
      </c>
      <c r="AY45" s="6">
        <f t="shared" si="27"/>
        <v>145383036.69576591</v>
      </c>
      <c r="AZ45" s="6">
        <f t="shared" si="27"/>
        <v>158157817.76832479</v>
      </c>
      <c r="BA45" s="6">
        <f>SUM(BA35:BA43)</f>
        <v>171995187.54163736</v>
      </c>
      <c r="BB45" s="6"/>
      <c r="BC45" s="6"/>
    </row>
    <row r="46" spans="1:55" hidden="1" x14ac:dyDescent="0.2">
      <c r="A46" s="24" t="s">
        <v>97</v>
      </c>
      <c r="B46" s="6">
        <v>0</v>
      </c>
      <c r="C46" s="6">
        <v>0</v>
      </c>
      <c r="D46" s="6">
        <f t="shared" ref="D46:AI46" si="28">C47</f>
        <v>0</v>
      </c>
      <c r="E46" s="6">
        <f t="shared" si="28"/>
        <v>3592500</v>
      </c>
      <c r="F46" s="6">
        <f t="shared" si="28"/>
        <v>658088.88888888806</v>
      </c>
      <c r="G46" s="6">
        <f t="shared" si="28"/>
        <v>428784.44444444356</v>
      </c>
      <c r="H46" s="6">
        <f t="shared" si="28"/>
        <v>839252.91622222122</v>
      </c>
      <c r="I46" s="6">
        <f t="shared" si="28"/>
        <v>1580700.95460911</v>
      </c>
      <c r="J46" s="6">
        <f t="shared" si="28"/>
        <v>2682603.5298102996</v>
      </c>
      <c r="K46" s="6">
        <f t="shared" si="28"/>
        <v>4176817.8387461831</v>
      </c>
      <c r="L46" s="6">
        <f t="shared" si="28"/>
        <v>6097767.9577284446</v>
      </c>
      <c r="M46" s="6">
        <f t="shared" si="28"/>
        <v>7349838.5390491942</v>
      </c>
      <c r="N46" s="6">
        <f t="shared" si="28"/>
        <v>9356002.7469124943</v>
      </c>
      <c r="O46" s="6">
        <f t="shared" si="28"/>
        <v>11945634.72982532</v>
      </c>
      <c r="P46" s="6">
        <f t="shared" si="28"/>
        <v>15163690.630392203</v>
      </c>
      <c r="Q46" s="6">
        <f t="shared" si="28"/>
        <v>19068609.424756896</v>
      </c>
      <c r="R46" s="6">
        <f t="shared" si="28"/>
        <v>19724228.102056932</v>
      </c>
      <c r="S46" s="6">
        <f t="shared" si="28"/>
        <v>24242784.61391975</v>
      </c>
      <c r="T46" s="6">
        <f t="shared" si="28"/>
        <v>25828290.714557227</v>
      </c>
      <c r="U46" s="6">
        <f t="shared" si="28"/>
        <v>31712955.529483568</v>
      </c>
      <c r="V46" s="6">
        <f t="shared" si="28"/>
        <v>40152808.080173776</v>
      </c>
      <c r="W46" s="6">
        <f t="shared" si="28"/>
        <v>49607277.764354646</v>
      </c>
      <c r="X46" s="6">
        <f t="shared" si="28"/>
        <v>60172332.887497976</v>
      </c>
      <c r="Y46" s="6">
        <f t="shared" si="28"/>
        <v>71952362.113454968</v>
      </c>
      <c r="Z46" s="6">
        <f t="shared" si="28"/>
        <v>85060855.443954408</v>
      </c>
      <c r="AA46" s="6">
        <f t="shared" si="28"/>
        <v>99621141.933244392</v>
      </c>
      <c r="AB46" s="6">
        <f t="shared" si="28"/>
        <v>115767188.30364463</v>
      </c>
      <c r="AC46" s="6">
        <f t="shared" si="28"/>
        <v>133644462.99850887</v>
      </c>
      <c r="AD46" s="6">
        <f t="shared" si="28"/>
        <v>153410870.60171074</v>
      </c>
      <c r="AE46" s="6">
        <f t="shared" si="28"/>
        <v>175237761.96997035</v>
      </c>
      <c r="AF46" s="6">
        <f t="shared" si="28"/>
        <v>199311025.8688941</v>
      </c>
      <c r="AG46" s="6">
        <f t="shared" si="28"/>
        <v>225832268.37835306</v>
      </c>
      <c r="AH46" s="6">
        <f t="shared" si="28"/>
        <v>255020086.84072885</v>
      </c>
      <c r="AI46" s="6">
        <f t="shared" si="28"/>
        <v>287111445.66969764</v>
      </c>
      <c r="AJ46" s="6">
        <f t="shared" ref="AJ46:BA46" si="29">AI47</f>
        <v>322363161.92084599</v>
      </c>
      <c r="AK46" s="6">
        <f t="shared" si="29"/>
        <v>361053509.15194476</v>
      </c>
      <c r="AL46" s="6">
        <f t="shared" si="29"/>
        <v>403483948.77377707</v>
      </c>
      <c r="AM46" s="6">
        <f t="shared" si="29"/>
        <v>449980998.81588984</v>
      </c>
      <c r="AN46" s="6">
        <f t="shared" si="29"/>
        <v>501083587.05962485</v>
      </c>
      <c r="AO46" s="6">
        <f t="shared" si="29"/>
        <v>557044412.46618974</v>
      </c>
      <c r="AP46" s="6">
        <f t="shared" si="29"/>
        <v>618235517.83711755</v>
      </c>
      <c r="AQ46" s="6">
        <f t="shared" si="29"/>
        <v>685106156.99811292</v>
      </c>
      <c r="AR46" s="6">
        <f t="shared" si="29"/>
        <v>758142486.90825129</v>
      </c>
      <c r="AS46" s="6">
        <f t="shared" si="29"/>
        <v>837870519.21813297</v>
      </c>
      <c r="AT46" s="6">
        <f t="shared" si="29"/>
        <v>924859304.24784648</v>
      </c>
      <c r="AU46" s="6">
        <f t="shared" si="29"/>
        <v>1019724365.4767089</v>
      </c>
      <c r="AV46" s="6">
        <f t="shared" si="29"/>
        <v>1123131532.2618766</v>
      </c>
      <c r="AW46" s="6">
        <f t="shared" si="29"/>
        <v>1235800703.6713631</v>
      </c>
      <c r="AX46" s="6">
        <f t="shared" si="29"/>
        <v>1358510264.2837496</v>
      </c>
      <c r="AY46" s="6">
        <f t="shared" si="29"/>
        <v>1492101731.7034268</v>
      </c>
      <c r="AZ46" s="6">
        <f t="shared" si="29"/>
        <v>1637484768.3991928</v>
      </c>
      <c r="BA46" s="6">
        <f t="shared" si="29"/>
        <v>1795642586.1675177</v>
      </c>
      <c r="BB46" s="6"/>
      <c r="BC46" s="6"/>
    </row>
    <row r="47" spans="1:55" hidden="1" x14ac:dyDescent="0.2">
      <c r="A47" s="24" t="s">
        <v>98</v>
      </c>
      <c r="B47" s="6">
        <v>0</v>
      </c>
      <c r="C47" s="6">
        <v>0</v>
      </c>
      <c r="D47" s="6">
        <f>D45+D46</f>
        <v>3592500</v>
      </c>
      <c r="E47" s="6">
        <f t="shared" ref="E47:T47" si="30">E45+E46</f>
        <v>658088.88888888806</v>
      </c>
      <c r="F47" s="6">
        <f t="shared" si="30"/>
        <v>428784.44444444356</v>
      </c>
      <c r="G47" s="6">
        <f t="shared" si="30"/>
        <v>839252.91622222122</v>
      </c>
      <c r="H47" s="6">
        <f t="shared" si="30"/>
        <v>1580700.95460911</v>
      </c>
      <c r="I47" s="6">
        <f t="shared" si="30"/>
        <v>2682603.5298102996</v>
      </c>
      <c r="J47" s="6">
        <f t="shared" si="30"/>
        <v>4176817.8387461831</v>
      </c>
      <c r="K47" s="6">
        <f t="shared" si="30"/>
        <v>6097767.9577284446</v>
      </c>
      <c r="L47" s="6">
        <f t="shared" si="30"/>
        <v>7349838.5390491942</v>
      </c>
      <c r="M47" s="6">
        <f t="shared" si="30"/>
        <v>9356002.7469124943</v>
      </c>
      <c r="N47" s="6">
        <f t="shared" si="30"/>
        <v>11945634.72982532</v>
      </c>
      <c r="O47" s="6">
        <f t="shared" si="30"/>
        <v>15163690.630392203</v>
      </c>
      <c r="P47" s="6">
        <f t="shared" si="30"/>
        <v>19068609.424756896</v>
      </c>
      <c r="Q47" s="6">
        <f t="shared" si="30"/>
        <v>19724228.102056932</v>
      </c>
      <c r="R47" s="6">
        <f t="shared" si="30"/>
        <v>24242784.61391975</v>
      </c>
      <c r="S47" s="6">
        <f t="shared" si="30"/>
        <v>25828290.714557227</v>
      </c>
      <c r="T47" s="6">
        <f t="shared" si="30"/>
        <v>31712955.529483568</v>
      </c>
      <c r="U47" s="6">
        <f t="shared" ref="U47:AJ47" si="31">U45+U46</f>
        <v>40152808.080173776</v>
      </c>
      <c r="V47" s="6">
        <f t="shared" si="31"/>
        <v>49607277.764354646</v>
      </c>
      <c r="W47" s="6">
        <f t="shared" si="31"/>
        <v>60172332.887497976</v>
      </c>
      <c r="X47" s="6">
        <f t="shared" si="31"/>
        <v>71952362.113454968</v>
      </c>
      <c r="Y47" s="6">
        <f t="shared" si="31"/>
        <v>85060855.443954408</v>
      </c>
      <c r="Z47" s="6">
        <f t="shared" si="31"/>
        <v>99621141.933244392</v>
      </c>
      <c r="AA47" s="6">
        <f t="shared" si="31"/>
        <v>115767188.30364463</v>
      </c>
      <c r="AB47" s="6">
        <f t="shared" si="31"/>
        <v>133644462.99850887</v>
      </c>
      <c r="AC47" s="6">
        <f t="shared" si="31"/>
        <v>153410870.60171074</v>
      </c>
      <c r="AD47" s="6">
        <f t="shared" si="31"/>
        <v>175237761.96997035</v>
      </c>
      <c r="AE47" s="6">
        <f t="shared" si="31"/>
        <v>199311025.8688941</v>
      </c>
      <c r="AF47" s="6">
        <f t="shared" si="31"/>
        <v>225832268.37835306</v>
      </c>
      <c r="AG47" s="6">
        <f t="shared" si="31"/>
        <v>255020086.84072885</v>
      </c>
      <c r="AH47" s="6">
        <f t="shared" si="31"/>
        <v>287111445.66969764</v>
      </c>
      <c r="AI47" s="6">
        <f t="shared" si="31"/>
        <v>322363161.92084599</v>
      </c>
      <c r="AJ47" s="6">
        <f t="shared" si="31"/>
        <v>361053509.15194476</v>
      </c>
      <c r="AK47" s="6">
        <f t="shared" ref="AK47:AZ47" si="32">AK45+AK46</f>
        <v>403483948.77377707</v>
      </c>
      <c r="AL47" s="6">
        <f t="shared" si="32"/>
        <v>449980998.81588984</v>
      </c>
      <c r="AM47" s="6">
        <f t="shared" si="32"/>
        <v>501083587.05962485</v>
      </c>
      <c r="AN47" s="6">
        <f t="shared" si="32"/>
        <v>557044412.46618974</v>
      </c>
      <c r="AO47" s="6">
        <f t="shared" si="32"/>
        <v>618235517.83711755</v>
      </c>
      <c r="AP47" s="6">
        <f t="shared" si="32"/>
        <v>685106156.99811292</v>
      </c>
      <c r="AQ47" s="6">
        <f t="shared" si="32"/>
        <v>758142486.90825129</v>
      </c>
      <c r="AR47" s="6">
        <f t="shared" si="32"/>
        <v>837870519.21813297</v>
      </c>
      <c r="AS47" s="6">
        <f t="shared" si="32"/>
        <v>924859304.24784648</v>
      </c>
      <c r="AT47" s="6">
        <f t="shared" si="32"/>
        <v>1019724365.4767089</v>
      </c>
      <c r="AU47" s="6">
        <f t="shared" si="32"/>
        <v>1123131532.2618766</v>
      </c>
      <c r="AV47" s="6">
        <f t="shared" si="32"/>
        <v>1235800703.6713631</v>
      </c>
      <c r="AW47" s="6">
        <f t="shared" si="32"/>
        <v>1358510264.2837496</v>
      </c>
      <c r="AX47" s="6">
        <f t="shared" si="32"/>
        <v>1492101731.7034268</v>
      </c>
      <c r="AY47" s="6">
        <f t="shared" si="32"/>
        <v>1637484768.3991928</v>
      </c>
      <c r="AZ47" s="6">
        <f t="shared" si="32"/>
        <v>1795642586.1675177</v>
      </c>
      <c r="BA47" s="6">
        <f>BA45+BA46</f>
        <v>1967637773.7091551</v>
      </c>
      <c r="BB47" s="6"/>
      <c r="BC47" s="6"/>
    </row>
    <row r="48" spans="1:55" hidden="1" x14ac:dyDescent="0.2">
      <c r="A48" s="5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</row>
    <row r="49" spans="1:55" hidden="1" x14ac:dyDescent="0.2">
      <c r="A49" s="5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</row>
    <row r="50" spans="1:55" hidden="1" x14ac:dyDescent="0.2">
      <c r="A50" s="5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</row>
    <row r="51" spans="1:55" hidden="1" x14ac:dyDescent="0.2">
      <c r="A51" s="5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</row>
    <row r="52" spans="1:55" hidden="1" x14ac:dyDescent="0.2">
      <c r="A52" s="24" t="s">
        <v>99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</row>
    <row r="53" spans="1:55" hidden="1" x14ac:dyDescent="0.2">
      <c r="A53" s="51" t="s">
        <v>100</v>
      </c>
      <c r="B53" s="6"/>
      <c r="C53" s="6">
        <v>0</v>
      </c>
      <c r="D53" s="6">
        <v>0</v>
      </c>
      <c r="E53" s="6">
        <f t="shared" ref="E53:N53" si="33">+D56</f>
        <v>463750</v>
      </c>
      <c r="F53" s="6">
        <f t="shared" si="33"/>
        <v>1009237.5</v>
      </c>
      <c r="G53" s="6">
        <f t="shared" si="33"/>
        <v>3162807.5694444445</v>
      </c>
      <c r="H53" s="6">
        <f t="shared" si="33"/>
        <v>3563755.5039166668</v>
      </c>
      <c r="I53" s="6">
        <f t="shared" si="33"/>
        <v>3540837.192092278</v>
      </c>
      <c r="J53" s="6">
        <f t="shared" si="33"/>
        <v>3081748.7672817134</v>
      </c>
      <c r="K53" s="6">
        <f t="shared" si="33"/>
        <v>2169436.444380986</v>
      </c>
      <c r="L53" s="6">
        <f t="shared" si="33"/>
        <v>782272.81276688864</v>
      </c>
      <c r="M53" s="6">
        <f t="shared" si="33"/>
        <v>26970.693721773801</v>
      </c>
      <c r="N53" s="6">
        <f t="shared" si="33"/>
        <v>0</v>
      </c>
      <c r="O53" s="6">
        <f t="shared" ref="O53:X53" si="34">+N56</f>
        <v>0</v>
      </c>
      <c r="P53" s="6">
        <f t="shared" si="34"/>
        <v>0</v>
      </c>
      <c r="Q53" s="6">
        <f t="shared" si="34"/>
        <v>0</v>
      </c>
      <c r="R53" s="6">
        <f t="shared" si="34"/>
        <v>0</v>
      </c>
      <c r="S53" s="6">
        <f t="shared" si="34"/>
        <v>0</v>
      </c>
      <c r="T53" s="6">
        <f t="shared" si="34"/>
        <v>0</v>
      </c>
      <c r="U53" s="6">
        <f t="shared" si="34"/>
        <v>0</v>
      </c>
      <c r="V53" s="6">
        <f t="shared" si="34"/>
        <v>0</v>
      </c>
      <c r="W53" s="6">
        <f t="shared" si="34"/>
        <v>0</v>
      </c>
      <c r="X53" s="6">
        <f t="shared" si="34"/>
        <v>0</v>
      </c>
      <c r="Y53" s="6">
        <f t="shared" ref="Y53:AH53" si="35">+X56</f>
        <v>0</v>
      </c>
      <c r="Z53" s="6">
        <f t="shared" si="35"/>
        <v>0</v>
      </c>
      <c r="AA53" s="6">
        <f t="shared" si="35"/>
        <v>0</v>
      </c>
      <c r="AB53" s="6">
        <f t="shared" si="35"/>
        <v>0</v>
      </c>
      <c r="AC53" s="6">
        <f t="shared" si="35"/>
        <v>0</v>
      </c>
      <c r="AD53" s="6">
        <f t="shared" si="35"/>
        <v>0</v>
      </c>
      <c r="AE53" s="6">
        <f t="shared" si="35"/>
        <v>0</v>
      </c>
      <c r="AF53" s="6">
        <f t="shared" si="35"/>
        <v>0</v>
      </c>
      <c r="AG53" s="6">
        <f t="shared" si="35"/>
        <v>0</v>
      </c>
      <c r="AH53" s="6">
        <f t="shared" si="35"/>
        <v>0</v>
      </c>
      <c r="AI53" s="6">
        <f t="shared" ref="AI53:AR53" si="36">+AH56</f>
        <v>0</v>
      </c>
      <c r="AJ53" s="6">
        <f t="shared" si="36"/>
        <v>0</v>
      </c>
      <c r="AK53" s="6">
        <f t="shared" si="36"/>
        <v>0</v>
      </c>
      <c r="AL53" s="6">
        <f t="shared" si="36"/>
        <v>0</v>
      </c>
      <c r="AM53" s="6">
        <f t="shared" si="36"/>
        <v>0</v>
      </c>
      <c r="AN53" s="6">
        <f t="shared" si="36"/>
        <v>0</v>
      </c>
      <c r="AO53" s="6">
        <f t="shared" si="36"/>
        <v>0</v>
      </c>
      <c r="AP53" s="6">
        <f t="shared" si="36"/>
        <v>0</v>
      </c>
      <c r="AQ53" s="6">
        <f t="shared" si="36"/>
        <v>0</v>
      </c>
      <c r="AR53" s="6">
        <f t="shared" si="36"/>
        <v>0</v>
      </c>
      <c r="AS53" s="6">
        <f t="shared" ref="AS53:BA53" si="37">+AR56</f>
        <v>0</v>
      </c>
      <c r="AT53" s="6">
        <f t="shared" si="37"/>
        <v>0</v>
      </c>
      <c r="AU53" s="6">
        <f t="shared" si="37"/>
        <v>0</v>
      </c>
      <c r="AV53" s="6">
        <f t="shared" si="37"/>
        <v>0</v>
      </c>
      <c r="AW53" s="6">
        <f t="shared" si="37"/>
        <v>0</v>
      </c>
      <c r="AX53" s="6">
        <f t="shared" si="37"/>
        <v>0</v>
      </c>
      <c r="AY53" s="6">
        <f t="shared" si="37"/>
        <v>0</v>
      </c>
      <c r="AZ53" s="6">
        <f t="shared" si="37"/>
        <v>0</v>
      </c>
      <c r="BA53" s="6">
        <f t="shared" si="37"/>
        <v>0</v>
      </c>
      <c r="BB53" s="6"/>
      <c r="BC53" s="6"/>
    </row>
    <row r="54" spans="1:55" hidden="1" x14ac:dyDescent="0.2">
      <c r="A54" s="51" t="s">
        <v>101</v>
      </c>
      <c r="B54" s="6"/>
      <c r="C54" s="6">
        <v>0</v>
      </c>
      <c r="D54" s="6">
        <f>IF(D24&lt;0,-D24,0)</f>
        <v>463750</v>
      </c>
      <c r="E54" s="6">
        <f>IF(E24&lt;0,-E24,0)</f>
        <v>545487.5</v>
      </c>
      <c r="F54" s="6">
        <f t="shared" ref="F54:U54" si="38">IF(F24&lt;0,-F24,0)</f>
        <v>2153570.0694444445</v>
      </c>
      <c r="G54" s="6">
        <f t="shared" si="38"/>
        <v>400947.93447222235</v>
      </c>
      <c r="H54" s="6">
        <f t="shared" si="38"/>
        <v>0</v>
      </c>
      <c r="I54" s="6">
        <f t="shared" si="38"/>
        <v>0</v>
      </c>
      <c r="J54" s="6">
        <f t="shared" si="38"/>
        <v>0</v>
      </c>
      <c r="K54" s="6">
        <f t="shared" si="38"/>
        <v>0</v>
      </c>
      <c r="L54" s="6">
        <f t="shared" si="38"/>
        <v>0</v>
      </c>
      <c r="M54" s="6">
        <f t="shared" si="38"/>
        <v>0</v>
      </c>
      <c r="N54" s="6">
        <f t="shared" si="38"/>
        <v>0</v>
      </c>
      <c r="O54" s="6">
        <f t="shared" si="38"/>
        <v>0</v>
      </c>
      <c r="P54" s="6">
        <f t="shared" si="38"/>
        <v>0</v>
      </c>
      <c r="Q54" s="6">
        <f t="shared" si="38"/>
        <v>0</v>
      </c>
      <c r="R54" s="6">
        <f t="shared" si="38"/>
        <v>0</v>
      </c>
      <c r="S54" s="6">
        <f t="shared" si="38"/>
        <v>0</v>
      </c>
      <c r="T54" s="6">
        <f t="shared" si="38"/>
        <v>0</v>
      </c>
      <c r="U54" s="6">
        <f t="shared" si="38"/>
        <v>0</v>
      </c>
      <c r="V54" s="6">
        <f t="shared" ref="V54:AK54" si="39">IF(V24&lt;0,-V24,0)</f>
        <v>0</v>
      </c>
      <c r="W54" s="6">
        <f t="shared" si="39"/>
        <v>0</v>
      </c>
      <c r="X54" s="6">
        <f t="shared" si="39"/>
        <v>0</v>
      </c>
      <c r="Y54" s="6">
        <f t="shared" si="39"/>
        <v>0</v>
      </c>
      <c r="Z54" s="6">
        <f t="shared" si="39"/>
        <v>0</v>
      </c>
      <c r="AA54" s="6">
        <f t="shared" si="39"/>
        <v>0</v>
      </c>
      <c r="AB54" s="6">
        <f t="shared" si="39"/>
        <v>0</v>
      </c>
      <c r="AC54" s="6">
        <f t="shared" si="39"/>
        <v>0</v>
      </c>
      <c r="AD54" s="6">
        <f t="shared" si="39"/>
        <v>0</v>
      </c>
      <c r="AE54" s="6">
        <f t="shared" si="39"/>
        <v>0</v>
      </c>
      <c r="AF54" s="6">
        <f t="shared" si="39"/>
        <v>0</v>
      </c>
      <c r="AG54" s="6">
        <f t="shared" si="39"/>
        <v>0</v>
      </c>
      <c r="AH54" s="6">
        <f t="shared" si="39"/>
        <v>0</v>
      </c>
      <c r="AI54" s="6">
        <f t="shared" si="39"/>
        <v>0</v>
      </c>
      <c r="AJ54" s="6">
        <f t="shared" si="39"/>
        <v>0</v>
      </c>
      <c r="AK54" s="6">
        <f t="shared" si="39"/>
        <v>0</v>
      </c>
      <c r="AL54" s="6">
        <f t="shared" ref="AL54:BA54" si="40">IF(AL24&lt;0,-AL24,0)</f>
        <v>0</v>
      </c>
      <c r="AM54" s="6">
        <f t="shared" si="40"/>
        <v>0</v>
      </c>
      <c r="AN54" s="6">
        <f t="shared" si="40"/>
        <v>0</v>
      </c>
      <c r="AO54" s="6">
        <f t="shared" si="40"/>
        <v>0</v>
      </c>
      <c r="AP54" s="6">
        <f t="shared" si="40"/>
        <v>0</v>
      </c>
      <c r="AQ54" s="6">
        <f t="shared" si="40"/>
        <v>0</v>
      </c>
      <c r="AR54" s="6">
        <f t="shared" si="40"/>
        <v>0</v>
      </c>
      <c r="AS54" s="6">
        <f t="shared" si="40"/>
        <v>0</v>
      </c>
      <c r="AT54" s="6">
        <f t="shared" si="40"/>
        <v>0</v>
      </c>
      <c r="AU54" s="6">
        <f t="shared" si="40"/>
        <v>0</v>
      </c>
      <c r="AV54" s="6">
        <f t="shared" si="40"/>
        <v>0</v>
      </c>
      <c r="AW54" s="6">
        <f t="shared" si="40"/>
        <v>0</v>
      </c>
      <c r="AX54" s="6">
        <f t="shared" si="40"/>
        <v>0</v>
      </c>
      <c r="AY54" s="6">
        <f t="shared" si="40"/>
        <v>0</v>
      </c>
      <c r="AZ54" s="6">
        <f t="shared" si="40"/>
        <v>0</v>
      </c>
      <c r="BA54" s="6">
        <f t="shared" si="40"/>
        <v>0</v>
      </c>
      <c r="BB54" s="6"/>
      <c r="BC54" s="6"/>
    </row>
    <row r="55" spans="1:55" hidden="1" x14ac:dyDescent="0.2">
      <c r="A55" s="51" t="s">
        <v>102</v>
      </c>
      <c r="B55" s="6"/>
      <c r="C55" s="6">
        <v>0</v>
      </c>
      <c r="D55" s="6">
        <f t="shared" ref="D55:M55" si="41">IF(D24&gt;0,IF(D53-D24&lt;0,D53,D24),0)</f>
        <v>0</v>
      </c>
      <c r="E55" s="6">
        <f t="shared" si="41"/>
        <v>0</v>
      </c>
      <c r="F55" s="6">
        <f t="shared" si="41"/>
        <v>0</v>
      </c>
      <c r="G55" s="6">
        <f t="shared" si="41"/>
        <v>0</v>
      </c>
      <c r="H55" s="6">
        <f t="shared" si="41"/>
        <v>22918.311824388802</v>
      </c>
      <c r="I55" s="6">
        <f t="shared" si="41"/>
        <v>459088.42481056461</v>
      </c>
      <c r="J55" s="6">
        <f t="shared" si="41"/>
        <v>912312.32290072739</v>
      </c>
      <c r="K55" s="6">
        <f t="shared" si="41"/>
        <v>1387163.6316140974</v>
      </c>
      <c r="L55" s="6">
        <f t="shared" si="41"/>
        <v>755302.11904511484</v>
      </c>
      <c r="M55" s="6">
        <f t="shared" si="41"/>
        <v>26970.693721773801</v>
      </c>
      <c r="N55" s="6">
        <f t="shared" ref="N55:W55" si="42">IF(N24&gt;0,IF(N53-N24&lt;0,N53,N24),0)</f>
        <v>0</v>
      </c>
      <c r="O55" s="6">
        <f t="shared" si="42"/>
        <v>0</v>
      </c>
      <c r="P55" s="6">
        <f t="shared" si="42"/>
        <v>0</v>
      </c>
      <c r="Q55" s="6">
        <f t="shared" si="42"/>
        <v>0</v>
      </c>
      <c r="R55" s="6">
        <f t="shared" si="42"/>
        <v>0</v>
      </c>
      <c r="S55" s="6">
        <f t="shared" si="42"/>
        <v>0</v>
      </c>
      <c r="T55" s="6">
        <f t="shared" si="42"/>
        <v>0</v>
      </c>
      <c r="U55" s="6">
        <f t="shared" si="42"/>
        <v>0</v>
      </c>
      <c r="V55" s="6">
        <f t="shared" si="42"/>
        <v>0</v>
      </c>
      <c r="W55" s="6">
        <f t="shared" si="42"/>
        <v>0</v>
      </c>
      <c r="X55" s="6">
        <f t="shared" ref="X55:AG55" si="43">IF(X24&gt;0,IF(X53-X24&lt;0,X53,X24),0)</f>
        <v>0</v>
      </c>
      <c r="Y55" s="6">
        <f t="shared" si="43"/>
        <v>0</v>
      </c>
      <c r="Z55" s="6">
        <f t="shared" si="43"/>
        <v>0</v>
      </c>
      <c r="AA55" s="6">
        <f t="shared" si="43"/>
        <v>0</v>
      </c>
      <c r="AB55" s="6">
        <f t="shared" si="43"/>
        <v>0</v>
      </c>
      <c r="AC55" s="6">
        <f t="shared" si="43"/>
        <v>0</v>
      </c>
      <c r="AD55" s="6">
        <f t="shared" si="43"/>
        <v>0</v>
      </c>
      <c r="AE55" s="6">
        <f t="shared" si="43"/>
        <v>0</v>
      </c>
      <c r="AF55" s="6">
        <f t="shared" si="43"/>
        <v>0</v>
      </c>
      <c r="AG55" s="6">
        <f t="shared" si="43"/>
        <v>0</v>
      </c>
      <c r="AH55" s="6">
        <f t="shared" ref="AH55:AQ55" si="44">IF(AH24&gt;0,IF(AH53-AH24&lt;0,AH53,AH24),0)</f>
        <v>0</v>
      </c>
      <c r="AI55" s="6">
        <f t="shared" si="44"/>
        <v>0</v>
      </c>
      <c r="AJ55" s="6">
        <f t="shared" si="44"/>
        <v>0</v>
      </c>
      <c r="AK55" s="6">
        <f t="shared" si="44"/>
        <v>0</v>
      </c>
      <c r="AL55" s="6">
        <f t="shared" si="44"/>
        <v>0</v>
      </c>
      <c r="AM55" s="6">
        <f t="shared" si="44"/>
        <v>0</v>
      </c>
      <c r="AN55" s="6">
        <f t="shared" si="44"/>
        <v>0</v>
      </c>
      <c r="AO55" s="6">
        <f t="shared" si="44"/>
        <v>0</v>
      </c>
      <c r="AP55" s="6">
        <f t="shared" si="44"/>
        <v>0</v>
      </c>
      <c r="AQ55" s="6">
        <f t="shared" si="44"/>
        <v>0</v>
      </c>
      <c r="AR55" s="6">
        <f t="shared" ref="AR55:BA55" si="45">IF(AR24&gt;0,IF(AR53-AR24&lt;0,AR53,AR24),0)</f>
        <v>0</v>
      </c>
      <c r="AS55" s="6">
        <f t="shared" si="45"/>
        <v>0</v>
      </c>
      <c r="AT55" s="6">
        <f t="shared" si="45"/>
        <v>0</v>
      </c>
      <c r="AU55" s="6">
        <f t="shared" si="45"/>
        <v>0</v>
      </c>
      <c r="AV55" s="6">
        <f t="shared" si="45"/>
        <v>0</v>
      </c>
      <c r="AW55" s="6">
        <f t="shared" si="45"/>
        <v>0</v>
      </c>
      <c r="AX55" s="6">
        <f t="shared" si="45"/>
        <v>0</v>
      </c>
      <c r="AY55" s="6">
        <f t="shared" si="45"/>
        <v>0</v>
      </c>
      <c r="AZ55" s="6">
        <f t="shared" si="45"/>
        <v>0</v>
      </c>
      <c r="BA55" s="6">
        <f t="shared" si="45"/>
        <v>0</v>
      </c>
      <c r="BB55" s="6"/>
      <c r="BC55" s="6"/>
    </row>
    <row r="56" spans="1:55" hidden="1" x14ac:dyDescent="0.2">
      <c r="A56" s="51" t="s">
        <v>51</v>
      </c>
      <c r="B56" s="6"/>
      <c r="C56" s="6">
        <v>0</v>
      </c>
      <c r="D56" s="6">
        <f t="shared" ref="D56:M56" si="46">D53+D54-D55</f>
        <v>463750</v>
      </c>
      <c r="E56" s="6">
        <f t="shared" si="46"/>
        <v>1009237.5</v>
      </c>
      <c r="F56" s="6">
        <f t="shared" si="46"/>
        <v>3162807.5694444445</v>
      </c>
      <c r="G56" s="6">
        <f t="shared" si="46"/>
        <v>3563755.5039166668</v>
      </c>
      <c r="H56" s="6">
        <f t="shared" si="46"/>
        <v>3540837.192092278</v>
      </c>
      <c r="I56" s="6">
        <f t="shared" si="46"/>
        <v>3081748.7672817134</v>
      </c>
      <c r="J56" s="6">
        <f t="shared" si="46"/>
        <v>2169436.444380986</v>
      </c>
      <c r="K56" s="6">
        <f t="shared" si="46"/>
        <v>782272.81276688864</v>
      </c>
      <c r="L56" s="6">
        <f t="shared" si="46"/>
        <v>26970.693721773801</v>
      </c>
      <c r="M56" s="6">
        <f t="shared" si="46"/>
        <v>0</v>
      </c>
      <c r="N56" s="6">
        <f t="shared" ref="N56:W56" si="47">N53+N54-N55</f>
        <v>0</v>
      </c>
      <c r="O56" s="6">
        <f t="shared" si="47"/>
        <v>0</v>
      </c>
      <c r="P56" s="6">
        <f t="shared" si="47"/>
        <v>0</v>
      </c>
      <c r="Q56" s="6">
        <f t="shared" si="47"/>
        <v>0</v>
      </c>
      <c r="R56" s="6">
        <f t="shared" si="47"/>
        <v>0</v>
      </c>
      <c r="S56" s="6">
        <f t="shared" si="47"/>
        <v>0</v>
      </c>
      <c r="T56" s="6">
        <f t="shared" si="47"/>
        <v>0</v>
      </c>
      <c r="U56" s="6">
        <f t="shared" si="47"/>
        <v>0</v>
      </c>
      <c r="V56" s="6">
        <f t="shared" si="47"/>
        <v>0</v>
      </c>
      <c r="W56" s="6">
        <f t="shared" si="47"/>
        <v>0</v>
      </c>
      <c r="X56" s="6">
        <f t="shared" ref="X56:AG56" si="48">X53+X54-X55</f>
        <v>0</v>
      </c>
      <c r="Y56" s="6">
        <f t="shared" si="48"/>
        <v>0</v>
      </c>
      <c r="Z56" s="6">
        <f t="shared" si="48"/>
        <v>0</v>
      </c>
      <c r="AA56" s="6">
        <f t="shared" si="48"/>
        <v>0</v>
      </c>
      <c r="AB56" s="6">
        <f t="shared" si="48"/>
        <v>0</v>
      </c>
      <c r="AC56" s="6">
        <f t="shared" si="48"/>
        <v>0</v>
      </c>
      <c r="AD56" s="6">
        <f t="shared" si="48"/>
        <v>0</v>
      </c>
      <c r="AE56" s="6">
        <f t="shared" si="48"/>
        <v>0</v>
      </c>
      <c r="AF56" s="6">
        <f t="shared" si="48"/>
        <v>0</v>
      </c>
      <c r="AG56" s="6">
        <f t="shared" si="48"/>
        <v>0</v>
      </c>
      <c r="AH56" s="6">
        <f t="shared" ref="AH56:AQ56" si="49">AH53+AH54-AH55</f>
        <v>0</v>
      </c>
      <c r="AI56" s="6">
        <f t="shared" si="49"/>
        <v>0</v>
      </c>
      <c r="AJ56" s="6">
        <f t="shared" si="49"/>
        <v>0</v>
      </c>
      <c r="AK56" s="6">
        <f t="shared" si="49"/>
        <v>0</v>
      </c>
      <c r="AL56" s="6">
        <f t="shared" si="49"/>
        <v>0</v>
      </c>
      <c r="AM56" s="6">
        <f t="shared" si="49"/>
        <v>0</v>
      </c>
      <c r="AN56" s="6">
        <f t="shared" si="49"/>
        <v>0</v>
      </c>
      <c r="AO56" s="6">
        <f t="shared" si="49"/>
        <v>0</v>
      </c>
      <c r="AP56" s="6">
        <f t="shared" si="49"/>
        <v>0</v>
      </c>
      <c r="AQ56" s="6">
        <f t="shared" si="49"/>
        <v>0</v>
      </c>
      <c r="AR56" s="6">
        <f t="shared" ref="AR56:BA56" si="50">AR53+AR54-AR55</f>
        <v>0</v>
      </c>
      <c r="AS56" s="6">
        <f t="shared" si="50"/>
        <v>0</v>
      </c>
      <c r="AT56" s="6">
        <f t="shared" si="50"/>
        <v>0</v>
      </c>
      <c r="AU56" s="6">
        <f t="shared" si="50"/>
        <v>0</v>
      </c>
      <c r="AV56" s="6">
        <f t="shared" si="50"/>
        <v>0</v>
      </c>
      <c r="AW56" s="6">
        <f t="shared" si="50"/>
        <v>0</v>
      </c>
      <c r="AX56" s="6">
        <f t="shared" si="50"/>
        <v>0</v>
      </c>
      <c r="AY56" s="6">
        <f t="shared" si="50"/>
        <v>0</v>
      </c>
      <c r="AZ56" s="6">
        <f t="shared" si="50"/>
        <v>0</v>
      </c>
      <c r="BA56" s="6">
        <f t="shared" si="50"/>
        <v>0</v>
      </c>
      <c r="BB56" s="6"/>
      <c r="BC56" s="6"/>
    </row>
    <row r="57" spans="1:55" hidden="1" x14ac:dyDescent="0.2"/>
    <row r="58" spans="1:55" hidden="1" x14ac:dyDescent="0.2"/>
    <row r="59" spans="1:55" hidden="1" x14ac:dyDescent="0.2"/>
    <row r="60" spans="1:55" hidden="1" x14ac:dyDescent="0.2"/>
    <row r="61" spans="1:55" hidden="1" x14ac:dyDescent="0.2"/>
    <row r="62" spans="1:55" hidden="1" x14ac:dyDescent="0.2"/>
    <row r="63" spans="1:55" hidden="1" x14ac:dyDescent="0.2"/>
    <row r="64" spans="1:5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</sheetData>
  <customSheetViews>
    <customSheetView guid="{45E2C907-21A9-4DE3-B8AC-8D4C138C71A5}" showGridLines="0" fitToPage="1">
      <selection activeCell="C8" sqref="C8"/>
      <pageMargins left="1" right="1" top="1" bottom="1" header="0.3" footer="0.3"/>
      <pageSetup scale="22" orientation="landscape" r:id="rId1"/>
      <headerFooter alignWithMargins="0">
        <oddFooter>&amp;L&amp;D&amp;T&amp;C&amp;P&amp;N&amp;R&amp;Z&amp;F</oddFooter>
      </headerFooter>
    </customSheetView>
    <customSheetView guid="{4845B082-CC6D-40B1-A19C-F7A3857AE7CF}" showGridLines="0" fitToPage="1">
      <selection activeCell="C8" sqref="C8"/>
      <pageMargins left="1" right="1" top="1" bottom="1" header="0.3" footer="0.3"/>
      <pageSetup scale="22" orientation="landscape" r:id="rId2"/>
      <headerFooter alignWithMargins="0">
        <oddFooter>&amp;L&amp;D&amp;T&amp;C&amp;P&amp;N&amp;R&amp;Z&amp;F</oddFooter>
      </headerFooter>
    </customSheetView>
    <customSheetView guid="{1C4F1D44-A361-480C-ADF0-4C9869BE30FD}" scale="130" showGridLines="0" fitToPage="1" hiddenRows="1" hiddenColumns="1">
      <selection sqref="A1:X26"/>
      <pageMargins left="1" right="1" top="1" bottom="1" header="0.3" footer="0.3"/>
      <pageSetup scale="22" orientation="landscape" r:id="rId3"/>
      <headerFooter alignWithMargins="0">
        <oddFooter>&amp;L&amp;D&amp;T&amp;C&amp;P&amp;N&amp;R&amp;Z&amp;F</oddFooter>
      </headerFooter>
    </customSheetView>
  </customSheetViews>
  <phoneticPr fontId="10" type="noConversion"/>
  <pageMargins left="1" right="1" top="1" bottom="1" header="0.3" footer="0.3"/>
  <pageSetup scale="22" orientation="landscape" r:id="rId4"/>
  <headerFooter alignWithMargins="0">
    <oddFooter>&amp;L&amp;D&amp;T&amp;C&amp;P&amp;N&amp;R&amp;Z&amp;F</oddFooter>
  </headerFooter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41"/>
  <sheetViews>
    <sheetView topLeftCell="A10" zoomScale="130" zoomScaleNormal="130" workbookViewId="0">
      <selection activeCell="A20" sqref="A20:D27"/>
    </sheetView>
  </sheetViews>
  <sheetFormatPr defaultRowHeight="12.75" x14ac:dyDescent="0.2"/>
  <cols>
    <col min="1" max="1" width="31.7109375" customWidth="1"/>
    <col min="2" max="2" width="4.85546875" customWidth="1"/>
    <col min="3" max="3" width="14" customWidth="1"/>
    <col min="10" max="10" width="12.7109375" customWidth="1"/>
    <col min="11" max="11" width="11" customWidth="1"/>
    <col min="12" max="12" width="10.42578125" customWidth="1"/>
  </cols>
  <sheetData>
    <row r="1" spans="1:256" ht="18.75" x14ac:dyDescent="0.3">
      <c r="A1" s="102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  <c r="IV1" s="55"/>
    </row>
    <row r="2" spans="1:256" x14ac:dyDescent="0.2">
      <c r="A2" s="86" t="str">
        <f>'Ln &amp; Int Sch'!A2</f>
        <v>Hydro Optimisation Model</v>
      </c>
      <c r="R2" s="46" t="s">
        <v>118</v>
      </c>
      <c r="S2" s="7"/>
      <c r="T2" s="7"/>
      <c r="U2" s="7"/>
    </row>
    <row r="3" spans="1:256" x14ac:dyDescent="0.2">
      <c r="A3" s="87" t="s">
        <v>119</v>
      </c>
      <c r="R3" s="7">
        <f>'Ln &amp; Int Sch'!B6</f>
        <v>7.0000000000000007E-2</v>
      </c>
      <c r="S3" s="71">
        <f>'Ln &amp; Int Sch'!E6</f>
        <v>1000000</v>
      </c>
      <c r="T3" s="72">
        <f t="shared" ref="T3:T12" si="0">S3/$S$12</f>
        <v>4.2780748663101602E-2</v>
      </c>
      <c r="U3" s="72">
        <f>T3*R3</f>
        <v>2.9946524064171122E-3</v>
      </c>
    </row>
    <row r="4" spans="1:256" x14ac:dyDescent="0.2">
      <c r="R4" s="7">
        <f>'Ln &amp; Int Sch'!B7</f>
        <v>7.0000000000000007E-2</v>
      </c>
      <c r="S4" s="71">
        <f>'Ln &amp; Int Sch'!E7</f>
        <v>1250000</v>
      </c>
      <c r="T4" s="72">
        <f t="shared" si="0"/>
        <v>5.3475935828877004E-2</v>
      </c>
      <c r="U4" s="72">
        <f t="shared" ref="U4:U11" si="1">T4*R4</f>
        <v>3.7433155080213907E-3</v>
      </c>
    </row>
    <row r="5" spans="1:256" x14ac:dyDescent="0.2">
      <c r="R5" s="7">
        <f>'Ln &amp; Int Sch'!B8</f>
        <v>0.05</v>
      </c>
      <c r="S5" s="71">
        <f>'Ln &amp; Int Sch'!E8</f>
        <v>62500</v>
      </c>
      <c r="T5" s="72">
        <f t="shared" si="0"/>
        <v>2.6737967914438501E-3</v>
      </c>
      <c r="U5" s="72">
        <f t="shared" si="1"/>
        <v>1.3368983957219252E-4</v>
      </c>
    </row>
    <row r="6" spans="1:256" x14ac:dyDescent="0.2">
      <c r="A6" s="7" t="s">
        <v>120</v>
      </c>
      <c r="B6" s="7" t="s">
        <v>121</v>
      </c>
      <c r="C6" s="7"/>
      <c r="D6" s="44">
        <v>0.15</v>
      </c>
      <c r="E6" s="7"/>
      <c r="F6" s="7"/>
      <c r="R6" s="7">
        <f>'Ln &amp; Int Sch'!B9</f>
        <v>0.05</v>
      </c>
      <c r="S6" s="71">
        <f>'Ln &amp; Int Sch'!E9</f>
        <v>1000000</v>
      </c>
      <c r="T6" s="72">
        <f t="shared" si="0"/>
        <v>4.2780748663101602E-2</v>
      </c>
      <c r="U6" s="72">
        <f t="shared" si="1"/>
        <v>2.1390374331550803E-3</v>
      </c>
    </row>
    <row r="7" spans="1:256" x14ac:dyDescent="0.2">
      <c r="A7" s="7" t="s">
        <v>122</v>
      </c>
      <c r="B7" s="7" t="s">
        <v>123</v>
      </c>
      <c r="C7" s="7"/>
      <c r="D7" s="44">
        <v>0.09</v>
      </c>
      <c r="E7" s="7"/>
      <c r="F7" s="7"/>
      <c r="R7" s="7">
        <f>'Ln &amp; Int Sch'!B10</f>
        <v>0.05</v>
      </c>
      <c r="S7" s="71">
        <f>'Ln &amp; Int Sch'!E10</f>
        <v>1000000</v>
      </c>
      <c r="T7" s="72">
        <f t="shared" si="0"/>
        <v>4.2780748663101602E-2</v>
      </c>
      <c r="U7" s="72">
        <f t="shared" si="1"/>
        <v>2.1390374331550803E-3</v>
      </c>
    </row>
    <row r="8" spans="1:256" x14ac:dyDescent="0.2">
      <c r="A8" s="7" t="s">
        <v>124</v>
      </c>
      <c r="B8" s="7" t="s">
        <v>125</v>
      </c>
      <c r="C8" s="7"/>
      <c r="D8" s="44">
        <f>+D6-D7</f>
        <v>0.06</v>
      </c>
      <c r="E8" s="7"/>
      <c r="F8" s="7"/>
      <c r="R8" s="7">
        <f>'Ln &amp; Int Sch'!B11</f>
        <v>0.05</v>
      </c>
      <c r="S8" s="71">
        <f>'Ln &amp; Int Sch'!E11</f>
        <v>750000</v>
      </c>
      <c r="T8" s="72">
        <f t="shared" si="0"/>
        <v>3.2085561497326207E-2</v>
      </c>
      <c r="U8" s="72">
        <f t="shared" si="1"/>
        <v>1.6042780748663104E-3</v>
      </c>
    </row>
    <row r="9" spans="1:256" x14ac:dyDescent="0.2">
      <c r="A9" s="7" t="s">
        <v>126</v>
      </c>
      <c r="B9" s="57" t="s">
        <v>127</v>
      </c>
      <c r="C9" s="7"/>
      <c r="D9" s="73">
        <v>1.5</v>
      </c>
      <c r="E9" s="7"/>
      <c r="F9" s="7"/>
      <c r="R9" s="7">
        <f>'Ln &amp; Int Sch'!B12</f>
        <v>0.05</v>
      </c>
      <c r="S9" s="71">
        <f>'Ln &amp; Int Sch'!E12</f>
        <v>250000</v>
      </c>
      <c r="T9" s="72">
        <f t="shared" si="0"/>
        <v>1.06951871657754E-2</v>
      </c>
      <c r="U9" s="72">
        <f t="shared" si="1"/>
        <v>5.3475935828877007E-4</v>
      </c>
    </row>
    <row r="10" spans="1:256" x14ac:dyDescent="0.2">
      <c r="A10" s="7"/>
      <c r="B10" s="7"/>
      <c r="C10" s="7"/>
      <c r="D10" s="44"/>
      <c r="E10" s="7"/>
      <c r="F10" s="7"/>
      <c r="R10" s="7">
        <f>'Ln &amp; Int Sch'!B13</f>
        <v>0.05</v>
      </c>
      <c r="S10" s="71">
        <f>'Ln &amp; Int Sch'!E13</f>
        <v>3062500</v>
      </c>
      <c r="T10" s="72">
        <f t="shared" si="0"/>
        <v>0.13101604278074866</v>
      </c>
      <c r="U10" s="72">
        <f t="shared" si="1"/>
        <v>6.5508021390374331E-3</v>
      </c>
    </row>
    <row r="11" spans="1:256" x14ac:dyDescent="0.2">
      <c r="A11" s="7" t="s">
        <v>128</v>
      </c>
      <c r="B11" s="7" t="s">
        <v>129</v>
      </c>
      <c r="C11" s="7"/>
      <c r="D11" s="44">
        <v>9.5000000000000001E-2</v>
      </c>
      <c r="E11" s="7"/>
      <c r="F11" s="7"/>
      <c r="R11" s="7">
        <v>9.5000000000000001E-2</v>
      </c>
      <c r="S11" s="71">
        <f>'Ln &amp; Int Sch'!E15</f>
        <v>15000000</v>
      </c>
      <c r="T11" s="72">
        <f t="shared" si="0"/>
        <v>0.64171122994652408</v>
      </c>
      <c r="U11" s="72">
        <f t="shared" si="1"/>
        <v>6.096256684491979E-2</v>
      </c>
    </row>
    <row r="12" spans="1:256" x14ac:dyDescent="0.2">
      <c r="A12" s="7" t="s">
        <v>130</v>
      </c>
      <c r="B12" s="7" t="s">
        <v>131</v>
      </c>
      <c r="C12" s="7"/>
      <c r="D12" s="44">
        <f>U12</f>
        <v>8.0802139037433163E-2</v>
      </c>
      <c r="E12" s="7"/>
      <c r="F12" s="7"/>
      <c r="R12" s="7"/>
      <c r="S12" s="71">
        <f>SUM(S3:S11)</f>
        <v>23375000</v>
      </c>
      <c r="T12" s="72">
        <f t="shared" si="0"/>
        <v>1</v>
      </c>
      <c r="U12" s="72">
        <f>SUM(U3:U11)</f>
        <v>8.0802139037433163E-2</v>
      </c>
    </row>
    <row r="13" spans="1:256" x14ac:dyDescent="0.2">
      <c r="A13" s="7"/>
      <c r="B13" s="7"/>
      <c r="C13" s="7"/>
      <c r="D13" s="44"/>
      <c r="E13" s="7"/>
      <c r="F13" s="7"/>
    </row>
    <row r="14" spans="1:256" x14ac:dyDescent="0.2">
      <c r="A14" s="7"/>
      <c r="B14" s="7"/>
      <c r="C14" s="7"/>
      <c r="D14" s="44"/>
      <c r="E14" s="7"/>
      <c r="F14" s="7"/>
    </row>
    <row r="15" spans="1:256" x14ac:dyDescent="0.2">
      <c r="A15" s="7" t="s">
        <v>132</v>
      </c>
      <c r="B15" s="7" t="s">
        <v>133</v>
      </c>
      <c r="C15" s="58" t="s">
        <v>134</v>
      </c>
      <c r="D15" s="44">
        <v>0.8</v>
      </c>
      <c r="E15" s="7"/>
      <c r="F15" s="7"/>
    </row>
    <row r="16" spans="1:256" x14ac:dyDescent="0.2">
      <c r="A16" s="7"/>
      <c r="B16" s="7" t="s">
        <v>135</v>
      </c>
      <c r="C16" s="58" t="s">
        <v>136</v>
      </c>
      <c r="D16" s="44">
        <v>0.2</v>
      </c>
      <c r="E16" s="7"/>
      <c r="F16" s="7"/>
    </row>
    <row r="17" spans="1:6" x14ac:dyDescent="0.2">
      <c r="A17" s="7"/>
      <c r="B17" s="7"/>
      <c r="C17" s="58"/>
      <c r="D17" s="44"/>
      <c r="E17" s="7"/>
      <c r="F17" s="7"/>
    </row>
    <row r="18" spans="1:6" x14ac:dyDescent="0.2">
      <c r="A18" s="7" t="s">
        <v>137</v>
      </c>
      <c r="B18" s="7" t="s">
        <v>138</v>
      </c>
      <c r="C18" s="7"/>
      <c r="D18" s="44">
        <v>0.33</v>
      </c>
      <c r="E18" s="7"/>
      <c r="F18" s="7"/>
    </row>
    <row r="19" spans="1:6" x14ac:dyDescent="0.2">
      <c r="A19" s="7"/>
      <c r="B19" s="7"/>
      <c r="C19" s="7"/>
      <c r="D19" s="44"/>
      <c r="E19" s="7"/>
      <c r="F19" s="7"/>
    </row>
    <row r="20" spans="1:6" x14ac:dyDescent="0.2">
      <c r="A20" s="46" t="s">
        <v>139</v>
      </c>
      <c r="B20" s="7"/>
      <c r="C20" s="7"/>
      <c r="D20" s="44"/>
      <c r="E20" s="7"/>
      <c r="F20" s="7"/>
    </row>
    <row r="21" spans="1:6" x14ac:dyDescent="0.2">
      <c r="A21" s="7" t="s">
        <v>140</v>
      </c>
      <c r="B21" s="7" t="s">
        <v>141</v>
      </c>
      <c r="C21" s="57" t="s">
        <v>142</v>
      </c>
      <c r="D21" s="44">
        <f>(D9*D8)+D7-0.02</f>
        <v>0.16</v>
      </c>
      <c r="E21" s="64"/>
      <c r="F21" s="7"/>
    </row>
    <row r="22" spans="1:6" x14ac:dyDescent="0.2">
      <c r="A22" s="7" t="s">
        <v>143</v>
      </c>
      <c r="B22" s="7" t="s">
        <v>144</v>
      </c>
      <c r="C22" s="7" t="s">
        <v>145</v>
      </c>
      <c r="D22" s="33">
        <f>D11*(1-D18)</f>
        <v>6.3649999999999998E-2</v>
      </c>
      <c r="E22" s="7"/>
      <c r="F22" s="7"/>
    </row>
    <row r="23" spans="1:6" x14ac:dyDescent="0.2">
      <c r="A23" s="7" t="s">
        <v>146</v>
      </c>
      <c r="B23" s="7" t="s">
        <v>147</v>
      </c>
      <c r="C23" s="7"/>
      <c r="D23" s="33">
        <f>D12*(1-D18)</f>
        <v>5.4137433155080211E-2</v>
      </c>
      <c r="E23" s="64"/>
      <c r="F23" s="7"/>
    </row>
    <row r="24" spans="1:6" x14ac:dyDescent="0.2">
      <c r="A24" s="7"/>
      <c r="B24" s="7"/>
      <c r="C24" s="7"/>
      <c r="D24" s="44"/>
      <c r="E24" s="7"/>
      <c r="F24" s="7"/>
    </row>
    <row r="25" spans="1:6" x14ac:dyDescent="0.2">
      <c r="A25" s="46" t="s">
        <v>148</v>
      </c>
      <c r="B25" s="7"/>
      <c r="C25" s="7"/>
      <c r="D25" s="7"/>
      <c r="E25" s="7"/>
      <c r="F25" s="7"/>
    </row>
    <row r="26" spans="1:6" x14ac:dyDescent="0.2">
      <c r="A26" s="7" t="s">
        <v>149</v>
      </c>
      <c r="B26" s="7" t="s">
        <v>150</v>
      </c>
      <c r="C26" s="7" t="s">
        <v>151</v>
      </c>
      <c r="D26" s="33">
        <f>D15*D22+D16*D21</f>
        <v>8.2919999999999994E-2</v>
      </c>
      <c r="E26" s="65"/>
      <c r="F26" s="7"/>
    </row>
    <row r="27" spans="1:6" x14ac:dyDescent="0.2">
      <c r="A27" s="7" t="s">
        <v>152</v>
      </c>
      <c r="B27" s="7" t="s">
        <v>147</v>
      </c>
      <c r="C27" s="7" t="s">
        <v>151</v>
      </c>
      <c r="D27" s="33">
        <f>D15*D23+D16*D21</f>
        <v>7.530994652406417E-2</v>
      </c>
      <c r="E27" s="7"/>
      <c r="F27" s="7"/>
    </row>
    <row r="28" spans="1:6" x14ac:dyDescent="0.2">
      <c r="A28" s="7"/>
      <c r="B28" s="7"/>
      <c r="C28" s="7"/>
      <c r="D28" s="7"/>
      <c r="E28" s="7"/>
      <c r="F28" s="7"/>
    </row>
    <row r="29" spans="1:6" x14ac:dyDescent="0.2">
      <c r="A29" s="7"/>
      <c r="B29" s="7"/>
      <c r="C29" s="7"/>
      <c r="D29" s="7"/>
      <c r="E29" s="7"/>
      <c r="F29" s="7"/>
    </row>
    <row r="30" spans="1:6" x14ac:dyDescent="0.2">
      <c r="A30" s="7"/>
      <c r="B30" s="7"/>
      <c r="C30" s="7"/>
      <c r="D30" s="7"/>
      <c r="E30" s="7"/>
      <c r="F30" s="7"/>
    </row>
    <row r="31" spans="1:6" x14ac:dyDescent="0.2">
      <c r="A31" s="7"/>
      <c r="B31" s="7"/>
      <c r="C31" s="7"/>
      <c r="D31" s="7"/>
      <c r="E31" s="7"/>
      <c r="F31" s="7"/>
    </row>
    <row r="32" spans="1:6" x14ac:dyDescent="0.2">
      <c r="A32" s="7"/>
      <c r="B32" s="7"/>
      <c r="C32" s="7"/>
      <c r="D32" s="7"/>
      <c r="E32" s="7"/>
      <c r="F32" s="7"/>
    </row>
    <row r="33" spans="1:6" x14ac:dyDescent="0.2">
      <c r="A33" s="7"/>
      <c r="B33" s="7"/>
      <c r="C33" s="7"/>
      <c r="D33" s="7"/>
      <c r="E33" s="7"/>
      <c r="F33" s="7"/>
    </row>
    <row r="34" spans="1:6" x14ac:dyDescent="0.2">
      <c r="A34" s="7"/>
      <c r="B34" s="7"/>
      <c r="C34" s="7"/>
      <c r="D34" s="7"/>
      <c r="E34" s="7"/>
      <c r="F34" s="7"/>
    </row>
    <row r="35" spans="1:6" x14ac:dyDescent="0.2">
      <c r="A35" s="7"/>
      <c r="B35" s="7"/>
      <c r="C35" s="7"/>
      <c r="D35" s="7"/>
      <c r="E35" s="7"/>
      <c r="F35" s="7"/>
    </row>
    <row r="36" spans="1:6" x14ac:dyDescent="0.2">
      <c r="A36" s="7"/>
      <c r="B36" s="7"/>
      <c r="C36" s="7"/>
      <c r="D36" s="7"/>
      <c r="E36" s="7"/>
      <c r="F36" s="7"/>
    </row>
    <row r="37" spans="1:6" x14ac:dyDescent="0.2">
      <c r="A37" s="7"/>
      <c r="B37" s="7"/>
      <c r="C37" s="7"/>
      <c r="D37" s="7"/>
      <c r="E37" s="7"/>
      <c r="F37" s="7"/>
    </row>
    <row r="38" spans="1:6" x14ac:dyDescent="0.2">
      <c r="A38" s="7"/>
      <c r="B38" s="7"/>
      <c r="C38" s="7"/>
      <c r="D38" s="7"/>
      <c r="E38" s="7"/>
      <c r="F38" s="7"/>
    </row>
    <row r="39" spans="1:6" x14ac:dyDescent="0.2">
      <c r="A39" s="7"/>
      <c r="B39" s="7"/>
      <c r="C39" s="7"/>
      <c r="D39" s="7"/>
      <c r="E39" s="7"/>
      <c r="F39" s="7"/>
    </row>
    <row r="40" spans="1:6" x14ac:dyDescent="0.2">
      <c r="A40" s="7"/>
      <c r="B40" s="7"/>
      <c r="C40" s="7"/>
      <c r="D40" s="7"/>
      <c r="E40" s="7"/>
      <c r="F40" s="7"/>
    </row>
    <row r="41" spans="1:6" x14ac:dyDescent="0.2">
      <c r="A41" s="7"/>
      <c r="B41" s="7"/>
      <c r="C41" s="7"/>
      <c r="D41" s="7"/>
      <c r="E41" s="7"/>
      <c r="F41" s="7"/>
    </row>
  </sheetData>
  <customSheetViews>
    <customSheetView guid="{45E2C907-21A9-4DE3-B8AC-8D4C138C71A5}" fitToPage="1">
      <pageMargins left="1" right="1" top="1" bottom="1" header="0.3" footer="0.3"/>
      <pageSetup scale="52" orientation="landscape" r:id="rId1"/>
      <headerFooter alignWithMargins="0">
        <oddFooter>&amp;L&amp;D&amp;T&amp;C&amp;P&amp;N&amp;R&amp;Z&amp;F</oddFooter>
      </headerFooter>
    </customSheetView>
    <customSheetView guid="{4845B082-CC6D-40B1-A19C-F7A3857AE7CF}" fitToPage="1">
      <pageMargins left="1" right="1" top="1" bottom="1" header="0.3" footer="0.3"/>
      <pageSetup scale="52" orientation="landscape" r:id="rId2"/>
      <headerFooter alignWithMargins="0">
        <oddFooter>&amp;L&amp;D&amp;T&amp;C&amp;P&amp;N&amp;R&amp;Z&amp;F</oddFooter>
      </headerFooter>
    </customSheetView>
    <customSheetView guid="{1C4F1D44-A361-480C-ADF0-4C9869BE30FD}" scale="130" fitToPage="1" topLeftCell="A10">
      <selection activeCell="A20" sqref="A20:D27"/>
      <pageMargins left="1" right="1" top="1" bottom="1" header="0.3" footer="0.3"/>
      <pageSetup scale="52" orientation="landscape" r:id="rId3"/>
      <headerFooter alignWithMargins="0">
        <oddFooter>&amp;L&amp;D&amp;T&amp;C&amp;P&amp;N&amp;R&amp;Z&amp;F</oddFooter>
      </headerFooter>
    </customSheetView>
  </customSheetViews>
  <phoneticPr fontId="10" type="noConversion"/>
  <pageMargins left="1" right="1" top="1" bottom="1" header="0.3" footer="0.3"/>
  <pageSetup scale="52" orientation="landscape" r:id="rId4"/>
  <headerFooter alignWithMargins="0">
    <oddFooter>&amp;L&amp;D&amp;T&amp;C&amp;P&amp;N&amp;R&amp;Z&amp;F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32"/>
  <sheetViews>
    <sheetView workbookViewId="0"/>
  </sheetViews>
  <sheetFormatPr defaultRowHeight="12.75" x14ac:dyDescent="0.2"/>
  <cols>
    <col min="1" max="1" width="26.85546875" customWidth="1"/>
    <col min="2" max="2" width="5.140625" customWidth="1"/>
  </cols>
  <sheetData>
    <row r="1" spans="1:53" ht="18.75" x14ac:dyDescent="0.3">
      <c r="A1" s="102" t="s">
        <v>0</v>
      </c>
    </row>
    <row r="2" spans="1:53" x14ac:dyDescent="0.2">
      <c r="A2" s="85" t="s">
        <v>1</v>
      </c>
    </row>
    <row r="3" spans="1:53" x14ac:dyDescent="0.2">
      <c r="A3" s="88" t="s">
        <v>103</v>
      </c>
    </row>
    <row r="4" spans="1:53" x14ac:dyDescent="0.2">
      <c r="A4" s="25"/>
    </row>
    <row r="5" spans="1:53" x14ac:dyDescent="0.2">
      <c r="A5" s="46" t="s">
        <v>104</v>
      </c>
      <c r="B5" s="45" t="s">
        <v>105</v>
      </c>
      <c r="C5" s="47">
        <v>1995</v>
      </c>
      <c r="D5" s="47">
        <v>1996</v>
      </c>
      <c r="E5" s="47">
        <v>1997</v>
      </c>
      <c r="F5" s="47">
        <v>1998</v>
      </c>
      <c r="G5" s="47">
        <v>1999</v>
      </c>
      <c r="H5" s="47">
        <v>2000</v>
      </c>
      <c r="I5" s="47">
        <v>2001</v>
      </c>
      <c r="J5" s="47">
        <v>2002</v>
      </c>
      <c r="K5" s="47">
        <v>2003</v>
      </c>
      <c r="L5" s="47">
        <v>2004</v>
      </c>
      <c r="M5" s="47">
        <v>2005</v>
      </c>
      <c r="N5" s="47">
        <v>2006</v>
      </c>
      <c r="O5" s="47">
        <v>2007</v>
      </c>
      <c r="P5" s="47">
        <v>2008</v>
      </c>
      <c r="Q5" s="47">
        <v>2009</v>
      </c>
      <c r="R5" s="47">
        <v>2010</v>
      </c>
      <c r="S5" s="47">
        <v>2011</v>
      </c>
      <c r="T5" s="47">
        <v>2012</v>
      </c>
      <c r="U5" s="47">
        <v>2013</v>
      </c>
      <c r="V5" s="47">
        <v>2014</v>
      </c>
      <c r="W5" s="47">
        <v>2015</v>
      </c>
      <c r="X5" s="47">
        <v>2016</v>
      </c>
      <c r="Y5" s="47">
        <v>2017</v>
      </c>
      <c r="Z5" s="47">
        <v>2018</v>
      </c>
      <c r="AA5" s="47">
        <v>2019</v>
      </c>
      <c r="AB5" s="47">
        <v>2020</v>
      </c>
      <c r="AC5" s="47">
        <v>2021</v>
      </c>
      <c r="AD5" s="47">
        <v>2022</v>
      </c>
      <c r="AE5" s="47">
        <v>2023</v>
      </c>
      <c r="AF5" s="47">
        <v>2024</v>
      </c>
      <c r="AG5" s="47">
        <v>2025</v>
      </c>
      <c r="AH5" s="47">
        <v>2026</v>
      </c>
      <c r="AI5" s="47">
        <v>2027</v>
      </c>
      <c r="AJ5" s="47">
        <v>2028</v>
      </c>
      <c r="AK5" s="47">
        <v>2029</v>
      </c>
      <c r="AL5" s="47">
        <v>2030</v>
      </c>
      <c r="AM5" s="47">
        <v>2031</v>
      </c>
      <c r="AN5" s="47">
        <v>2032</v>
      </c>
      <c r="AO5" s="47">
        <v>2033</v>
      </c>
      <c r="AP5" s="47">
        <v>2034</v>
      </c>
      <c r="AQ5" s="47">
        <v>2035</v>
      </c>
      <c r="AR5" s="47">
        <v>2036</v>
      </c>
      <c r="AS5" s="47">
        <v>2037</v>
      </c>
      <c r="AT5" s="47">
        <v>2038</v>
      </c>
      <c r="AU5" s="47">
        <v>2039</v>
      </c>
      <c r="AV5" s="47">
        <v>2040</v>
      </c>
      <c r="AW5" s="47">
        <v>2041</v>
      </c>
      <c r="AX5" s="47">
        <v>2042</v>
      </c>
      <c r="AY5" s="47">
        <v>2043</v>
      </c>
      <c r="AZ5" s="47">
        <v>2044</v>
      </c>
      <c r="BA5" s="47">
        <v>2045</v>
      </c>
    </row>
    <row r="6" spans="1:53" x14ac:dyDescent="0.2">
      <c r="A6" s="42" t="s">
        <v>106</v>
      </c>
      <c r="B6" s="44">
        <v>7.0000000000000007E-2</v>
      </c>
      <c r="D6" s="39">
        <v>1000000</v>
      </c>
      <c r="E6" s="39">
        <v>1000000</v>
      </c>
      <c r="F6" s="39">
        <v>1000000</v>
      </c>
      <c r="G6" s="39">
        <f t="shared" ref="G6:Q6" si="0">F6</f>
        <v>1000000</v>
      </c>
      <c r="H6" s="39">
        <f t="shared" si="0"/>
        <v>1000000</v>
      </c>
      <c r="I6" s="39">
        <f t="shared" si="0"/>
        <v>1000000</v>
      </c>
      <c r="J6" s="39">
        <f t="shared" si="0"/>
        <v>1000000</v>
      </c>
      <c r="K6" s="39">
        <f t="shared" si="0"/>
        <v>1000000</v>
      </c>
      <c r="L6" s="39">
        <f t="shared" si="0"/>
        <v>1000000</v>
      </c>
      <c r="M6" s="39">
        <f t="shared" si="0"/>
        <v>1000000</v>
      </c>
      <c r="N6" s="39">
        <f t="shared" si="0"/>
        <v>1000000</v>
      </c>
      <c r="O6" s="39">
        <f t="shared" si="0"/>
        <v>1000000</v>
      </c>
      <c r="P6" s="39">
        <f t="shared" si="0"/>
        <v>1000000</v>
      </c>
      <c r="Q6" s="39">
        <f t="shared" si="0"/>
        <v>1000000</v>
      </c>
      <c r="R6" s="39">
        <v>1000000</v>
      </c>
      <c r="S6" s="39">
        <v>0</v>
      </c>
      <c r="T6" s="39">
        <v>0</v>
      </c>
      <c r="U6" s="39">
        <f>T6</f>
        <v>0</v>
      </c>
      <c r="V6" s="39">
        <v>0</v>
      </c>
      <c r="W6" s="39">
        <f t="shared" ref="W6:BA6" si="1">V6</f>
        <v>0</v>
      </c>
      <c r="X6" s="39">
        <f t="shared" si="1"/>
        <v>0</v>
      </c>
      <c r="Y6" s="39">
        <f t="shared" si="1"/>
        <v>0</v>
      </c>
      <c r="Z6" s="39">
        <f t="shared" si="1"/>
        <v>0</v>
      </c>
      <c r="AA6" s="39">
        <f t="shared" si="1"/>
        <v>0</v>
      </c>
      <c r="AB6" s="39">
        <f t="shared" si="1"/>
        <v>0</v>
      </c>
      <c r="AC6" s="39">
        <f t="shared" si="1"/>
        <v>0</v>
      </c>
      <c r="AD6" s="39">
        <f t="shared" si="1"/>
        <v>0</v>
      </c>
      <c r="AE6" s="39">
        <f t="shared" si="1"/>
        <v>0</v>
      </c>
      <c r="AF6" s="39">
        <f t="shared" si="1"/>
        <v>0</v>
      </c>
      <c r="AG6" s="39">
        <f t="shared" si="1"/>
        <v>0</v>
      </c>
      <c r="AH6" s="39">
        <f t="shared" si="1"/>
        <v>0</v>
      </c>
      <c r="AI6" s="39">
        <f t="shared" si="1"/>
        <v>0</v>
      </c>
      <c r="AJ6" s="39">
        <f t="shared" si="1"/>
        <v>0</v>
      </c>
      <c r="AK6" s="39">
        <f t="shared" si="1"/>
        <v>0</v>
      </c>
      <c r="AL6" s="39">
        <f t="shared" si="1"/>
        <v>0</v>
      </c>
      <c r="AM6" s="39">
        <f t="shared" si="1"/>
        <v>0</v>
      </c>
      <c r="AN6" s="39">
        <f t="shared" si="1"/>
        <v>0</v>
      </c>
      <c r="AO6" s="39">
        <f t="shared" si="1"/>
        <v>0</v>
      </c>
      <c r="AP6" s="39">
        <f t="shared" si="1"/>
        <v>0</v>
      </c>
      <c r="AQ6" s="39">
        <f t="shared" si="1"/>
        <v>0</v>
      </c>
      <c r="AR6" s="39">
        <f t="shared" si="1"/>
        <v>0</v>
      </c>
      <c r="AS6" s="39">
        <f t="shared" si="1"/>
        <v>0</v>
      </c>
      <c r="AT6" s="39">
        <f t="shared" si="1"/>
        <v>0</v>
      </c>
      <c r="AU6" s="39">
        <f t="shared" si="1"/>
        <v>0</v>
      </c>
      <c r="AV6" s="39">
        <f t="shared" si="1"/>
        <v>0</v>
      </c>
      <c r="AW6" s="39">
        <f t="shared" si="1"/>
        <v>0</v>
      </c>
      <c r="AX6" s="39">
        <f t="shared" si="1"/>
        <v>0</v>
      </c>
      <c r="AY6" s="39">
        <f t="shared" si="1"/>
        <v>0</v>
      </c>
      <c r="AZ6" s="39">
        <f t="shared" si="1"/>
        <v>0</v>
      </c>
      <c r="BA6" s="39">
        <f t="shared" si="1"/>
        <v>0</v>
      </c>
    </row>
    <row r="7" spans="1:53" x14ac:dyDescent="0.2">
      <c r="A7" s="42" t="s">
        <v>107</v>
      </c>
      <c r="B7" s="44">
        <v>7.0000000000000007E-2</v>
      </c>
      <c r="D7" s="39">
        <f>2000000-700000-50000</f>
        <v>1250000</v>
      </c>
      <c r="E7" s="39">
        <f>2000000-700000-50000</f>
        <v>1250000</v>
      </c>
      <c r="F7" s="39">
        <f>E7</f>
        <v>1250000</v>
      </c>
      <c r="G7" s="39">
        <f t="shared" ref="G7:Q7" si="2">F7</f>
        <v>1250000</v>
      </c>
      <c r="H7" s="39">
        <f t="shared" si="2"/>
        <v>1250000</v>
      </c>
      <c r="I7" s="39">
        <f t="shared" si="2"/>
        <v>1250000</v>
      </c>
      <c r="J7" s="39">
        <f t="shared" si="2"/>
        <v>1250000</v>
      </c>
      <c r="K7" s="39">
        <f t="shared" si="2"/>
        <v>1250000</v>
      </c>
      <c r="L7" s="39">
        <f t="shared" si="2"/>
        <v>1250000</v>
      </c>
      <c r="M7" s="39">
        <f t="shared" si="2"/>
        <v>1250000</v>
      </c>
      <c r="N7" s="39">
        <f t="shared" si="2"/>
        <v>1250000</v>
      </c>
      <c r="O7" s="39">
        <f t="shared" si="2"/>
        <v>1250000</v>
      </c>
      <c r="P7" s="39">
        <f t="shared" si="2"/>
        <v>1250000</v>
      </c>
      <c r="Q7" s="39">
        <f t="shared" si="2"/>
        <v>1250000</v>
      </c>
      <c r="R7" s="39">
        <v>1250000</v>
      </c>
      <c r="S7" s="39">
        <v>0</v>
      </c>
      <c r="T7" s="39">
        <f>S7</f>
        <v>0</v>
      </c>
      <c r="U7" s="39">
        <f>T7</f>
        <v>0</v>
      </c>
      <c r="V7" s="39">
        <v>0</v>
      </c>
      <c r="W7" s="39">
        <f t="shared" ref="W7:BA7" si="3">V7</f>
        <v>0</v>
      </c>
      <c r="X7" s="39">
        <f t="shared" si="3"/>
        <v>0</v>
      </c>
      <c r="Y7" s="39">
        <f t="shared" si="3"/>
        <v>0</v>
      </c>
      <c r="Z7" s="39">
        <f t="shared" si="3"/>
        <v>0</v>
      </c>
      <c r="AA7" s="39">
        <f t="shared" si="3"/>
        <v>0</v>
      </c>
      <c r="AB7" s="39">
        <f t="shared" si="3"/>
        <v>0</v>
      </c>
      <c r="AC7" s="39">
        <f t="shared" si="3"/>
        <v>0</v>
      </c>
      <c r="AD7" s="39">
        <f t="shared" si="3"/>
        <v>0</v>
      </c>
      <c r="AE7" s="39">
        <f t="shared" si="3"/>
        <v>0</v>
      </c>
      <c r="AF7" s="39">
        <f t="shared" si="3"/>
        <v>0</v>
      </c>
      <c r="AG7" s="39">
        <f t="shared" si="3"/>
        <v>0</v>
      </c>
      <c r="AH7" s="39">
        <f t="shared" si="3"/>
        <v>0</v>
      </c>
      <c r="AI7" s="39">
        <f t="shared" si="3"/>
        <v>0</v>
      </c>
      <c r="AJ7" s="39">
        <f t="shared" si="3"/>
        <v>0</v>
      </c>
      <c r="AK7" s="39">
        <f t="shared" si="3"/>
        <v>0</v>
      </c>
      <c r="AL7" s="39">
        <f t="shared" si="3"/>
        <v>0</v>
      </c>
      <c r="AM7" s="39">
        <f t="shared" si="3"/>
        <v>0</v>
      </c>
      <c r="AN7" s="39">
        <f t="shared" si="3"/>
        <v>0</v>
      </c>
      <c r="AO7" s="39">
        <f t="shared" si="3"/>
        <v>0</v>
      </c>
      <c r="AP7" s="39">
        <f t="shared" si="3"/>
        <v>0</v>
      </c>
      <c r="AQ7" s="39">
        <f t="shared" si="3"/>
        <v>0</v>
      </c>
      <c r="AR7" s="39">
        <f t="shared" si="3"/>
        <v>0</v>
      </c>
      <c r="AS7" s="39">
        <f t="shared" si="3"/>
        <v>0</v>
      </c>
      <c r="AT7" s="39">
        <f t="shared" si="3"/>
        <v>0</v>
      </c>
      <c r="AU7" s="39">
        <f t="shared" si="3"/>
        <v>0</v>
      </c>
      <c r="AV7" s="39">
        <f t="shared" si="3"/>
        <v>0</v>
      </c>
      <c r="AW7" s="39">
        <f t="shared" si="3"/>
        <v>0</v>
      </c>
      <c r="AX7" s="39">
        <f t="shared" si="3"/>
        <v>0</v>
      </c>
      <c r="AY7" s="39">
        <f t="shared" si="3"/>
        <v>0</v>
      </c>
      <c r="AZ7" s="39">
        <f t="shared" si="3"/>
        <v>0</v>
      </c>
      <c r="BA7" s="39">
        <f t="shared" si="3"/>
        <v>0</v>
      </c>
    </row>
    <row r="8" spans="1:53" x14ac:dyDescent="0.2">
      <c r="A8" s="42" t="s">
        <v>106</v>
      </c>
      <c r="B8" s="44">
        <v>0.05</v>
      </c>
      <c r="D8" s="39">
        <v>62500</v>
      </c>
      <c r="E8" s="39">
        <v>62500</v>
      </c>
      <c r="F8" s="39">
        <v>62500</v>
      </c>
      <c r="G8" s="39">
        <f t="shared" ref="G8:Q8" si="4">F8</f>
        <v>62500</v>
      </c>
      <c r="H8" s="39">
        <f t="shared" si="4"/>
        <v>62500</v>
      </c>
      <c r="I8" s="39">
        <f t="shared" si="4"/>
        <v>62500</v>
      </c>
      <c r="J8" s="39">
        <f t="shared" si="4"/>
        <v>62500</v>
      </c>
      <c r="K8" s="39">
        <f t="shared" si="4"/>
        <v>62500</v>
      </c>
      <c r="L8" s="39">
        <f t="shared" si="4"/>
        <v>62500</v>
      </c>
      <c r="M8" s="39">
        <f t="shared" si="4"/>
        <v>62500</v>
      </c>
      <c r="N8" s="39">
        <f t="shared" si="4"/>
        <v>62500</v>
      </c>
      <c r="O8" s="39">
        <f t="shared" si="4"/>
        <v>62500</v>
      </c>
      <c r="P8" s="39">
        <f t="shared" si="4"/>
        <v>62500</v>
      </c>
      <c r="Q8" s="39">
        <f t="shared" si="4"/>
        <v>62500</v>
      </c>
      <c r="R8" s="39">
        <f>Q8</f>
        <v>62500</v>
      </c>
      <c r="S8" s="39">
        <f>R8</f>
        <v>62500</v>
      </c>
      <c r="T8" s="39">
        <f>S8</f>
        <v>62500</v>
      </c>
      <c r="U8" s="39">
        <f>T8</f>
        <v>62500</v>
      </c>
      <c r="V8" s="39">
        <f>U8</f>
        <v>62500</v>
      </c>
      <c r="W8" s="39">
        <f t="shared" ref="W8:BA8" si="5">V8</f>
        <v>62500</v>
      </c>
      <c r="X8" s="39">
        <f t="shared" si="5"/>
        <v>62500</v>
      </c>
      <c r="Y8" s="39">
        <f t="shared" si="5"/>
        <v>62500</v>
      </c>
      <c r="Z8" s="39">
        <f t="shared" si="5"/>
        <v>62500</v>
      </c>
      <c r="AA8" s="39">
        <f t="shared" si="5"/>
        <v>62500</v>
      </c>
      <c r="AB8" s="39">
        <f t="shared" si="5"/>
        <v>62500</v>
      </c>
      <c r="AC8" s="39">
        <f t="shared" si="5"/>
        <v>62500</v>
      </c>
      <c r="AD8" s="39">
        <f t="shared" si="5"/>
        <v>62500</v>
      </c>
      <c r="AE8" s="39">
        <f t="shared" si="5"/>
        <v>62500</v>
      </c>
      <c r="AF8" s="39">
        <f t="shared" si="5"/>
        <v>62500</v>
      </c>
      <c r="AG8" s="39">
        <f t="shared" si="5"/>
        <v>62500</v>
      </c>
      <c r="AH8" s="39">
        <f t="shared" si="5"/>
        <v>62500</v>
      </c>
      <c r="AI8" s="39">
        <f t="shared" si="5"/>
        <v>62500</v>
      </c>
      <c r="AJ8" s="39">
        <f t="shared" si="5"/>
        <v>62500</v>
      </c>
      <c r="AK8" s="39">
        <f t="shared" si="5"/>
        <v>62500</v>
      </c>
      <c r="AL8" s="39">
        <f t="shared" si="5"/>
        <v>62500</v>
      </c>
      <c r="AM8" s="39">
        <f t="shared" si="5"/>
        <v>62500</v>
      </c>
      <c r="AN8" s="39">
        <f t="shared" si="5"/>
        <v>62500</v>
      </c>
      <c r="AO8" s="39">
        <f t="shared" si="5"/>
        <v>62500</v>
      </c>
      <c r="AP8" s="39">
        <f t="shared" si="5"/>
        <v>62500</v>
      </c>
      <c r="AQ8" s="39">
        <f t="shared" si="5"/>
        <v>62500</v>
      </c>
      <c r="AR8" s="39">
        <f t="shared" si="5"/>
        <v>62500</v>
      </c>
      <c r="AS8" s="39">
        <f t="shared" si="5"/>
        <v>62500</v>
      </c>
      <c r="AT8" s="39">
        <f t="shared" si="5"/>
        <v>62500</v>
      </c>
      <c r="AU8" s="39">
        <f t="shared" si="5"/>
        <v>62500</v>
      </c>
      <c r="AV8" s="39">
        <f t="shared" si="5"/>
        <v>62500</v>
      </c>
      <c r="AW8" s="39">
        <f t="shared" si="5"/>
        <v>62500</v>
      </c>
      <c r="AX8" s="39">
        <f t="shared" si="5"/>
        <v>62500</v>
      </c>
      <c r="AY8" s="39">
        <f t="shared" si="5"/>
        <v>62500</v>
      </c>
      <c r="AZ8" s="39">
        <f t="shared" si="5"/>
        <v>62500</v>
      </c>
      <c r="BA8" s="39">
        <f t="shared" si="5"/>
        <v>62500</v>
      </c>
    </row>
    <row r="9" spans="1:53" x14ac:dyDescent="0.2">
      <c r="A9" s="42" t="s">
        <v>108</v>
      </c>
      <c r="B9" s="44">
        <v>0.05</v>
      </c>
      <c r="D9" s="39">
        <v>1000000</v>
      </c>
      <c r="E9" s="39">
        <v>1000000</v>
      </c>
      <c r="F9" s="39">
        <v>1000000</v>
      </c>
      <c r="G9" s="39">
        <v>1000000</v>
      </c>
      <c r="H9" s="39">
        <v>1000000</v>
      </c>
      <c r="I9" s="39">
        <v>1000000</v>
      </c>
      <c r="J9" s="39">
        <v>1000000</v>
      </c>
      <c r="K9" s="39">
        <v>1000000</v>
      </c>
      <c r="L9" s="39">
        <v>1000000</v>
      </c>
      <c r="M9" s="39">
        <v>1000000</v>
      </c>
      <c r="N9" s="39">
        <v>1000000</v>
      </c>
      <c r="O9" s="39">
        <v>1000000</v>
      </c>
      <c r="P9" s="39">
        <v>1000000</v>
      </c>
      <c r="Q9" s="39">
        <v>1000000</v>
      </c>
      <c r="R9" s="39">
        <v>1000000</v>
      </c>
      <c r="S9" s="39">
        <v>1000000</v>
      </c>
      <c r="T9" s="39">
        <v>1000000</v>
      </c>
      <c r="U9" s="39">
        <v>1000000</v>
      </c>
      <c r="V9" s="39">
        <v>1000000</v>
      </c>
      <c r="W9" s="39">
        <v>1000000</v>
      </c>
      <c r="X9" s="39">
        <v>1000000</v>
      </c>
      <c r="Y9" s="39">
        <v>1000000</v>
      </c>
      <c r="Z9" s="39">
        <v>1000000</v>
      </c>
      <c r="AA9" s="39">
        <v>1000000</v>
      </c>
      <c r="AB9" s="39">
        <v>1000000</v>
      </c>
      <c r="AC9" s="39">
        <v>1000000</v>
      </c>
      <c r="AD9" s="39">
        <v>1000000</v>
      </c>
      <c r="AE9" s="39">
        <v>1000000</v>
      </c>
      <c r="AF9" s="39">
        <v>1000000</v>
      </c>
      <c r="AG9" s="39">
        <v>1000000</v>
      </c>
      <c r="AH9" s="39">
        <v>1000000</v>
      </c>
      <c r="AI9" s="39">
        <v>1000000</v>
      </c>
      <c r="AJ9" s="39">
        <v>1000000</v>
      </c>
      <c r="AK9" s="39">
        <v>1000000</v>
      </c>
      <c r="AL9" s="39">
        <v>1000000</v>
      </c>
      <c r="AM9" s="39">
        <v>1000000</v>
      </c>
      <c r="AN9" s="39">
        <v>1000000</v>
      </c>
      <c r="AO9" s="39">
        <v>1000000</v>
      </c>
      <c r="AP9" s="39">
        <v>1000000</v>
      </c>
      <c r="AQ9" s="39">
        <v>1000000</v>
      </c>
      <c r="AR9" s="39">
        <v>1000000</v>
      </c>
      <c r="AS9" s="39">
        <v>1000000</v>
      </c>
      <c r="AT9" s="39">
        <v>1000000</v>
      </c>
      <c r="AU9" s="39">
        <v>1000000</v>
      </c>
      <c r="AV9" s="39">
        <v>1000000</v>
      </c>
      <c r="AW9" s="39">
        <v>1000000</v>
      </c>
      <c r="AX9" s="39">
        <v>1000000</v>
      </c>
      <c r="AY9" s="39">
        <v>1000000</v>
      </c>
      <c r="AZ9" s="39">
        <v>1000000</v>
      </c>
      <c r="BA9" s="39">
        <v>1000000</v>
      </c>
    </row>
    <row r="10" spans="1:53" x14ac:dyDescent="0.2">
      <c r="A10" s="43" t="s">
        <v>109</v>
      </c>
      <c r="B10" s="44">
        <v>0.05</v>
      </c>
      <c r="D10" s="39">
        <v>1000000</v>
      </c>
      <c r="E10" s="39">
        <v>1000000</v>
      </c>
      <c r="F10" s="40">
        <v>1000000</v>
      </c>
      <c r="G10" s="40">
        <v>1000000</v>
      </c>
      <c r="H10" s="40">
        <v>1000000</v>
      </c>
      <c r="I10" s="40">
        <v>1000000</v>
      </c>
      <c r="J10" s="40">
        <v>1000000</v>
      </c>
      <c r="K10" s="40">
        <v>1000000</v>
      </c>
      <c r="L10" s="40">
        <v>1000000</v>
      </c>
      <c r="M10" s="40">
        <v>1000000</v>
      </c>
      <c r="N10" s="40">
        <v>1000000</v>
      </c>
      <c r="O10" s="40">
        <v>1000000</v>
      </c>
      <c r="P10" s="40">
        <v>1000000</v>
      </c>
      <c r="Q10" s="40">
        <v>1000000</v>
      </c>
      <c r="R10" s="40">
        <v>1000000</v>
      </c>
      <c r="S10" s="40">
        <v>1000000</v>
      </c>
      <c r="T10" s="40">
        <v>1000000</v>
      </c>
      <c r="U10" s="40">
        <v>1000000</v>
      </c>
      <c r="V10" s="40">
        <v>1000000</v>
      </c>
      <c r="W10" s="40">
        <v>1000000</v>
      </c>
      <c r="X10" s="40">
        <v>1000000</v>
      </c>
      <c r="Y10" s="40">
        <v>1000000</v>
      </c>
      <c r="Z10" s="40">
        <v>1000000</v>
      </c>
      <c r="AA10" s="40">
        <v>1000000</v>
      </c>
      <c r="AB10" s="40">
        <v>1000000</v>
      </c>
      <c r="AC10" s="40">
        <v>1000000</v>
      </c>
      <c r="AD10" s="40">
        <v>1000000</v>
      </c>
      <c r="AE10" s="40">
        <v>1000000</v>
      </c>
      <c r="AF10" s="40">
        <v>1000000</v>
      </c>
      <c r="AG10" s="40">
        <v>1000000</v>
      </c>
      <c r="AH10" s="40">
        <v>1000000</v>
      </c>
      <c r="AI10" s="40">
        <v>1000000</v>
      </c>
      <c r="AJ10" s="40">
        <v>1000000</v>
      </c>
      <c r="AK10" s="40">
        <v>1000000</v>
      </c>
      <c r="AL10" s="40">
        <v>1000000</v>
      </c>
      <c r="AM10" s="40">
        <v>1000000</v>
      </c>
      <c r="AN10" s="40">
        <v>1000000</v>
      </c>
      <c r="AO10" s="40">
        <v>1000000</v>
      </c>
      <c r="AP10" s="40">
        <v>1000000</v>
      </c>
      <c r="AQ10" s="40">
        <v>1000000</v>
      </c>
      <c r="AR10" s="40">
        <v>1000000</v>
      </c>
      <c r="AS10" s="40">
        <v>1000000</v>
      </c>
      <c r="AT10" s="40">
        <v>1000000</v>
      </c>
      <c r="AU10" s="40">
        <v>1000000</v>
      </c>
      <c r="AV10" s="40">
        <v>1000000</v>
      </c>
      <c r="AW10" s="40">
        <v>1000000</v>
      </c>
      <c r="AX10" s="40">
        <v>1000000</v>
      </c>
      <c r="AY10" s="40">
        <v>1000000</v>
      </c>
      <c r="AZ10" s="40">
        <v>1000000</v>
      </c>
      <c r="BA10" s="40">
        <v>1000000</v>
      </c>
    </row>
    <row r="11" spans="1:53" x14ac:dyDescent="0.2">
      <c r="A11" s="43" t="s">
        <v>110</v>
      </c>
      <c r="B11" s="44">
        <v>0.05</v>
      </c>
      <c r="D11" s="39">
        <v>750000</v>
      </c>
      <c r="E11" s="39">
        <v>750000</v>
      </c>
      <c r="F11" s="40">
        <v>750000</v>
      </c>
      <c r="G11" s="40">
        <f t="shared" ref="G11:BA11" si="6">F11</f>
        <v>750000</v>
      </c>
      <c r="H11" s="40">
        <f t="shared" si="6"/>
        <v>750000</v>
      </c>
      <c r="I11" s="40">
        <f t="shared" si="6"/>
        <v>750000</v>
      </c>
      <c r="J11" s="40">
        <f t="shared" si="6"/>
        <v>750000</v>
      </c>
      <c r="K11" s="40">
        <f t="shared" si="6"/>
        <v>750000</v>
      </c>
      <c r="L11" s="40">
        <f t="shared" si="6"/>
        <v>750000</v>
      </c>
      <c r="M11" s="40">
        <f t="shared" si="6"/>
        <v>750000</v>
      </c>
      <c r="N11" s="40">
        <f t="shared" si="6"/>
        <v>750000</v>
      </c>
      <c r="O11" s="40">
        <f t="shared" si="6"/>
        <v>750000</v>
      </c>
      <c r="P11" s="40">
        <f t="shared" si="6"/>
        <v>750000</v>
      </c>
      <c r="Q11" s="40">
        <f t="shared" si="6"/>
        <v>750000</v>
      </c>
      <c r="R11" s="40">
        <f t="shared" si="6"/>
        <v>750000</v>
      </c>
      <c r="S11" s="40">
        <f t="shared" si="6"/>
        <v>750000</v>
      </c>
      <c r="T11" s="40">
        <f t="shared" si="6"/>
        <v>750000</v>
      </c>
      <c r="U11" s="40">
        <f t="shared" si="6"/>
        <v>750000</v>
      </c>
      <c r="V11" s="40">
        <f t="shared" si="6"/>
        <v>750000</v>
      </c>
      <c r="W11" s="40">
        <f t="shared" si="6"/>
        <v>750000</v>
      </c>
      <c r="X11" s="40">
        <f t="shared" si="6"/>
        <v>750000</v>
      </c>
      <c r="Y11" s="40">
        <f t="shared" si="6"/>
        <v>750000</v>
      </c>
      <c r="Z11" s="40">
        <f t="shared" si="6"/>
        <v>750000</v>
      </c>
      <c r="AA11" s="40">
        <f t="shared" si="6"/>
        <v>750000</v>
      </c>
      <c r="AB11" s="40">
        <f t="shared" si="6"/>
        <v>750000</v>
      </c>
      <c r="AC11" s="40">
        <f t="shared" si="6"/>
        <v>750000</v>
      </c>
      <c r="AD11" s="40">
        <f t="shared" si="6"/>
        <v>750000</v>
      </c>
      <c r="AE11" s="40">
        <f t="shared" si="6"/>
        <v>750000</v>
      </c>
      <c r="AF11" s="40">
        <f t="shared" si="6"/>
        <v>750000</v>
      </c>
      <c r="AG11" s="40">
        <f t="shared" si="6"/>
        <v>750000</v>
      </c>
      <c r="AH11" s="40">
        <f t="shared" si="6"/>
        <v>750000</v>
      </c>
      <c r="AI11" s="40">
        <f t="shared" si="6"/>
        <v>750000</v>
      </c>
      <c r="AJ11" s="40">
        <f t="shared" si="6"/>
        <v>750000</v>
      </c>
      <c r="AK11" s="40">
        <f t="shared" si="6"/>
        <v>750000</v>
      </c>
      <c r="AL11" s="40">
        <f t="shared" si="6"/>
        <v>750000</v>
      </c>
      <c r="AM11" s="40">
        <f t="shared" si="6"/>
        <v>750000</v>
      </c>
      <c r="AN11" s="40">
        <f t="shared" si="6"/>
        <v>750000</v>
      </c>
      <c r="AO11" s="40">
        <f t="shared" si="6"/>
        <v>750000</v>
      </c>
      <c r="AP11" s="40">
        <f t="shared" si="6"/>
        <v>750000</v>
      </c>
      <c r="AQ11" s="40">
        <f t="shared" si="6"/>
        <v>750000</v>
      </c>
      <c r="AR11" s="40">
        <f t="shared" si="6"/>
        <v>750000</v>
      </c>
      <c r="AS11" s="40">
        <f t="shared" si="6"/>
        <v>750000</v>
      </c>
      <c r="AT11" s="40">
        <f t="shared" si="6"/>
        <v>750000</v>
      </c>
      <c r="AU11" s="40">
        <f t="shared" si="6"/>
        <v>750000</v>
      </c>
      <c r="AV11" s="40">
        <f t="shared" si="6"/>
        <v>750000</v>
      </c>
      <c r="AW11" s="40">
        <f t="shared" si="6"/>
        <v>750000</v>
      </c>
      <c r="AX11" s="40">
        <f t="shared" si="6"/>
        <v>750000</v>
      </c>
      <c r="AY11" s="40">
        <f t="shared" si="6"/>
        <v>750000</v>
      </c>
      <c r="AZ11" s="40">
        <f t="shared" si="6"/>
        <v>750000</v>
      </c>
      <c r="BA11" s="40">
        <f t="shared" si="6"/>
        <v>750000</v>
      </c>
    </row>
    <row r="12" spans="1:53" x14ac:dyDescent="0.2">
      <c r="A12" s="43" t="s">
        <v>111</v>
      </c>
      <c r="B12" s="44">
        <v>0.05</v>
      </c>
      <c r="D12" s="39">
        <v>250000</v>
      </c>
      <c r="E12" s="39">
        <v>250000</v>
      </c>
      <c r="F12" s="40">
        <v>250000</v>
      </c>
      <c r="G12" s="40">
        <f t="shared" ref="G12:BA12" si="7">F12</f>
        <v>250000</v>
      </c>
      <c r="H12" s="40">
        <f t="shared" si="7"/>
        <v>250000</v>
      </c>
      <c r="I12" s="40">
        <f t="shared" si="7"/>
        <v>250000</v>
      </c>
      <c r="J12" s="40">
        <f t="shared" si="7"/>
        <v>250000</v>
      </c>
      <c r="K12" s="40">
        <f t="shared" si="7"/>
        <v>250000</v>
      </c>
      <c r="L12" s="40">
        <f t="shared" si="7"/>
        <v>250000</v>
      </c>
      <c r="M12" s="40">
        <f t="shared" si="7"/>
        <v>250000</v>
      </c>
      <c r="N12" s="40">
        <f t="shared" si="7"/>
        <v>250000</v>
      </c>
      <c r="O12" s="40">
        <f t="shared" si="7"/>
        <v>250000</v>
      </c>
      <c r="P12" s="40">
        <f t="shared" si="7"/>
        <v>250000</v>
      </c>
      <c r="Q12" s="40">
        <f t="shared" si="7"/>
        <v>250000</v>
      </c>
      <c r="R12" s="40">
        <f t="shared" si="7"/>
        <v>250000</v>
      </c>
      <c r="S12" s="40">
        <f t="shared" si="7"/>
        <v>250000</v>
      </c>
      <c r="T12" s="40">
        <f t="shared" si="7"/>
        <v>250000</v>
      </c>
      <c r="U12" s="40">
        <f t="shared" si="7"/>
        <v>250000</v>
      </c>
      <c r="V12" s="40">
        <f t="shared" si="7"/>
        <v>250000</v>
      </c>
      <c r="W12" s="40">
        <f t="shared" si="7"/>
        <v>250000</v>
      </c>
      <c r="X12" s="40">
        <f t="shared" si="7"/>
        <v>250000</v>
      </c>
      <c r="Y12" s="40">
        <f t="shared" si="7"/>
        <v>250000</v>
      </c>
      <c r="Z12" s="40">
        <f t="shared" si="7"/>
        <v>250000</v>
      </c>
      <c r="AA12" s="40">
        <f t="shared" si="7"/>
        <v>250000</v>
      </c>
      <c r="AB12" s="40">
        <f t="shared" si="7"/>
        <v>250000</v>
      </c>
      <c r="AC12" s="40">
        <f t="shared" si="7"/>
        <v>250000</v>
      </c>
      <c r="AD12" s="40">
        <f t="shared" si="7"/>
        <v>250000</v>
      </c>
      <c r="AE12" s="40">
        <f t="shared" si="7"/>
        <v>250000</v>
      </c>
      <c r="AF12" s="40">
        <f t="shared" si="7"/>
        <v>250000</v>
      </c>
      <c r="AG12" s="40">
        <f t="shared" si="7"/>
        <v>250000</v>
      </c>
      <c r="AH12" s="40">
        <f t="shared" si="7"/>
        <v>250000</v>
      </c>
      <c r="AI12" s="40">
        <f t="shared" si="7"/>
        <v>250000</v>
      </c>
      <c r="AJ12" s="40">
        <f t="shared" si="7"/>
        <v>250000</v>
      </c>
      <c r="AK12" s="40">
        <f t="shared" si="7"/>
        <v>250000</v>
      </c>
      <c r="AL12" s="40">
        <f t="shared" si="7"/>
        <v>250000</v>
      </c>
      <c r="AM12" s="40">
        <f t="shared" si="7"/>
        <v>250000</v>
      </c>
      <c r="AN12" s="40">
        <f t="shared" si="7"/>
        <v>250000</v>
      </c>
      <c r="AO12" s="40">
        <f t="shared" si="7"/>
        <v>250000</v>
      </c>
      <c r="AP12" s="40">
        <f t="shared" si="7"/>
        <v>250000</v>
      </c>
      <c r="AQ12" s="40">
        <f t="shared" si="7"/>
        <v>250000</v>
      </c>
      <c r="AR12" s="40">
        <f t="shared" si="7"/>
        <v>250000</v>
      </c>
      <c r="AS12" s="40">
        <f t="shared" si="7"/>
        <v>250000</v>
      </c>
      <c r="AT12" s="40">
        <f t="shared" si="7"/>
        <v>250000</v>
      </c>
      <c r="AU12" s="40">
        <f t="shared" si="7"/>
        <v>250000</v>
      </c>
      <c r="AV12" s="40">
        <f t="shared" si="7"/>
        <v>250000</v>
      </c>
      <c r="AW12" s="40">
        <f t="shared" si="7"/>
        <v>250000</v>
      </c>
      <c r="AX12" s="40">
        <f t="shared" si="7"/>
        <v>250000</v>
      </c>
      <c r="AY12" s="40">
        <f t="shared" si="7"/>
        <v>250000</v>
      </c>
      <c r="AZ12" s="40">
        <f t="shared" si="7"/>
        <v>250000</v>
      </c>
      <c r="BA12" s="40">
        <f t="shared" si="7"/>
        <v>250000</v>
      </c>
    </row>
    <row r="13" spans="1:53" x14ac:dyDescent="0.2">
      <c r="A13" s="43" t="s">
        <v>107</v>
      </c>
      <c r="B13" s="44">
        <v>0.05</v>
      </c>
      <c r="D13" s="39">
        <v>3062500</v>
      </c>
      <c r="E13" s="41">
        <v>3062500</v>
      </c>
      <c r="F13" s="40">
        <v>3062500</v>
      </c>
      <c r="G13" s="40">
        <f t="shared" ref="G13:BA13" si="8">F13</f>
        <v>3062500</v>
      </c>
      <c r="H13" s="40">
        <f t="shared" si="8"/>
        <v>3062500</v>
      </c>
      <c r="I13" s="40">
        <f t="shared" si="8"/>
        <v>3062500</v>
      </c>
      <c r="J13" s="40">
        <f t="shared" si="8"/>
        <v>3062500</v>
      </c>
      <c r="K13" s="40">
        <f t="shared" si="8"/>
        <v>3062500</v>
      </c>
      <c r="L13" s="40">
        <f t="shared" si="8"/>
        <v>3062500</v>
      </c>
      <c r="M13" s="40">
        <f t="shared" si="8"/>
        <v>3062500</v>
      </c>
      <c r="N13" s="40">
        <f t="shared" si="8"/>
        <v>3062500</v>
      </c>
      <c r="O13" s="40">
        <f t="shared" si="8"/>
        <v>3062500</v>
      </c>
      <c r="P13" s="40">
        <f t="shared" si="8"/>
        <v>3062500</v>
      </c>
      <c r="Q13" s="40">
        <f t="shared" si="8"/>
        <v>3062500</v>
      </c>
      <c r="R13" s="40">
        <f t="shared" si="8"/>
        <v>3062500</v>
      </c>
      <c r="S13" s="40">
        <f t="shared" si="8"/>
        <v>3062500</v>
      </c>
      <c r="T13" s="40">
        <f t="shared" si="8"/>
        <v>3062500</v>
      </c>
      <c r="U13" s="40">
        <f t="shared" si="8"/>
        <v>3062500</v>
      </c>
      <c r="V13" s="40">
        <f t="shared" si="8"/>
        <v>3062500</v>
      </c>
      <c r="W13" s="40">
        <f t="shared" si="8"/>
        <v>3062500</v>
      </c>
      <c r="X13" s="40">
        <f t="shared" si="8"/>
        <v>3062500</v>
      </c>
      <c r="Y13" s="40">
        <f t="shared" si="8"/>
        <v>3062500</v>
      </c>
      <c r="Z13" s="40">
        <f t="shared" si="8"/>
        <v>3062500</v>
      </c>
      <c r="AA13" s="40">
        <f t="shared" si="8"/>
        <v>3062500</v>
      </c>
      <c r="AB13" s="40">
        <f t="shared" si="8"/>
        <v>3062500</v>
      </c>
      <c r="AC13" s="40">
        <f t="shared" si="8"/>
        <v>3062500</v>
      </c>
      <c r="AD13" s="40">
        <f t="shared" si="8"/>
        <v>3062500</v>
      </c>
      <c r="AE13" s="40">
        <f t="shared" si="8"/>
        <v>3062500</v>
      </c>
      <c r="AF13" s="40">
        <f t="shared" si="8"/>
        <v>3062500</v>
      </c>
      <c r="AG13" s="40">
        <f t="shared" si="8"/>
        <v>3062500</v>
      </c>
      <c r="AH13" s="40">
        <f t="shared" si="8"/>
        <v>3062500</v>
      </c>
      <c r="AI13" s="40">
        <f t="shared" si="8"/>
        <v>3062500</v>
      </c>
      <c r="AJ13" s="40">
        <f t="shared" si="8"/>
        <v>3062500</v>
      </c>
      <c r="AK13" s="40">
        <f t="shared" si="8"/>
        <v>3062500</v>
      </c>
      <c r="AL13" s="40">
        <f t="shared" si="8"/>
        <v>3062500</v>
      </c>
      <c r="AM13" s="40">
        <f t="shared" si="8"/>
        <v>3062500</v>
      </c>
      <c r="AN13" s="40">
        <f t="shared" si="8"/>
        <v>3062500</v>
      </c>
      <c r="AO13" s="40">
        <f t="shared" si="8"/>
        <v>3062500</v>
      </c>
      <c r="AP13" s="40">
        <f t="shared" si="8"/>
        <v>3062500</v>
      </c>
      <c r="AQ13" s="40">
        <f t="shared" si="8"/>
        <v>3062500</v>
      </c>
      <c r="AR13" s="40">
        <f t="shared" si="8"/>
        <v>3062500</v>
      </c>
      <c r="AS13" s="40">
        <f t="shared" si="8"/>
        <v>3062500</v>
      </c>
      <c r="AT13" s="40">
        <f t="shared" si="8"/>
        <v>3062500</v>
      </c>
      <c r="AU13" s="40">
        <f t="shared" si="8"/>
        <v>3062500</v>
      </c>
      <c r="AV13" s="40">
        <f t="shared" si="8"/>
        <v>3062500</v>
      </c>
      <c r="AW13" s="40">
        <f t="shared" si="8"/>
        <v>3062500</v>
      </c>
      <c r="AX13" s="40">
        <f t="shared" si="8"/>
        <v>3062500</v>
      </c>
      <c r="AY13" s="40">
        <f t="shared" si="8"/>
        <v>3062500</v>
      </c>
      <c r="AZ13" s="40">
        <f t="shared" si="8"/>
        <v>3062500</v>
      </c>
      <c r="BA13" s="40">
        <f t="shared" si="8"/>
        <v>3062500</v>
      </c>
    </row>
    <row r="14" spans="1:53" x14ac:dyDescent="0.2">
      <c r="A14" s="43" t="s">
        <v>112</v>
      </c>
      <c r="B14" s="44">
        <v>0.05</v>
      </c>
      <c r="D14" s="39">
        <v>0</v>
      </c>
      <c r="E14" s="41">
        <f>D14+D32</f>
        <v>306250</v>
      </c>
      <c r="F14" s="41">
        <f t="shared" ref="F14:S14" si="9">E14+E32</f>
        <v>627812.5</v>
      </c>
      <c r="G14" s="41">
        <f t="shared" si="9"/>
        <v>965453.125</v>
      </c>
      <c r="H14" s="41">
        <f t="shared" si="9"/>
        <v>1319975.78125</v>
      </c>
      <c r="I14" s="41">
        <f t="shared" si="9"/>
        <v>1692224.5703125</v>
      </c>
      <c r="J14" s="41">
        <f t="shared" si="9"/>
        <v>2083085.798828125</v>
      </c>
      <c r="K14" s="41">
        <f t="shared" si="9"/>
        <v>2493490.0887695313</v>
      </c>
      <c r="L14" s="41">
        <f t="shared" si="9"/>
        <v>2924414.593208008</v>
      </c>
      <c r="M14" s="41">
        <f t="shared" si="9"/>
        <v>3376885.3228684086</v>
      </c>
      <c r="N14" s="41">
        <f t="shared" si="9"/>
        <v>3851979.5890118293</v>
      </c>
      <c r="O14" s="41">
        <f t="shared" si="9"/>
        <v>4350828.5684624212</v>
      </c>
      <c r="P14" s="41">
        <f t="shared" si="9"/>
        <v>4874619.9968855418</v>
      </c>
      <c r="Q14" s="41">
        <f t="shared" si="9"/>
        <v>5424600.9967298191</v>
      </c>
      <c r="R14" s="41">
        <f t="shared" si="9"/>
        <v>6002081.0465663103</v>
      </c>
      <c r="S14" s="41">
        <f t="shared" si="9"/>
        <v>6608435.0988946259</v>
      </c>
      <c r="T14" s="41">
        <f>S14+S32-5000000</f>
        <v>1608435.0988946259</v>
      </c>
      <c r="U14" s="41">
        <f>T14+T32-1608435</f>
        <v>9.8894625902175903E-2</v>
      </c>
      <c r="V14" s="41">
        <f t="shared" ref="V14:AK14" si="10">U14+U32</f>
        <v>9.8894625902175903E-2</v>
      </c>
      <c r="W14" s="41">
        <f t="shared" si="10"/>
        <v>9.8894625902175903E-2</v>
      </c>
      <c r="X14" s="41">
        <f t="shared" si="10"/>
        <v>9.8894625902175903E-2</v>
      </c>
      <c r="Y14" s="41">
        <f t="shared" si="10"/>
        <v>9.8894625902175903E-2</v>
      </c>
      <c r="Z14" s="41">
        <f t="shared" si="10"/>
        <v>9.8894625902175903E-2</v>
      </c>
      <c r="AA14" s="41">
        <f t="shared" si="10"/>
        <v>9.8894625902175903E-2</v>
      </c>
      <c r="AB14" s="41">
        <f t="shared" si="10"/>
        <v>9.8894625902175903E-2</v>
      </c>
      <c r="AC14" s="41">
        <f t="shared" si="10"/>
        <v>9.8894625902175903E-2</v>
      </c>
      <c r="AD14" s="41">
        <f t="shared" si="10"/>
        <v>9.8894625902175903E-2</v>
      </c>
      <c r="AE14" s="41">
        <f t="shared" si="10"/>
        <v>9.8894625902175903E-2</v>
      </c>
      <c r="AF14" s="41">
        <f t="shared" si="10"/>
        <v>9.8894625902175903E-2</v>
      </c>
      <c r="AG14" s="41">
        <f t="shared" si="10"/>
        <v>9.8894625902175903E-2</v>
      </c>
      <c r="AH14" s="41">
        <f t="shared" si="10"/>
        <v>9.8894625902175903E-2</v>
      </c>
      <c r="AI14" s="41">
        <f t="shared" si="10"/>
        <v>9.8894625902175903E-2</v>
      </c>
      <c r="AJ14" s="41">
        <f t="shared" si="10"/>
        <v>9.8894625902175903E-2</v>
      </c>
      <c r="AK14" s="41">
        <f t="shared" si="10"/>
        <v>9.8894625902175903E-2</v>
      </c>
      <c r="AL14" s="41">
        <f t="shared" ref="AL14:BA14" si="11">AK14+AK32</f>
        <v>9.8894625902175903E-2</v>
      </c>
      <c r="AM14" s="41">
        <f t="shared" si="11"/>
        <v>9.8894625902175903E-2</v>
      </c>
      <c r="AN14" s="41">
        <f t="shared" si="11"/>
        <v>9.8894625902175903E-2</v>
      </c>
      <c r="AO14" s="41">
        <f t="shared" si="11"/>
        <v>9.8894625902175903E-2</v>
      </c>
      <c r="AP14" s="41">
        <f t="shared" si="11"/>
        <v>9.8894625902175903E-2</v>
      </c>
      <c r="AQ14" s="41">
        <f t="shared" si="11"/>
        <v>9.8894625902175903E-2</v>
      </c>
      <c r="AR14" s="41">
        <f t="shared" si="11"/>
        <v>9.8894625902175903E-2</v>
      </c>
      <c r="AS14" s="41">
        <f t="shared" si="11"/>
        <v>9.8894625902175903E-2</v>
      </c>
      <c r="AT14" s="41">
        <f t="shared" si="11"/>
        <v>9.8894625902175903E-2</v>
      </c>
      <c r="AU14" s="41">
        <f t="shared" si="11"/>
        <v>9.8894625902175903E-2</v>
      </c>
      <c r="AV14" s="41">
        <f t="shared" si="11"/>
        <v>9.8894625902175903E-2</v>
      </c>
      <c r="AW14" s="41">
        <f t="shared" si="11"/>
        <v>9.8894625902175903E-2</v>
      </c>
      <c r="AX14" s="41">
        <f t="shared" si="11"/>
        <v>9.8894625902175903E-2</v>
      </c>
      <c r="AY14" s="41">
        <f t="shared" si="11"/>
        <v>9.8894625902175903E-2</v>
      </c>
      <c r="AZ14" s="41">
        <f t="shared" si="11"/>
        <v>9.8894625902175903E-2</v>
      </c>
      <c r="BA14" s="41">
        <f t="shared" si="11"/>
        <v>9.8894625902175903E-2</v>
      </c>
    </row>
    <row r="15" spans="1:53" x14ac:dyDescent="0.2">
      <c r="A15" s="7" t="s">
        <v>18</v>
      </c>
      <c r="B15" s="44">
        <v>9.5000000000000001E-2</v>
      </c>
      <c r="D15" s="39">
        <v>0</v>
      </c>
      <c r="E15" s="39">
        <v>15000000</v>
      </c>
      <c r="F15" s="39">
        <v>15000000</v>
      </c>
      <c r="G15" s="39">
        <v>15000000</v>
      </c>
      <c r="H15" s="39">
        <f>G15+'Fin Stmnts'!G39</f>
        <v>14000000</v>
      </c>
      <c r="I15" s="39">
        <f>H15+'Fin Stmnts'!H39</f>
        <v>13000000</v>
      </c>
      <c r="J15" s="39">
        <f>I15+'Fin Stmnts'!I39</f>
        <v>12000000</v>
      </c>
      <c r="K15" s="39">
        <f>J15+'Fin Stmnts'!J39</f>
        <v>11000000</v>
      </c>
      <c r="L15" s="39">
        <f>K15+'Fin Stmnts'!K39</f>
        <v>10000000</v>
      </c>
      <c r="M15" s="39">
        <f>L15+'Fin Stmnts'!L39</f>
        <v>9000000</v>
      </c>
      <c r="N15" s="39">
        <f>M15+'Fin Stmnts'!M39</f>
        <v>8000000</v>
      </c>
      <c r="O15" s="39">
        <f>N15+'Fin Stmnts'!N39</f>
        <v>7000000</v>
      </c>
      <c r="P15" s="39">
        <f>O15+'Fin Stmnts'!O39</f>
        <v>6000000</v>
      </c>
      <c r="Q15" s="39">
        <f>P15+'Fin Stmnts'!P39</f>
        <v>5000000</v>
      </c>
      <c r="R15" s="39">
        <f>Q15+'Fin Stmnts'!Q39</f>
        <v>0</v>
      </c>
      <c r="S15" s="39">
        <f>R15+'Fin Stmnts'!R39</f>
        <v>0</v>
      </c>
      <c r="T15" s="39">
        <f>S15+'Fin Stmnts'!S39</f>
        <v>0</v>
      </c>
      <c r="U15" s="39">
        <f>T15+'Fin Stmnts'!T39</f>
        <v>0</v>
      </c>
      <c r="V15" s="39">
        <f>U15+'Fin Stmnts'!U39</f>
        <v>0</v>
      </c>
      <c r="W15" s="39">
        <f>V15+'Fin Stmnts'!V39</f>
        <v>0</v>
      </c>
      <c r="X15" s="39">
        <f>W15+'Fin Stmnts'!W39</f>
        <v>0</v>
      </c>
      <c r="Y15" s="39">
        <f>X15+'Fin Stmnts'!X39</f>
        <v>0</v>
      </c>
      <c r="Z15" s="39">
        <f>Y15+'Fin Stmnts'!Y39</f>
        <v>0</v>
      </c>
      <c r="AA15" s="39">
        <f>Z15+'Fin Stmnts'!Z39</f>
        <v>0</v>
      </c>
      <c r="AB15" s="39">
        <f>AA15+'Fin Stmnts'!AA39</f>
        <v>0</v>
      </c>
      <c r="AC15" s="39">
        <f>AB15+'Fin Stmnts'!AB39</f>
        <v>0</v>
      </c>
      <c r="AD15" s="39">
        <f>AC15+'Fin Stmnts'!AC39</f>
        <v>0</v>
      </c>
      <c r="AE15" s="39">
        <f>AD15+'Fin Stmnts'!AD39</f>
        <v>0</v>
      </c>
      <c r="AF15" s="39">
        <f>AE15+'Fin Stmnts'!AE39</f>
        <v>0</v>
      </c>
      <c r="AG15" s="39">
        <f>AF15+'Fin Stmnts'!AF39</f>
        <v>0</v>
      </c>
      <c r="AH15" s="39">
        <f>AG15+'Fin Stmnts'!AG39</f>
        <v>0</v>
      </c>
      <c r="AI15" s="39">
        <f>AH15+'Fin Stmnts'!AH39</f>
        <v>0</v>
      </c>
      <c r="AJ15" s="39">
        <f>AI15+'Fin Stmnts'!AI39</f>
        <v>0</v>
      </c>
      <c r="AK15" s="39">
        <f>AJ15+'Fin Stmnts'!AJ39</f>
        <v>0</v>
      </c>
      <c r="AL15" s="39">
        <f>AK15+'Fin Stmnts'!AK39</f>
        <v>0</v>
      </c>
      <c r="AM15" s="39">
        <f>AL15+'Fin Stmnts'!AL39</f>
        <v>0</v>
      </c>
      <c r="AN15" s="39">
        <f>AM15+'Fin Stmnts'!AM39</f>
        <v>0</v>
      </c>
      <c r="AO15" s="39">
        <f>AN15+'Fin Stmnts'!AN39</f>
        <v>0</v>
      </c>
      <c r="AP15" s="39">
        <f>AO15+'Fin Stmnts'!AO39</f>
        <v>0</v>
      </c>
      <c r="AQ15" s="39">
        <f>AP15+'Fin Stmnts'!AP39</f>
        <v>0</v>
      </c>
      <c r="AR15" s="39">
        <f>AQ15+'Fin Stmnts'!AQ39</f>
        <v>0</v>
      </c>
      <c r="AS15" s="39">
        <f>AR15+'Fin Stmnts'!AR39</f>
        <v>0</v>
      </c>
      <c r="AT15" s="39">
        <f>AS15+'Fin Stmnts'!AS39</f>
        <v>0</v>
      </c>
      <c r="AU15" s="39">
        <f>AT15+'Fin Stmnts'!AT39</f>
        <v>0</v>
      </c>
      <c r="AV15" s="39">
        <f>AU15+'Fin Stmnts'!AU39</f>
        <v>0</v>
      </c>
      <c r="AW15" s="39">
        <f>AV15+'Fin Stmnts'!AV39</f>
        <v>0</v>
      </c>
      <c r="AX15" s="39">
        <f>AW15+'Fin Stmnts'!AW39</f>
        <v>0</v>
      </c>
      <c r="AY15" s="39">
        <f>AX15+'Fin Stmnts'!AX39</f>
        <v>0</v>
      </c>
      <c r="AZ15" s="39">
        <f>AY15+'Fin Stmnts'!AY39</f>
        <v>0</v>
      </c>
      <c r="BA15" s="39">
        <f>AZ15+'Fin Stmnts'!AZ39</f>
        <v>0</v>
      </c>
    </row>
    <row r="18" spans="1:53" x14ac:dyDescent="0.2">
      <c r="A18" s="46" t="s">
        <v>113</v>
      </c>
    </row>
    <row r="19" spans="1:53" x14ac:dyDescent="0.2">
      <c r="A19" s="42" t="s">
        <v>106</v>
      </c>
      <c r="C19" s="7">
        <v>0</v>
      </c>
      <c r="D19" s="48">
        <f>$B6*D6</f>
        <v>70000</v>
      </c>
      <c r="E19" s="48">
        <f t="shared" ref="E19:T26" si="12">$B6*E6</f>
        <v>70000</v>
      </c>
      <c r="F19" s="48">
        <f t="shared" si="12"/>
        <v>70000</v>
      </c>
      <c r="G19" s="48">
        <f t="shared" si="12"/>
        <v>70000</v>
      </c>
      <c r="H19" s="48">
        <f t="shared" si="12"/>
        <v>70000</v>
      </c>
      <c r="I19" s="48">
        <f t="shared" si="12"/>
        <v>70000</v>
      </c>
      <c r="J19" s="48">
        <f t="shared" si="12"/>
        <v>70000</v>
      </c>
      <c r="K19" s="48">
        <f t="shared" si="12"/>
        <v>70000</v>
      </c>
      <c r="L19" s="48">
        <f t="shared" si="12"/>
        <v>70000</v>
      </c>
      <c r="M19" s="48">
        <f t="shared" si="12"/>
        <v>70000</v>
      </c>
      <c r="N19" s="48">
        <f t="shared" si="12"/>
        <v>70000</v>
      </c>
      <c r="O19" s="48">
        <f t="shared" si="12"/>
        <v>70000</v>
      </c>
      <c r="P19" s="48">
        <f t="shared" si="12"/>
        <v>70000</v>
      </c>
      <c r="Q19" s="48">
        <f t="shared" si="12"/>
        <v>70000</v>
      </c>
      <c r="R19" s="48">
        <f t="shared" si="12"/>
        <v>70000</v>
      </c>
      <c r="S19" s="48">
        <f t="shared" si="12"/>
        <v>0</v>
      </c>
      <c r="T19" s="48">
        <f t="shared" si="12"/>
        <v>0</v>
      </c>
      <c r="U19" s="48">
        <f t="shared" ref="U19:AJ26" si="13">$B6*U6</f>
        <v>0</v>
      </c>
      <c r="V19" s="48">
        <f t="shared" si="13"/>
        <v>0</v>
      </c>
      <c r="W19" s="48">
        <f t="shared" si="13"/>
        <v>0</v>
      </c>
      <c r="X19" s="48">
        <f t="shared" si="13"/>
        <v>0</v>
      </c>
      <c r="Y19" s="48">
        <f t="shared" si="13"/>
        <v>0</v>
      </c>
      <c r="Z19" s="48">
        <f t="shared" si="13"/>
        <v>0</v>
      </c>
      <c r="AA19" s="48">
        <f t="shared" si="13"/>
        <v>0</v>
      </c>
      <c r="AB19" s="48">
        <f t="shared" si="13"/>
        <v>0</v>
      </c>
      <c r="AC19" s="48">
        <f t="shared" si="13"/>
        <v>0</v>
      </c>
      <c r="AD19" s="48">
        <f t="shared" si="13"/>
        <v>0</v>
      </c>
      <c r="AE19" s="48">
        <f t="shared" si="13"/>
        <v>0</v>
      </c>
      <c r="AF19" s="48">
        <f t="shared" si="13"/>
        <v>0</v>
      </c>
      <c r="AG19" s="48">
        <f t="shared" si="13"/>
        <v>0</v>
      </c>
      <c r="AH19" s="48">
        <f t="shared" si="13"/>
        <v>0</v>
      </c>
      <c r="AI19" s="48">
        <f t="shared" si="13"/>
        <v>0</v>
      </c>
      <c r="AJ19" s="48">
        <f t="shared" si="13"/>
        <v>0</v>
      </c>
      <c r="AK19" s="48">
        <f t="shared" ref="AK19:AZ26" si="14">$B6*AK6</f>
        <v>0</v>
      </c>
      <c r="AL19" s="48">
        <f t="shared" si="14"/>
        <v>0</v>
      </c>
      <c r="AM19" s="48">
        <f t="shared" si="14"/>
        <v>0</v>
      </c>
      <c r="AN19" s="48">
        <f t="shared" si="14"/>
        <v>0</v>
      </c>
      <c r="AO19" s="48">
        <f t="shared" si="14"/>
        <v>0</v>
      </c>
      <c r="AP19" s="48">
        <f t="shared" si="14"/>
        <v>0</v>
      </c>
      <c r="AQ19" s="48">
        <f t="shared" si="14"/>
        <v>0</v>
      </c>
      <c r="AR19" s="48">
        <f t="shared" si="14"/>
        <v>0</v>
      </c>
      <c r="AS19" s="48">
        <f t="shared" si="14"/>
        <v>0</v>
      </c>
      <c r="AT19" s="48">
        <f t="shared" si="14"/>
        <v>0</v>
      </c>
      <c r="AU19" s="48">
        <f t="shared" si="14"/>
        <v>0</v>
      </c>
      <c r="AV19" s="48">
        <f t="shared" si="14"/>
        <v>0</v>
      </c>
      <c r="AW19" s="48">
        <f t="shared" si="14"/>
        <v>0</v>
      </c>
      <c r="AX19" s="48">
        <f t="shared" si="14"/>
        <v>0</v>
      </c>
      <c r="AY19" s="48">
        <f t="shared" si="14"/>
        <v>0</v>
      </c>
      <c r="AZ19" s="48">
        <f t="shared" si="14"/>
        <v>0</v>
      </c>
      <c r="BA19" s="48">
        <f t="shared" ref="BA19:BA26" si="15">$B6*BA6</f>
        <v>0</v>
      </c>
    </row>
    <row r="20" spans="1:53" x14ac:dyDescent="0.2">
      <c r="A20" s="42" t="s">
        <v>107</v>
      </c>
      <c r="C20" s="7">
        <v>0</v>
      </c>
      <c r="D20" s="48">
        <f t="shared" ref="D20:D26" si="16">$B7*D7</f>
        <v>87500.000000000015</v>
      </c>
      <c r="E20" s="48">
        <f t="shared" si="12"/>
        <v>87500.000000000015</v>
      </c>
      <c r="F20" s="48">
        <f t="shared" si="12"/>
        <v>87500.000000000015</v>
      </c>
      <c r="G20" s="48">
        <f t="shared" si="12"/>
        <v>87500.000000000015</v>
      </c>
      <c r="H20" s="48">
        <f t="shared" si="12"/>
        <v>87500.000000000015</v>
      </c>
      <c r="I20" s="48">
        <f t="shared" si="12"/>
        <v>87500.000000000015</v>
      </c>
      <c r="J20" s="48">
        <f t="shared" si="12"/>
        <v>87500.000000000015</v>
      </c>
      <c r="K20" s="48">
        <f t="shared" si="12"/>
        <v>87500.000000000015</v>
      </c>
      <c r="L20" s="48">
        <f t="shared" si="12"/>
        <v>87500.000000000015</v>
      </c>
      <c r="M20" s="48">
        <f t="shared" si="12"/>
        <v>87500.000000000015</v>
      </c>
      <c r="N20" s="48">
        <f t="shared" si="12"/>
        <v>87500.000000000015</v>
      </c>
      <c r="O20" s="48">
        <f t="shared" si="12"/>
        <v>87500.000000000015</v>
      </c>
      <c r="P20" s="48">
        <f t="shared" si="12"/>
        <v>87500.000000000015</v>
      </c>
      <c r="Q20" s="48">
        <f t="shared" si="12"/>
        <v>87500.000000000015</v>
      </c>
      <c r="R20" s="48">
        <f t="shared" si="12"/>
        <v>87500.000000000015</v>
      </c>
      <c r="S20" s="48">
        <f t="shared" si="12"/>
        <v>0</v>
      </c>
      <c r="T20" s="48">
        <f t="shared" si="12"/>
        <v>0</v>
      </c>
      <c r="U20" s="48">
        <f t="shared" si="13"/>
        <v>0</v>
      </c>
      <c r="V20" s="48">
        <f t="shared" si="13"/>
        <v>0</v>
      </c>
      <c r="W20" s="48">
        <f t="shared" si="13"/>
        <v>0</v>
      </c>
      <c r="X20" s="48">
        <f t="shared" si="13"/>
        <v>0</v>
      </c>
      <c r="Y20" s="48">
        <f t="shared" si="13"/>
        <v>0</v>
      </c>
      <c r="Z20" s="48">
        <f t="shared" si="13"/>
        <v>0</v>
      </c>
      <c r="AA20" s="48">
        <f t="shared" si="13"/>
        <v>0</v>
      </c>
      <c r="AB20" s="48">
        <f t="shared" si="13"/>
        <v>0</v>
      </c>
      <c r="AC20" s="48">
        <f t="shared" si="13"/>
        <v>0</v>
      </c>
      <c r="AD20" s="48">
        <f t="shared" si="13"/>
        <v>0</v>
      </c>
      <c r="AE20" s="48">
        <f t="shared" si="13"/>
        <v>0</v>
      </c>
      <c r="AF20" s="48">
        <f t="shared" si="13"/>
        <v>0</v>
      </c>
      <c r="AG20" s="48">
        <f t="shared" si="13"/>
        <v>0</v>
      </c>
      <c r="AH20" s="48">
        <f t="shared" si="13"/>
        <v>0</v>
      </c>
      <c r="AI20" s="48">
        <f t="shared" si="13"/>
        <v>0</v>
      </c>
      <c r="AJ20" s="48">
        <f t="shared" si="13"/>
        <v>0</v>
      </c>
      <c r="AK20" s="48">
        <f t="shared" si="14"/>
        <v>0</v>
      </c>
      <c r="AL20" s="48">
        <f t="shared" si="14"/>
        <v>0</v>
      </c>
      <c r="AM20" s="48">
        <f t="shared" si="14"/>
        <v>0</v>
      </c>
      <c r="AN20" s="48">
        <f t="shared" si="14"/>
        <v>0</v>
      </c>
      <c r="AO20" s="48">
        <f t="shared" si="14"/>
        <v>0</v>
      </c>
      <c r="AP20" s="48">
        <f t="shared" si="14"/>
        <v>0</v>
      </c>
      <c r="AQ20" s="48">
        <f t="shared" si="14"/>
        <v>0</v>
      </c>
      <c r="AR20" s="48">
        <f t="shared" si="14"/>
        <v>0</v>
      </c>
      <c r="AS20" s="48">
        <f t="shared" si="14"/>
        <v>0</v>
      </c>
      <c r="AT20" s="48">
        <f t="shared" si="14"/>
        <v>0</v>
      </c>
      <c r="AU20" s="48">
        <f t="shared" si="14"/>
        <v>0</v>
      </c>
      <c r="AV20" s="48">
        <f t="shared" si="14"/>
        <v>0</v>
      </c>
      <c r="AW20" s="48">
        <f t="shared" si="14"/>
        <v>0</v>
      </c>
      <c r="AX20" s="48">
        <f t="shared" si="14"/>
        <v>0</v>
      </c>
      <c r="AY20" s="48">
        <f t="shared" si="14"/>
        <v>0</v>
      </c>
      <c r="AZ20" s="48">
        <f t="shared" si="14"/>
        <v>0</v>
      </c>
      <c r="BA20" s="48">
        <f t="shared" si="15"/>
        <v>0</v>
      </c>
    </row>
    <row r="21" spans="1:53" x14ac:dyDescent="0.2">
      <c r="A21" s="42" t="s">
        <v>106</v>
      </c>
      <c r="C21" s="7">
        <v>0</v>
      </c>
      <c r="D21" s="48">
        <f t="shared" si="16"/>
        <v>3125</v>
      </c>
      <c r="E21" s="48">
        <f t="shared" si="12"/>
        <v>3125</v>
      </c>
      <c r="F21" s="48">
        <f t="shared" si="12"/>
        <v>3125</v>
      </c>
      <c r="G21" s="48">
        <f t="shared" si="12"/>
        <v>3125</v>
      </c>
      <c r="H21" s="48">
        <f t="shared" si="12"/>
        <v>3125</v>
      </c>
      <c r="I21" s="48">
        <f t="shared" si="12"/>
        <v>3125</v>
      </c>
      <c r="J21" s="48">
        <f t="shared" si="12"/>
        <v>3125</v>
      </c>
      <c r="K21" s="48">
        <f t="shared" si="12"/>
        <v>3125</v>
      </c>
      <c r="L21" s="48">
        <f t="shared" si="12"/>
        <v>3125</v>
      </c>
      <c r="M21" s="48">
        <f t="shared" si="12"/>
        <v>3125</v>
      </c>
      <c r="N21" s="48">
        <f t="shared" si="12"/>
        <v>3125</v>
      </c>
      <c r="O21" s="48">
        <f t="shared" si="12"/>
        <v>3125</v>
      </c>
      <c r="P21" s="48">
        <f t="shared" si="12"/>
        <v>3125</v>
      </c>
      <c r="Q21" s="48">
        <f t="shared" si="12"/>
        <v>3125</v>
      </c>
      <c r="R21" s="48">
        <f t="shared" si="12"/>
        <v>3125</v>
      </c>
      <c r="S21" s="48">
        <f t="shared" si="12"/>
        <v>3125</v>
      </c>
      <c r="T21" s="48">
        <f t="shared" si="12"/>
        <v>3125</v>
      </c>
      <c r="U21" s="48">
        <f t="shared" si="13"/>
        <v>3125</v>
      </c>
      <c r="V21" s="48">
        <f t="shared" si="13"/>
        <v>3125</v>
      </c>
      <c r="W21" s="48">
        <f t="shared" si="13"/>
        <v>3125</v>
      </c>
      <c r="X21" s="48">
        <f t="shared" si="13"/>
        <v>3125</v>
      </c>
      <c r="Y21" s="48">
        <f t="shared" si="13"/>
        <v>3125</v>
      </c>
      <c r="Z21" s="48">
        <f t="shared" si="13"/>
        <v>3125</v>
      </c>
      <c r="AA21" s="48">
        <f t="shared" si="13"/>
        <v>3125</v>
      </c>
      <c r="AB21" s="48">
        <f t="shared" si="13"/>
        <v>3125</v>
      </c>
      <c r="AC21" s="48">
        <f t="shared" si="13"/>
        <v>3125</v>
      </c>
      <c r="AD21" s="48">
        <f t="shared" si="13"/>
        <v>3125</v>
      </c>
      <c r="AE21" s="48">
        <f t="shared" si="13"/>
        <v>3125</v>
      </c>
      <c r="AF21" s="48">
        <f t="shared" si="13"/>
        <v>3125</v>
      </c>
      <c r="AG21" s="48">
        <f t="shared" si="13"/>
        <v>3125</v>
      </c>
      <c r="AH21" s="48">
        <f t="shared" si="13"/>
        <v>3125</v>
      </c>
      <c r="AI21" s="48">
        <f t="shared" si="13"/>
        <v>3125</v>
      </c>
      <c r="AJ21" s="48">
        <f t="shared" si="13"/>
        <v>3125</v>
      </c>
      <c r="AK21" s="48">
        <f t="shared" si="14"/>
        <v>3125</v>
      </c>
      <c r="AL21" s="48">
        <f t="shared" si="14"/>
        <v>3125</v>
      </c>
      <c r="AM21" s="48">
        <f t="shared" si="14"/>
        <v>3125</v>
      </c>
      <c r="AN21" s="48">
        <f t="shared" si="14"/>
        <v>3125</v>
      </c>
      <c r="AO21" s="48">
        <f t="shared" si="14"/>
        <v>3125</v>
      </c>
      <c r="AP21" s="48">
        <f t="shared" si="14"/>
        <v>3125</v>
      </c>
      <c r="AQ21" s="48">
        <f t="shared" si="14"/>
        <v>3125</v>
      </c>
      <c r="AR21" s="48">
        <f t="shared" si="14"/>
        <v>3125</v>
      </c>
      <c r="AS21" s="48">
        <f t="shared" si="14"/>
        <v>3125</v>
      </c>
      <c r="AT21" s="48">
        <f t="shared" si="14"/>
        <v>3125</v>
      </c>
      <c r="AU21" s="48">
        <f t="shared" si="14"/>
        <v>3125</v>
      </c>
      <c r="AV21" s="48">
        <f t="shared" si="14"/>
        <v>3125</v>
      </c>
      <c r="AW21" s="48">
        <f t="shared" si="14"/>
        <v>3125</v>
      </c>
      <c r="AX21" s="48">
        <f t="shared" si="14"/>
        <v>3125</v>
      </c>
      <c r="AY21" s="48">
        <f t="shared" si="14"/>
        <v>3125</v>
      </c>
      <c r="AZ21" s="48">
        <f t="shared" si="14"/>
        <v>3125</v>
      </c>
      <c r="BA21" s="48">
        <f t="shared" si="15"/>
        <v>3125</v>
      </c>
    </row>
    <row r="22" spans="1:53" x14ac:dyDescent="0.2">
      <c r="A22" s="42" t="s">
        <v>108</v>
      </c>
      <c r="C22" s="7">
        <v>0</v>
      </c>
      <c r="D22" s="48">
        <f t="shared" si="16"/>
        <v>50000</v>
      </c>
      <c r="E22" s="48">
        <f t="shared" si="12"/>
        <v>50000</v>
      </c>
      <c r="F22" s="48">
        <f t="shared" si="12"/>
        <v>50000</v>
      </c>
      <c r="G22" s="48">
        <f t="shared" si="12"/>
        <v>50000</v>
      </c>
      <c r="H22" s="48">
        <f t="shared" si="12"/>
        <v>50000</v>
      </c>
      <c r="I22" s="48">
        <f t="shared" si="12"/>
        <v>50000</v>
      </c>
      <c r="J22" s="48">
        <f t="shared" si="12"/>
        <v>50000</v>
      </c>
      <c r="K22" s="48">
        <f t="shared" si="12"/>
        <v>50000</v>
      </c>
      <c r="L22" s="48">
        <f t="shared" si="12"/>
        <v>50000</v>
      </c>
      <c r="M22" s="48">
        <f t="shared" si="12"/>
        <v>50000</v>
      </c>
      <c r="N22" s="48">
        <f t="shared" si="12"/>
        <v>50000</v>
      </c>
      <c r="O22" s="48">
        <f t="shared" si="12"/>
        <v>50000</v>
      </c>
      <c r="P22" s="48">
        <f t="shared" si="12"/>
        <v>50000</v>
      </c>
      <c r="Q22" s="48">
        <f t="shared" si="12"/>
        <v>50000</v>
      </c>
      <c r="R22" s="48">
        <f t="shared" si="12"/>
        <v>50000</v>
      </c>
      <c r="S22" s="48">
        <f t="shared" si="12"/>
        <v>50000</v>
      </c>
      <c r="T22" s="48">
        <f t="shared" si="12"/>
        <v>50000</v>
      </c>
      <c r="U22" s="48">
        <f t="shared" si="13"/>
        <v>50000</v>
      </c>
      <c r="V22" s="48">
        <f t="shared" si="13"/>
        <v>50000</v>
      </c>
      <c r="W22" s="48">
        <f t="shared" si="13"/>
        <v>50000</v>
      </c>
      <c r="X22" s="48">
        <f t="shared" si="13"/>
        <v>50000</v>
      </c>
      <c r="Y22" s="48">
        <f t="shared" si="13"/>
        <v>50000</v>
      </c>
      <c r="Z22" s="48">
        <f t="shared" si="13"/>
        <v>50000</v>
      </c>
      <c r="AA22" s="48">
        <f t="shared" si="13"/>
        <v>50000</v>
      </c>
      <c r="AB22" s="48">
        <f t="shared" si="13"/>
        <v>50000</v>
      </c>
      <c r="AC22" s="48">
        <f t="shared" si="13"/>
        <v>50000</v>
      </c>
      <c r="AD22" s="48">
        <f t="shared" si="13"/>
        <v>50000</v>
      </c>
      <c r="AE22" s="48">
        <f t="shared" si="13"/>
        <v>50000</v>
      </c>
      <c r="AF22" s="48">
        <f t="shared" si="13"/>
        <v>50000</v>
      </c>
      <c r="AG22" s="48">
        <f t="shared" si="13"/>
        <v>50000</v>
      </c>
      <c r="AH22" s="48">
        <f t="shared" si="13"/>
        <v>50000</v>
      </c>
      <c r="AI22" s="48">
        <f t="shared" si="13"/>
        <v>50000</v>
      </c>
      <c r="AJ22" s="48">
        <f t="shared" si="13"/>
        <v>50000</v>
      </c>
      <c r="AK22" s="48">
        <f t="shared" si="14"/>
        <v>50000</v>
      </c>
      <c r="AL22" s="48">
        <f t="shared" si="14"/>
        <v>50000</v>
      </c>
      <c r="AM22" s="48">
        <f t="shared" si="14"/>
        <v>50000</v>
      </c>
      <c r="AN22" s="48">
        <f t="shared" si="14"/>
        <v>50000</v>
      </c>
      <c r="AO22" s="48">
        <f t="shared" si="14"/>
        <v>50000</v>
      </c>
      <c r="AP22" s="48">
        <f t="shared" si="14"/>
        <v>50000</v>
      </c>
      <c r="AQ22" s="48">
        <f t="shared" si="14"/>
        <v>50000</v>
      </c>
      <c r="AR22" s="48">
        <f t="shared" si="14"/>
        <v>50000</v>
      </c>
      <c r="AS22" s="48">
        <f t="shared" si="14"/>
        <v>50000</v>
      </c>
      <c r="AT22" s="48">
        <f t="shared" si="14"/>
        <v>50000</v>
      </c>
      <c r="AU22" s="48">
        <f t="shared" si="14"/>
        <v>50000</v>
      </c>
      <c r="AV22" s="48">
        <f t="shared" si="14"/>
        <v>50000</v>
      </c>
      <c r="AW22" s="48">
        <f t="shared" si="14"/>
        <v>50000</v>
      </c>
      <c r="AX22" s="48">
        <f t="shared" si="14"/>
        <v>50000</v>
      </c>
      <c r="AY22" s="48">
        <f t="shared" si="14"/>
        <v>50000</v>
      </c>
      <c r="AZ22" s="48">
        <f t="shared" si="14"/>
        <v>50000</v>
      </c>
      <c r="BA22" s="48">
        <f t="shared" si="15"/>
        <v>50000</v>
      </c>
    </row>
    <row r="23" spans="1:53" x14ac:dyDescent="0.2">
      <c r="A23" s="43" t="s">
        <v>109</v>
      </c>
      <c r="C23" s="7">
        <v>0</v>
      </c>
      <c r="D23" s="48">
        <f t="shared" si="16"/>
        <v>50000</v>
      </c>
      <c r="E23" s="48">
        <f t="shared" si="12"/>
        <v>50000</v>
      </c>
      <c r="F23" s="48">
        <f t="shared" si="12"/>
        <v>50000</v>
      </c>
      <c r="G23" s="48">
        <f t="shared" si="12"/>
        <v>50000</v>
      </c>
      <c r="H23" s="48">
        <f t="shared" si="12"/>
        <v>50000</v>
      </c>
      <c r="I23" s="48">
        <f t="shared" si="12"/>
        <v>50000</v>
      </c>
      <c r="J23" s="48">
        <f t="shared" si="12"/>
        <v>50000</v>
      </c>
      <c r="K23" s="48">
        <f t="shared" si="12"/>
        <v>50000</v>
      </c>
      <c r="L23" s="48">
        <f t="shared" si="12"/>
        <v>50000</v>
      </c>
      <c r="M23" s="48">
        <f t="shared" si="12"/>
        <v>50000</v>
      </c>
      <c r="N23" s="48">
        <f t="shared" si="12"/>
        <v>50000</v>
      </c>
      <c r="O23" s="48">
        <f t="shared" si="12"/>
        <v>50000</v>
      </c>
      <c r="P23" s="48">
        <f t="shared" si="12"/>
        <v>50000</v>
      </c>
      <c r="Q23" s="48">
        <f t="shared" si="12"/>
        <v>50000</v>
      </c>
      <c r="R23" s="48">
        <f t="shared" si="12"/>
        <v>50000</v>
      </c>
      <c r="S23" s="48">
        <f t="shared" si="12"/>
        <v>50000</v>
      </c>
      <c r="T23" s="48">
        <f t="shared" si="12"/>
        <v>50000</v>
      </c>
      <c r="U23" s="48">
        <f t="shared" si="13"/>
        <v>50000</v>
      </c>
      <c r="V23" s="48">
        <f t="shared" si="13"/>
        <v>50000</v>
      </c>
      <c r="W23" s="48">
        <f t="shared" si="13"/>
        <v>50000</v>
      </c>
      <c r="X23" s="48">
        <f t="shared" si="13"/>
        <v>50000</v>
      </c>
      <c r="Y23" s="48">
        <f t="shared" si="13"/>
        <v>50000</v>
      </c>
      <c r="Z23" s="48">
        <f t="shared" si="13"/>
        <v>50000</v>
      </c>
      <c r="AA23" s="48">
        <f t="shared" si="13"/>
        <v>50000</v>
      </c>
      <c r="AB23" s="48">
        <f t="shared" si="13"/>
        <v>50000</v>
      </c>
      <c r="AC23" s="48">
        <f t="shared" si="13"/>
        <v>50000</v>
      </c>
      <c r="AD23" s="48">
        <f t="shared" si="13"/>
        <v>50000</v>
      </c>
      <c r="AE23" s="48">
        <f t="shared" si="13"/>
        <v>50000</v>
      </c>
      <c r="AF23" s="48">
        <f t="shared" si="13"/>
        <v>50000</v>
      </c>
      <c r="AG23" s="48">
        <f t="shared" si="13"/>
        <v>50000</v>
      </c>
      <c r="AH23" s="48">
        <f t="shared" si="13"/>
        <v>50000</v>
      </c>
      <c r="AI23" s="48">
        <f t="shared" si="13"/>
        <v>50000</v>
      </c>
      <c r="AJ23" s="48">
        <f t="shared" si="13"/>
        <v>50000</v>
      </c>
      <c r="AK23" s="48">
        <f t="shared" si="14"/>
        <v>50000</v>
      </c>
      <c r="AL23" s="48">
        <f t="shared" si="14"/>
        <v>50000</v>
      </c>
      <c r="AM23" s="48">
        <f t="shared" si="14"/>
        <v>50000</v>
      </c>
      <c r="AN23" s="48">
        <f t="shared" si="14"/>
        <v>50000</v>
      </c>
      <c r="AO23" s="48">
        <f t="shared" si="14"/>
        <v>50000</v>
      </c>
      <c r="AP23" s="48">
        <f t="shared" si="14"/>
        <v>50000</v>
      </c>
      <c r="AQ23" s="48">
        <f t="shared" si="14"/>
        <v>50000</v>
      </c>
      <c r="AR23" s="48">
        <f t="shared" si="14"/>
        <v>50000</v>
      </c>
      <c r="AS23" s="48">
        <f t="shared" si="14"/>
        <v>50000</v>
      </c>
      <c r="AT23" s="48">
        <f t="shared" si="14"/>
        <v>50000</v>
      </c>
      <c r="AU23" s="48">
        <f t="shared" si="14"/>
        <v>50000</v>
      </c>
      <c r="AV23" s="48">
        <f t="shared" si="14"/>
        <v>50000</v>
      </c>
      <c r="AW23" s="48">
        <f t="shared" si="14"/>
        <v>50000</v>
      </c>
      <c r="AX23" s="48">
        <f t="shared" si="14"/>
        <v>50000</v>
      </c>
      <c r="AY23" s="48">
        <f t="shared" si="14"/>
        <v>50000</v>
      </c>
      <c r="AZ23" s="48">
        <f t="shared" si="14"/>
        <v>50000</v>
      </c>
      <c r="BA23" s="48">
        <f t="shared" si="15"/>
        <v>50000</v>
      </c>
    </row>
    <row r="24" spans="1:53" x14ac:dyDescent="0.2">
      <c r="A24" s="43" t="s">
        <v>110</v>
      </c>
      <c r="C24" s="7">
        <v>0</v>
      </c>
      <c r="D24" s="48">
        <f t="shared" si="16"/>
        <v>37500</v>
      </c>
      <c r="E24" s="48">
        <f t="shared" si="12"/>
        <v>37500</v>
      </c>
      <c r="F24" s="48">
        <f t="shared" si="12"/>
        <v>37500</v>
      </c>
      <c r="G24" s="48">
        <f t="shared" si="12"/>
        <v>37500</v>
      </c>
      <c r="H24" s="48">
        <f t="shared" si="12"/>
        <v>37500</v>
      </c>
      <c r="I24" s="48">
        <f t="shared" si="12"/>
        <v>37500</v>
      </c>
      <c r="J24" s="48">
        <f t="shared" si="12"/>
        <v>37500</v>
      </c>
      <c r="K24" s="48">
        <f t="shared" si="12"/>
        <v>37500</v>
      </c>
      <c r="L24" s="48">
        <f t="shared" si="12"/>
        <v>37500</v>
      </c>
      <c r="M24" s="48">
        <f t="shared" si="12"/>
        <v>37500</v>
      </c>
      <c r="N24" s="48">
        <f t="shared" si="12"/>
        <v>37500</v>
      </c>
      <c r="O24" s="48">
        <f t="shared" si="12"/>
        <v>37500</v>
      </c>
      <c r="P24" s="48">
        <f t="shared" si="12"/>
        <v>37500</v>
      </c>
      <c r="Q24" s="48">
        <f t="shared" si="12"/>
        <v>37500</v>
      </c>
      <c r="R24" s="48">
        <f t="shared" si="12"/>
        <v>37500</v>
      </c>
      <c r="S24" s="48">
        <f t="shared" si="12"/>
        <v>37500</v>
      </c>
      <c r="T24" s="48">
        <f t="shared" si="12"/>
        <v>37500</v>
      </c>
      <c r="U24" s="48">
        <f t="shared" si="13"/>
        <v>37500</v>
      </c>
      <c r="V24" s="48">
        <f t="shared" si="13"/>
        <v>37500</v>
      </c>
      <c r="W24" s="48">
        <f t="shared" si="13"/>
        <v>37500</v>
      </c>
      <c r="X24" s="48">
        <f t="shared" si="13"/>
        <v>37500</v>
      </c>
      <c r="Y24" s="48">
        <f t="shared" si="13"/>
        <v>37500</v>
      </c>
      <c r="Z24" s="48">
        <f t="shared" si="13"/>
        <v>37500</v>
      </c>
      <c r="AA24" s="48">
        <f t="shared" si="13"/>
        <v>37500</v>
      </c>
      <c r="AB24" s="48">
        <f t="shared" si="13"/>
        <v>37500</v>
      </c>
      <c r="AC24" s="48">
        <f t="shared" si="13"/>
        <v>37500</v>
      </c>
      <c r="AD24" s="48">
        <f t="shared" si="13"/>
        <v>37500</v>
      </c>
      <c r="AE24" s="48">
        <f t="shared" si="13"/>
        <v>37500</v>
      </c>
      <c r="AF24" s="48">
        <f t="shared" si="13"/>
        <v>37500</v>
      </c>
      <c r="AG24" s="48">
        <f t="shared" si="13"/>
        <v>37500</v>
      </c>
      <c r="AH24" s="48">
        <f t="shared" si="13"/>
        <v>37500</v>
      </c>
      <c r="AI24" s="48">
        <f t="shared" si="13"/>
        <v>37500</v>
      </c>
      <c r="AJ24" s="48">
        <f t="shared" si="13"/>
        <v>37500</v>
      </c>
      <c r="AK24" s="48">
        <f t="shared" si="14"/>
        <v>37500</v>
      </c>
      <c r="AL24" s="48">
        <f t="shared" si="14"/>
        <v>37500</v>
      </c>
      <c r="AM24" s="48">
        <f t="shared" si="14"/>
        <v>37500</v>
      </c>
      <c r="AN24" s="48">
        <f t="shared" si="14"/>
        <v>37500</v>
      </c>
      <c r="AO24" s="48">
        <f t="shared" si="14"/>
        <v>37500</v>
      </c>
      <c r="AP24" s="48">
        <f t="shared" si="14"/>
        <v>37500</v>
      </c>
      <c r="AQ24" s="48">
        <f t="shared" si="14"/>
        <v>37500</v>
      </c>
      <c r="AR24" s="48">
        <f t="shared" si="14"/>
        <v>37500</v>
      </c>
      <c r="AS24" s="48">
        <f t="shared" si="14"/>
        <v>37500</v>
      </c>
      <c r="AT24" s="48">
        <f t="shared" si="14"/>
        <v>37500</v>
      </c>
      <c r="AU24" s="48">
        <f t="shared" si="14"/>
        <v>37500</v>
      </c>
      <c r="AV24" s="48">
        <f t="shared" si="14"/>
        <v>37500</v>
      </c>
      <c r="AW24" s="48">
        <f t="shared" si="14"/>
        <v>37500</v>
      </c>
      <c r="AX24" s="48">
        <f t="shared" si="14"/>
        <v>37500</v>
      </c>
      <c r="AY24" s="48">
        <f t="shared" si="14"/>
        <v>37500</v>
      </c>
      <c r="AZ24" s="48">
        <f t="shared" si="14"/>
        <v>37500</v>
      </c>
      <c r="BA24" s="48">
        <f t="shared" si="15"/>
        <v>37500</v>
      </c>
    </row>
    <row r="25" spans="1:53" x14ac:dyDescent="0.2">
      <c r="A25" s="43" t="s">
        <v>111</v>
      </c>
      <c r="C25" s="7">
        <v>0</v>
      </c>
      <c r="D25" s="48">
        <f t="shared" si="16"/>
        <v>12500</v>
      </c>
      <c r="E25" s="48">
        <f t="shared" si="12"/>
        <v>12500</v>
      </c>
      <c r="F25" s="48">
        <f t="shared" si="12"/>
        <v>12500</v>
      </c>
      <c r="G25" s="48">
        <f t="shared" si="12"/>
        <v>12500</v>
      </c>
      <c r="H25" s="48">
        <f t="shared" si="12"/>
        <v>12500</v>
      </c>
      <c r="I25" s="48">
        <f t="shared" si="12"/>
        <v>12500</v>
      </c>
      <c r="J25" s="48">
        <f t="shared" si="12"/>
        <v>12500</v>
      </c>
      <c r="K25" s="48">
        <f t="shared" si="12"/>
        <v>12500</v>
      </c>
      <c r="L25" s="48">
        <f t="shared" si="12"/>
        <v>12500</v>
      </c>
      <c r="M25" s="48">
        <f t="shared" si="12"/>
        <v>12500</v>
      </c>
      <c r="N25" s="48">
        <f t="shared" si="12"/>
        <v>12500</v>
      </c>
      <c r="O25" s="48">
        <f t="shared" si="12"/>
        <v>12500</v>
      </c>
      <c r="P25" s="48">
        <f t="shared" si="12"/>
        <v>12500</v>
      </c>
      <c r="Q25" s="48">
        <f t="shared" si="12"/>
        <v>12500</v>
      </c>
      <c r="R25" s="48">
        <f t="shared" si="12"/>
        <v>12500</v>
      </c>
      <c r="S25" s="48">
        <f t="shared" si="12"/>
        <v>12500</v>
      </c>
      <c r="T25" s="48">
        <f t="shared" si="12"/>
        <v>12500</v>
      </c>
      <c r="U25" s="48">
        <f t="shared" si="13"/>
        <v>12500</v>
      </c>
      <c r="V25" s="48">
        <f t="shared" si="13"/>
        <v>12500</v>
      </c>
      <c r="W25" s="48">
        <f t="shared" si="13"/>
        <v>12500</v>
      </c>
      <c r="X25" s="48">
        <f t="shared" si="13"/>
        <v>12500</v>
      </c>
      <c r="Y25" s="48">
        <f t="shared" si="13"/>
        <v>12500</v>
      </c>
      <c r="Z25" s="48">
        <f t="shared" si="13"/>
        <v>12500</v>
      </c>
      <c r="AA25" s="48">
        <f t="shared" si="13"/>
        <v>12500</v>
      </c>
      <c r="AB25" s="48">
        <f t="shared" si="13"/>
        <v>12500</v>
      </c>
      <c r="AC25" s="48">
        <f t="shared" si="13"/>
        <v>12500</v>
      </c>
      <c r="AD25" s="48">
        <f t="shared" si="13"/>
        <v>12500</v>
      </c>
      <c r="AE25" s="48">
        <f t="shared" si="13"/>
        <v>12500</v>
      </c>
      <c r="AF25" s="48">
        <f t="shared" si="13"/>
        <v>12500</v>
      </c>
      <c r="AG25" s="48">
        <f t="shared" si="13"/>
        <v>12500</v>
      </c>
      <c r="AH25" s="48">
        <f t="shared" si="13"/>
        <v>12500</v>
      </c>
      <c r="AI25" s="48">
        <f t="shared" si="13"/>
        <v>12500</v>
      </c>
      <c r="AJ25" s="48">
        <f t="shared" si="13"/>
        <v>12500</v>
      </c>
      <c r="AK25" s="48">
        <f t="shared" si="14"/>
        <v>12500</v>
      </c>
      <c r="AL25" s="48">
        <f t="shared" si="14"/>
        <v>12500</v>
      </c>
      <c r="AM25" s="48">
        <f t="shared" si="14"/>
        <v>12500</v>
      </c>
      <c r="AN25" s="48">
        <f t="shared" si="14"/>
        <v>12500</v>
      </c>
      <c r="AO25" s="48">
        <f t="shared" si="14"/>
        <v>12500</v>
      </c>
      <c r="AP25" s="48">
        <f t="shared" si="14"/>
        <v>12500</v>
      </c>
      <c r="AQ25" s="48">
        <f t="shared" si="14"/>
        <v>12500</v>
      </c>
      <c r="AR25" s="48">
        <f t="shared" si="14"/>
        <v>12500</v>
      </c>
      <c r="AS25" s="48">
        <f t="shared" si="14"/>
        <v>12500</v>
      </c>
      <c r="AT25" s="48">
        <f t="shared" si="14"/>
        <v>12500</v>
      </c>
      <c r="AU25" s="48">
        <f t="shared" si="14"/>
        <v>12500</v>
      </c>
      <c r="AV25" s="48">
        <f t="shared" si="14"/>
        <v>12500</v>
      </c>
      <c r="AW25" s="48">
        <f t="shared" si="14"/>
        <v>12500</v>
      </c>
      <c r="AX25" s="48">
        <f t="shared" si="14"/>
        <v>12500</v>
      </c>
      <c r="AY25" s="48">
        <f t="shared" si="14"/>
        <v>12500</v>
      </c>
      <c r="AZ25" s="48">
        <f t="shared" si="14"/>
        <v>12500</v>
      </c>
      <c r="BA25" s="48">
        <f t="shared" si="15"/>
        <v>12500</v>
      </c>
    </row>
    <row r="26" spans="1:53" x14ac:dyDescent="0.2">
      <c r="A26" s="43" t="s">
        <v>107</v>
      </c>
      <c r="C26" s="7">
        <v>0</v>
      </c>
      <c r="D26" s="48">
        <f t="shared" si="16"/>
        <v>153125</v>
      </c>
      <c r="E26" s="48">
        <f t="shared" si="12"/>
        <v>153125</v>
      </c>
      <c r="F26" s="48">
        <f t="shared" si="12"/>
        <v>153125</v>
      </c>
      <c r="G26" s="48">
        <f t="shared" si="12"/>
        <v>153125</v>
      </c>
      <c r="H26" s="48">
        <f t="shared" si="12"/>
        <v>153125</v>
      </c>
      <c r="I26" s="48">
        <f t="shared" si="12"/>
        <v>153125</v>
      </c>
      <c r="J26" s="48">
        <f t="shared" si="12"/>
        <v>153125</v>
      </c>
      <c r="K26" s="48">
        <f t="shared" si="12"/>
        <v>153125</v>
      </c>
      <c r="L26" s="48">
        <f t="shared" si="12"/>
        <v>153125</v>
      </c>
      <c r="M26" s="48">
        <f t="shared" si="12"/>
        <v>153125</v>
      </c>
      <c r="N26" s="48">
        <f t="shared" si="12"/>
        <v>153125</v>
      </c>
      <c r="O26" s="48">
        <f t="shared" si="12"/>
        <v>153125</v>
      </c>
      <c r="P26" s="48">
        <f t="shared" si="12"/>
        <v>153125</v>
      </c>
      <c r="Q26" s="48">
        <f t="shared" si="12"/>
        <v>153125</v>
      </c>
      <c r="R26" s="48">
        <f t="shared" si="12"/>
        <v>153125</v>
      </c>
      <c r="S26" s="48">
        <f t="shared" si="12"/>
        <v>153125</v>
      </c>
      <c r="T26" s="48">
        <f t="shared" si="12"/>
        <v>153125</v>
      </c>
      <c r="U26" s="48">
        <f t="shared" si="13"/>
        <v>153125</v>
      </c>
      <c r="V26" s="48">
        <f t="shared" si="13"/>
        <v>153125</v>
      </c>
      <c r="W26" s="48">
        <f t="shared" si="13"/>
        <v>153125</v>
      </c>
      <c r="X26" s="48">
        <f t="shared" si="13"/>
        <v>153125</v>
      </c>
      <c r="Y26" s="48">
        <f t="shared" si="13"/>
        <v>153125</v>
      </c>
      <c r="Z26" s="48">
        <f t="shared" si="13"/>
        <v>153125</v>
      </c>
      <c r="AA26" s="48">
        <f t="shared" si="13"/>
        <v>153125</v>
      </c>
      <c r="AB26" s="48">
        <f t="shared" si="13"/>
        <v>153125</v>
      </c>
      <c r="AC26" s="48">
        <f t="shared" si="13"/>
        <v>153125</v>
      </c>
      <c r="AD26" s="48">
        <f t="shared" si="13"/>
        <v>153125</v>
      </c>
      <c r="AE26" s="48">
        <f t="shared" si="13"/>
        <v>153125</v>
      </c>
      <c r="AF26" s="48">
        <f t="shared" si="13"/>
        <v>153125</v>
      </c>
      <c r="AG26" s="48">
        <f t="shared" si="13"/>
        <v>153125</v>
      </c>
      <c r="AH26" s="48">
        <f t="shared" si="13"/>
        <v>153125</v>
      </c>
      <c r="AI26" s="48">
        <f t="shared" si="13"/>
        <v>153125</v>
      </c>
      <c r="AJ26" s="48">
        <f t="shared" si="13"/>
        <v>153125</v>
      </c>
      <c r="AK26" s="48">
        <f t="shared" si="14"/>
        <v>153125</v>
      </c>
      <c r="AL26" s="48">
        <f t="shared" si="14"/>
        <v>153125</v>
      </c>
      <c r="AM26" s="48">
        <f t="shared" si="14"/>
        <v>153125</v>
      </c>
      <c r="AN26" s="48">
        <f t="shared" si="14"/>
        <v>153125</v>
      </c>
      <c r="AO26" s="48">
        <f t="shared" si="14"/>
        <v>153125</v>
      </c>
      <c r="AP26" s="48">
        <f t="shared" si="14"/>
        <v>153125</v>
      </c>
      <c r="AQ26" s="48">
        <f t="shared" si="14"/>
        <v>153125</v>
      </c>
      <c r="AR26" s="48">
        <f t="shared" si="14"/>
        <v>153125</v>
      </c>
      <c r="AS26" s="48">
        <f t="shared" si="14"/>
        <v>153125</v>
      </c>
      <c r="AT26" s="48">
        <f t="shared" si="14"/>
        <v>153125</v>
      </c>
      <c r="AU26" s="48">
        <f t="shared" si="14"/>
        <v>153125</v>
      </c>
      <c r="AV26" s="48">
        <f t="shared" si="14"/>
        <v>153125</v>
      </c>
      <c r="AW26" s="48">
        <f t="shared" si="14"/>
        <v>153125</v>
      </c>
      <c r="AX26" s="48">
        <f t="shared" si="14"/>
        <v>153125</v>
      </c>
      <c r="AY26" s="48">
        <f t="shared" si="14"/>
        <v>153125</v>
      </c>
      <c r="AZ26" s="48">
        <f t="shared" si="14"/>
        <v>153125</v>
      </c>
      <c r="BA26" s="48">
        <f t="shared" si="15"/>
        <v>153125</v>
      </c>
    </row>
    <row r="27" spans="1:53" x14ac:dyDescent="0.2">
      <c r="A27" s="43" t="s">
        <v>114</v>
      </c>
      <c r="C27" s="7"/>
      <c r="D27" s="48">
        <f>$B$14*D14</f>
        <v>0</v>
      </c>
      <c r="E27" s="48">
        <f>$B$14*E14</f>
        <v>15312.5</v>
      </c>
      <c r="F27" s="48">
        <f t="shared" ref="F27:U27" si="17">$B$14*F14</f>
        <v>31390.625</v>
      </c>
      <c r="G27" s="48">
        <f t="shared" si="17"/>
        <v>48272.65625</v>
      </c>
      <c r="H27" s="48">
        <f t="shared" si="17"/>
        <v>65998.7890625</v>
      </c>
      <c r="I27" s="48">
        <f t="shared" si="17"/>
        <v>84611.228515625</v>
      </c>
      <c r="J27" s="48">
        <f t="shared" si="17"/>
        <v>104154.28994140626</v>
      </c>
      <c r="K27" s="48">
        <f t="shared" si="17"/>
        <v>124674.50443847658</v>
      </c>
      <c r="L27" s="48">
        <f t="shared" si="17"/>
        <v>146220.72966040039</v>
      </c>
      <c r="M27" s="48">
        <f t="shared" si="17"/>
        <v>168844.26614342045</v>
      </c>
      <c r="N27" s="48">
        <f t="shared" si="17"/>
        <v>192598.97945059149</v>
      </c>
      <c r="O27" s="48">
        <f t="shared" si="17"/>
        <v>217541.42842312108</v>
      </c>
      <c r="P27" s="48">
        <f t="shared" si="17"/>
        <v>243730.9998442771</v>
      </c>
      <c r="Q27" s="48">
        <f t="shared" si="17"/>
        <v>271230.04983649094</v>
      </c>
      <c r="R27" s="48">
        <f t="shared" si="17"/>
        <v>300104.05232831551</v>
      </c>
      <c r="S27" s="48">
        <f t="shared" si="17"/>
        <v>330421.75494473131</v>
      </c>
      <c r="T27" s="48">
        <f t="shared" si="17"/>
        <v>80421.754944731307</v>
      </c>
      <c r="U27" s="48">
        <f t="shared" si="17"/>
        <v>4.9447312951087959E-3</v>
      </c>
      <c r="V27" s="48">
        <f t="shared" ref="V27:AK27" si="18">$B$14*V14</f>
        <v>4.9447312951087959E-3</v>
      </c>
      <c r="W27" s="48">
        <f t="shared" si="18"/>
        <v>4.9447312951087959E-3</v>
      </c>
      <c r="X27" s="48">
        <f t="shared" si="18"/>
        <v>4.9447312951087959E-3</v>
      </c>
      <c r="Y27" s="48">
        <f t="shared" si="18"/>
        <v>4.9447312951087959E-3</v>
      </c>
      <c r="Z27" s="48">
        <f t="shared" si="18"/>
        <v>4.9447312951087959E-3</v>
      </c>
      <c r="AA27" s="48">
        <f t="shared" si="18"/>
        <v>4.9447312951087959E-3</v>
      </c>
      <c r="AB27" s="48">
        <f t="shared" si="18"/>
        <v>4.9447312951087959E-3</v>
      </c>
      <c r="AC27" s="48">
        <f t="shared" si="18"/>
        <v>4.9447312951087959E-3</v>
      </c>
      <c r="AD27" s="48">
        <f t="shared" si="18"/>
        <v>4.9447312951087959E-3</v>
      </c>
      <c r="AE27" s="48">
        <f t="shared" si="18"/>
        <v>4.9447312951087959E-3</v>
      </c>
      <c r="AF27" s="48">
        <f t="shared" si="18"/>
        <v>4.9447312951087959E-3</v>
      </c>
      <c r="AG27" s="48">
        <f t="shared" si="18"/>
        <v>4.9447312951087959E-3</v>
      </c>
      <c r="AH27" s="48">
        <f t="shared" si="18"/>
        <v>4.9447312951087959E-3</v>
      </c>
      <c r="AI27" s="48">
        <f t="shared" si="18"/>
        <v>4.9447312951087959E-3</v>
      </c>
      <c r="AJ27" s="48">
        <f t="shared" si="18"/>
        <v>4.9447312951087959E-3</v>
      </c>
      <c r="AK27" s="48">
        <f t="shared" si="18"/>
        <v>4.9447312951087959E-3</v>
      </c>
      <c r="AL27" s="48">
        <f t="shared" ref="AL27:BA27" si="19">$B$14*AL14</f>
        <v>4.9447312951087959E-3</v>
      </c>
      <c r="AM27" s="48">
        <f t="shared" si="19"/>
        <v>4.9447312951087959E-3</v>
      </c>
      <c r="AN27" s="48">
        <f t="shared" si="19"/>
        <v>4.9447312951087959E-3</v>
      </c>
      <c r="AO27" s="48">
        <f t="shared" si="19"/>
        <v>4.9447312951087959E-3</v>
      </c>
      <c r="AP27" s="48">
        <f t="shared" si="19"/>
        <v>4.9447312951087959E-3</v>
      </c>
      <c r="AQ27" s="48">
        <f t="shared" si="19"/>
        <v>4.9447312951087959E-3</v>
      </c>
      <c r="AR27" s="48">
        <f t="shared" si="19"/>
        <v>4.9447312951087959E-3</v>
      </c>
      <c r="AS27" s="48">
        <f t="shared" si="19"/>
        <v>4.9447312951087959E-3</v>
      </c>
      <c r="AT27" s="48">
        <f t="shared" si="19"/>
        <v>4.9447312951087959E-3</v>
      </c>
      <c r="AU27" s="48">
        <f t="shared" si="19"/>
        <v>4.9447312951087959E-3</v>
      </c>
      <c r="AV27" s="48">
        <f t="shared" si="19"/>
        <v>4.9447312951087959E-3</v>
      </c>
      <c r="AW27" s="48">
        <f t="shared" si="19"/>
        <v>4.9447312951087959E-3</v>
      </c>
      <c r="AX27" s="48">
        <f t="shared" si="19"/>
        <v>4.9447312951087959E-3</v>
      </c>
      <c r="AY27" s="48">
        <f t="shared" si="19"/>
        <v>4.9447312951087959E-3</v>
      </c>
      <c r="AZ27" s="48">
        <f t="shared" si="19"/>
        <v>4.9447312951087959E-3</v>
      </c>
      <c r="BA27" s="48">
        <f t="shared" si="19"/>
        <v>4.9447312951087959E-3</v>
      </c>
    </row>
    <row r="28" spans="1:53" ht="15" x14ac:dyDescent="0.35">
      <c r="A28" s="7" t="s">
        <v>18</v>
      </c>
      <c r="C28" s="49">
        <v>0</v>
      </c>
      <c r="D28" s="68">
        <f>$B15*D15</f>
        <v>0</v>
      </c>
      <c r="E28" s="68">
        <f t="shared" ref="E28:T28" si="20">$B15*E15</f>
        <v>1425000</v>
      </c>
      <c r="F28" s="68">
        <f t="shared" si="20"/>
        <v>1425000</v>
      </c>
      <c r="G28" s="68">
        <f t="shared" si="20"/>
        <v>1425000</v>
      </c>
      <c r="H28" s="68">
        <f t="shared" si="20"/>
        <v>1330000</v>
      </c>
      <c r="I28" s="68">
        <f t="shared" si="20"/>
        <v>1235000</v>
      </c>
      <c r="J28" s="68">
        <f t="shared" si="20"/>
        <v>1140000</v>
      </c>
      <c r="K28" s="68">
        <f t="shared" si="20"/>
        <v>1045000</v>
      </c>
      <c r="L28" s="68">
        <f t="shared" si="20"/>
        <v>950000</v>
      </c>
      <c r="M28" s="68">
        <f t="shared" si="20"/>
        <v>855000</v>
      </c>
      <c r="N28" s="68">
        <f t="shared" si="20"/>
        <v>760000</v>
      </c>
      <c r="O28" s="68">
        <f t="shared" si="20"/>
        <v>665000</v>
      </c>
      <c r="P28" s="68">
        <f t="shared" si="20"/>
        <v>570000</v>
      </c>
      <c r="Q28" s="68">
        <f t="shared" si="20"/>
        <v>475000</v>
      </c>
      <c r="R28" s="68">
        <f t="shared" si="20"/>
        <v>0</v>
      </c>
      <c r="S28" s="68">
        <f t="shared" si="20"/>
        <v>0</v>
      </c>
      <c r="T28" s="68">
        <f t="shared" si="20"/>
        <v>0</v>
      </c>
      <c r="U28" s="68">
        <f t="shared" ref="U28:AJ28" si="21">$B15*U15</f>
        <v>0</v>
      </c>
      <c r="V28" s="68">
        <f t="shared" si="21"/>
        <v>0</v>
      </c>
      <c r="W28" s="68">
        <f t="shared" si="21"/>
        <v>0</v>
      </c>
      <c r="X28" s="68">
        <f t="shared" si="21"/>
        <v>0</v>
      </c>
      <c r="Y28" s="68">
        <f t="shared" si="21"/>
        <v>0</v>
      </c>
      <c r="Z28" s="68">
        <f t="shared" si="21"/>
        <v>0</v>
      </c>
      <c r="AA28" s="68">
        <f t="shared" si="21"/>
        <v>0</v>
      </c>
      <c r="AB28" s="68">
        <f t="shared" si="21"/>
        <v>0</v>
      </c>
      <c r="AC28" s="68">
        <f t="shared" si="21"/>
        <v>0</v>
      </c>
      <c r="AD28" s="68">
        <f t="shared" si="21"/>
        <v>0</v>
      </c>
      <c r="AE28" s="68">
        <f t="shared" si="21"/>
        <v>0</v>
      </c>
      <c r="AF28" s="68">
        <f t="shared" si="21"/>
        <v>0</v>
      </c>
      <c r="AG28" s="68">
        <f t="shared" si="21"/>
        <v>0</v>
      </c>
      <c r="AH28" s="68">
        <f t="shared" si="21"/>
        <v>0</v>
      </c>
      <c r="AI28" s="68">
        <f t="shared" si="21"/>
        <v>0</v>
      </c>
      <c r="AJ28" s="68">
        <f t="shared" si="21"/>
        <v>0</v>
      </c>
      <c r="AK28" s="68">
        <f t="shared" ref="AK28:AZ28" si="22">$B15*AK15</f>
        <v>0</v>
      </c>
      <c r="AL28" s="68">
        <f t="shared" si="22"/>
        <v>0</v>
      </c>
      <c r="AM28" s="68">
        <f t="shared" si="22"/>
        <v>0</v>
      </c>
      <c r="AN28" s="68">
        <f t="shared" si="22"/>
        <v>0</v>
      </c>
      <c r="AO28" s="68">
        <f t="shared" si="22"/>
        <v>0</v>
      </c>
      <c r="AP28" s="68">
        <f t="shared" si="22"/>
        <v>0</v>
      </c>
      <c r="AQ28" s="68">
        <f t="shared" si="22"/>
        <v>0</v>
      </c>
      <c r="AR28" s="68">
        <f t="shared" si="22"/>
        <v>0</v>
      </c>
      <c r="AS28" s="68">
        <f t="shared" si="22"/>
        <v>0</v>
      </c>
      <c r="AT28" s="68">
        <f t="shared" si="22"/>
        <v>0</v>
      </c>
      <c r="AU28" s="68">
        <f t="shared" si="22"/>
        <v>0</v>
      </c>
      <c r="AV28" s="68">
        <f t="shared" si="22"/>
        <v>0</v>
      </c>
      <c r="AW28" s="68">
        <f t="shared" si="22"/>
        <v>0</v>
      </c>
      <c r="AX28" s="68">
        <f t="shared" si="22"/>
        <v>0</v>
      </c>
      <c r="AY28" s="68">
        <f t="shared" si="22"/>
        <v>0</v>
      </c>
      <c r="AZ28" s="68">
        <f t="shared" si="22"/>
        <v>0</v>
      </c>
      <c r="BA28" s="68">
        <f>$B15*BA15</f>
        <v>0</v>
      </c>
    </row>
    <row r="29" spans="1:53" ht="15" x14ac:dyDescent="0.35">
      <c r="A29" s="7" t="s">
        <v>115</v>
      </c>
      <c r="C29" s="50">
        <v>0</v>
      </c>
      <c r="D29" s="67">
        <f>SUM(D19:D28)</f>
        <v>463750</v>
      </c>
      <c r="E29" s="67">
        <f t="shared" ref="E29:T29" si="23">SUM(E19:E28)</f>
        <v>1904062.5</v>
      </c>
      <c r="F29" s="67">
        <f t="shared" si="23"/>
        <v>1920140.625</v>
      </c>
      <c r="G29" s="67">
        <f t="shared" si="23"/>
        <v>1937022.65625</v>
      </c>
      <c r="H29" s="67">
        <f t="shared" si="23"/>
        <v>1859748.7890625</v>
      </c>
      <c r="I29" s="67">
        <f t="shared" si="23"/>
        <v>1783361.228515625</v>
      </c>
      <c r="J29" s="67">
        <f t="shared" si="23"/>
        <v>1707904.2899414063</v>
      </c>
      <c r="K29" s="67">
        <f t="shared" si="23"/>
        <v>1633424.5044384766</v>
      </c>
      <c r="L29" s="67">
        <f t="shared" si="23"/>
        <v>1559970.7296604004</v>
      </c>
      <c r="M29" s="67">
        <f t="shared" si="23"/>
        <v>1487594.2661434205</v>
      </c>
      <c r="N29" s="67">
        <f t="shared" si="23"/>
        <v>1416348.9794505914</v>
      </c>
      <c r="O29" s="67">
        <f t="shared" si="23"/>
        <v>1346291.4284231211</v>
      </c>
      <c r="P29" s="67">
        <f t="shared" si="23"/>
        <v>1277480.999844277</v>
      </c>
      <c r="Q29" s="67">
        <f t="shared" si="23"/>
        <v>1209980.049836491</v>
      </c>
      <c r="R29" s="67">
        <f t="shared" si="23"/>
        <v>763854.05232831556</v>
      </c>
      <c r="S29" s="67">
        <f t="shared" si="23"/>
        <v>636671.75494473125</v>
      </c>
      <c r="T29" s="67">
        <f t="shared" si="23"/>
        <v>386671.75494473131</v>
      </c>
      <c r="U29" s="67">
        <f t="shared" ref="U29:AJ29" si="24">SUM(U19:U28)</f>
        <v>306250.00494473131</v>
      </c>
      <c r="V29" s="67">
        <f t="shared" si="24"/>
        <v>306250.00494473131</v>
      </c>
      <c r="W29" s="67">
        <f t="shared" si="24"/>
        <v>306250.00494473131</v>
      </c>
      <c r="X29" s="67">
        <f t="shared" si="24"/>
        <v>306250.00494473131</v>
      </c>
      <c r="Y29" s="67">
        <f t="shared" si="24"/>
        <v>306250.00494473131</v>
      </c>
      <c r="Z29" s="67">
        <f t="shared" si="24"/>
        <v>306250.00494473131</v>
      </c>
      <c r="AA29" s="67">
        <f t="shared" si="24"/>
        <v>306250.00494473131</v>
      </c>
      <c r="AB29" s="67">
        <f t="shared" si="24"/>
        <v>306250.00494473131</v>
      </c>
      <c r="AC29" s="67">
        <f t="shared" si="24"/>
        <v>306250.00494473131</v>
      </c>
      <c r="AD29" s="67">
        <f t="shared" si="24"/>
        <v>306250.00494473131</v>
      </c>
      <c r="AE29" s="67">
        <f t="shared" si="24"/>
        <v>306250.00494473131</v>
      </c>
      <c r="AF29" s="67">
        <f t="shared" si="24"/>
        <v>306250.00494473131</v>
      </c>
      <c r="AG29" s="67">
        <f t="shared" si="24"/>
        <v>306250.00494473131</v>
      </c>
      <c r="AH29" s="67">
        <f t="shared" si="24"/>
        <v>306250.00494473131</v>
      </c>
      <c r="AI29" s="67">
        <f t="shared" si="24"/>
        <v>306250.00494473131</v>
      </c>
      <c r="AJ29" s="67">
        <f t="shared" si="24"/>
        <v>306250.00494473131</v>
      </c>
      <c r="AK29" s="67">
        <f t="shared" ref="AK29:AZ29" si="25">SUM(AK19:AK28)</f>
        <v>306250.00494473131</v>
      </c>
      <c r="AL29" s="67">
        <f t="shared" si="25"/>
        <v>306250.00494473131</v>
      </c>
      <c r="AM29" s="67">
        <f t="shared" si="25"/>
        <v>306250.00494473131</v>
      </c>
      <c r="AN29" s="67">
        <f t="shared" si="25"/>
        <v>306250.00494473131</v>
      </c>
      <c r="AO29" s="67">
        <f t="shared" si="25"/>
        <v>306250.00494473131</v>
      </c>
      <c r="AP29" s="67">
        <f t="shared" si="25"/>
        <v>306250.00494473131</v>
      </c>
      <c r="AQ29" s="67">
        <f t="shared" si="25"/>
        <v>306250.00494473131</v>
      </c>
      <c r="AR29" s="67">
        <f t="shared" si="25"/>
        <v>306250.00494473131</v>
      </c>
      <c r="AS29" s="67">
        <f t="shared" si="25"/>
        <v>306250.00494473131</v>
      </c>
      <c r="AT29" s="67">
        <f t="shared" si="25"/>
        <v>306250.00494473131</v>
      </c>
      <c r="AU29" s="67">
        <f t="shared" si="25"/>
        <v>306250.00494473131</v>
      </c>
      <c r="AV29" s="67">
        <f t="shared" si="25"/>
        <v>306250.00494473131</v>
      </c>
      <c r="AW29" s="67">
        <f t="shared" si="25"/>
        <v>306250.00494473131</v>
      </c>
      <c r="AX29" s="67">
        <f t="shared" si="25"/>
        <v>306250.00494473131</v>
      </c>
      <c r="AY29" s="67">
        <f t="shared" si="25"/>
        <v>306250.00494473131</v>
      </c>
      <c r="AZ29" s="67">
        <f t="shared" si="25"/>
        <v>306250.00494473131</v>
      </c>
      <c r="BA29" s="67">
        <f>SUM(BA19:BA28)</f>
        <v>306250.00494473131</v>
      </c>
    </row>
    <row r="31" spans="1:53" s="69" customFormat="1" x14ac:dyDescent="0.2">
      <c r="A31" s="7" t="s">
        <v>116</v>
      </c>
      <c r="B31" s="7"/>
      <c r="C31" s="7">
        <f>C19+C20+C28</f>
        <v>0</v>
      </c>
      <c r="D31" s="48">
        <f t="shared" ref="D31:R31" si="26">D19+D20+D28</f>
        <v>157500</v>
      </c>
      <c r="E31" s="48">
        <f t="shared" si="26"/>
        <v>1582500</v>
      </c>
      <c r="F31" s="48">
        <f t="shared" si="26"/>
        <v>1582500</v>
      </c>
      <c r="G31" s="48">
        <f t="shared" si="26"/>
        <v>1582500</v>
      </c>
      <c r="H31" s="48">
        <f t="shared" si="26"/>
        <v>1487500</v>
      </c>
      <c r="I31" s="48">
        <f t="shared" si="26"/>
        <v>1392500</v>
      </c>
      <c r="J31" s="48">
        <f t="shared" si="26"/>
        <v>1297500</v>
      </c>
      <c r="K31" s="48">
        <f t="shared" si="26"/>
        <v>1202500</v>
      </c>
      <c r="L31" s="48">
        <f t="shared" si="26"/>
        <v>1107500</v>
      </c>
      <c r="M31" s="48">
        <f t="shared" si="26"/>
        <v>1012500</v>
      </c>
      <c r="N31" s="48">
        <f t="shared" si="26"/>
        <v>917500</v>
      </c>
      <c r="O31" s="48">
        <f t="shared" si="26"/>
        <v>822500</v>
      </c>
      <c r="P31" s="48">
        <f t="shared" si="26"/>
        <v>727500</v>
      </c>
      <c r="Q31" s="48">
        <f t="shared" si="26"/>
        <v>632500</v>
      </c>
      <c r="R31" s="48">
        <f t="shared" si="26"/>
        <v>157500</v>
      </c>
      <c r="S31" s="70">
        <f t="shared" ref="S31:AB31" si="27">SUM(S21:S27)</f>
        <v>636671.75494473125</v>
      </c>
      <c r="T31" s="70">
        <f t="shared" si="27"/>
        <v>386671.75494473131</v>
      </c>
      <c r="U31" s="70">
        <f t="shared" si="27"/>
        <v>306250.00494473131</v>
      </c>
      <c r="V31" s="70">
        <f t="shared" si="27"/>
        <v>306250.00494473131</v>
      </c>
      <c r="W31" s="70">
        <f t="shared" si="27"/>
        <v>306250.00494473131</v>
      </c>
      <c r="X31" s="70">
        <f t="shared" si="27"/>
        <v>306250.00494473131</v>
      </c>
      <c r="Y31" s="70">
        <f t="shared" si="27"/>
        <v>306250.00494473131</v>
      </c>
      <c r="Z31" s="70">
        <f t="shared" si="27"/>
        <v>306250.00494473131</v>
      </c>
      <c r="AA31" s="70">
        <f t="shared" si="27"/>
        <v>306250.00494473131</v>
      </c>
      <c r="AB31" s="70">
        <f t="shared" si="27"/>
        <v>306250.00494473131</v>
      </c>
      <c r="AC31" s="70">
        <f t="shared" ref="AC31:AL31" si="28">SUM(AC21:AC27)</f>
        <v>306250.00494473131</v>
      </c>
      <c r="AD31" s="70">
        <f t="shared" si="28"/>
        <v>306250.00494473131</v>
      </c>
      <c r="AE31" s="70">
        <f t="shared" si="28"/>
        <v>306250.00494473131</v>
      </c>
      <c r="AF31" s="70">
        <f t="shared" si="28"/>
        <v>306250.00494473131</v>
      </c>
      <c r="AG31" s="70">
        <f t="shared" si="28"/>
        <v>306250.00494473131</v>
      </c>
      <c r="AH31" s="70">
        <f t="shared" si="28"/>
        <v>306250.00494473131</v>
      </c>
      <c r="AI31" s="70">
        <f t="shared" si="28"/>
        <v>306250.00494473131</v>
      </c>
      <c r="AJ31" s="70">
        <f t="shared" si="28"/>
        <v>306250.00494473131</v>
      </c>
      <c r="AK31" s="70">
        <f t="shared" si="28"/>
        <v>306250.00494473131</v>
      </c>
      <c r="AL31" s="70">
        <f t="shared" si="28"/>
        <v>306250.00494473131</v>
      </c>
      <c r="AM31" s="70">
        <f t="shared" ref="AM31:BA31" si="29">SUM(AM21:AM27)</f>
        <v>306250.00494473131</v>
      </c>
      <c r="AN31" s="70">
        <f t="shared" si="29"/>
        <v>306250.00494473131</v>
      </c>
      <c r="AO31" s="70">
        <f t="shared" si="29"/>
        <v>306250.00494473131</v>
      </c>
      <c r="AP31" s="70">
        <f t="shared" si="29"/>
        <v>306250.00494473131</v>
      </c>
      <c r="AQ31" s="70">
        <f t="shared" si="29"/>
        <v>306250.00494473131</v>
      </c>
      <c r="AR31" s="70">
        <f t="shared" si="29"/>
        <v>306250.00494473131</v>
      </c>
      <c r="AS31" s="70">
        <f t="shared" si="29"/>
        <v>306250.00494473131</v>
      </c>
      <c r="AT31" s="70">
        <f t="shared" si="29"/>
        <v>306250.00494473131</v>
      </c>
      <c r="AU31" s="70">
        <f t="shared" si="29"/>
        <v>306250.00494473131</v>
      </c>
      <c r="AV31" s="70">
        <f t="shared" si="29"/>
        <v>306250.00494473131</v>
      </c>
      <c r="AW31" s="70">
        <f t="shared" si="29"/>
        <v>306250.00494473131</v>
      </c>
      <c r="AX31" s="70">
        <f t="shared" si="29"/>
        <v>306250.00494473131</v>
      </c>
      <c r="AY31" s="70">
        <f t="shared" si="29"/>
        <v>306250.00494473131</v>
      </c>
      <c r="AZ31" s="70">
        <f t="shared" si="29"/>
        <v>306250.00494473131</v>
      </c>
      <c r="BA31" s="70">
        <f t="shared" si="29"/>
        <v>306250.00494473131</v>
      </c>
    </row>
    <row r="32" spans="1:53" s="69" customFormat="1" x14ac:dyDescent="0.2">
      <c r="A32" s="7" t="s">
        <v>117</v>
      </c>
      <c r="B32" s="7"/>
      <c r="C32" s="70">
        <f>SUM(C21:C27)</f>
        <v>0</v>
      </c>
      <c r="D32" s="70">
        <f>SUM(D21:D27)</f>
        <v>306250</v>
      </c>
      <c r="E32" s="70">
        <f t="shared" ref="E32:R32" si="30">SUM(E21:E27)</f>
        <v>321562.5</v>
      </c>
      <c r="F32" s="70">
        <f t="shared" si="30"/>
        <v>337640.625</v>
      </c>
      <c r="G32" s="70">
        <f t="shared" si="30"/>
        <v>354522.65625</v>
      </c>
      <c r="H32" s="70">
        <f t="shared" si="30"/>
        <v>372248.7890625</v>
      </c>
      <c r="I32" s="70">
        <f t="shared" si="30"/>
        <v>390861.228515625</v>
      </c>
      <c r="J32" s="70">
        <f t="shared" si="30"/>
        <v>410404.28994140623</v>
      </c>
      <c r="K32" s="70">
        <f t="shared" si="30"/>
        <v>430924.50443847658</v>
      </c>
      <c r="L32" s="70">
        <f t="shared" si="30"/>
        <v>452470.72966040042</v>
      </c>
      <c r="M32" s="70">
        <f t="shared" si="30"/>
        <v>475094.26614342048</v>
      </c>
      <c r="N32" s="70">
        <f t="shared" si="30"/>
        <v>498848.97945059149</v>
      </c>
      <c r="O32" s="70">
        <f t="shared" si="30"/>
        <v>523791.42842312111</v>
      </c>
      <c r="P32" s="70">
        <f t="shared" si="30"/>
        <v>549980.99984427704</v>
      </c>
      <c r="Q32" s="70">
        <f t="shared" si="30"/>
        <v>577480.049836491</v>
      </c>
      <c r="R32" s="70">
        <f t="shared" si="30"/>
        <v>606354.05232831556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</row>
  </sheetData>
  <customSheetViews>
    <customSheetView guid="{45E2C907-21A9-4DE3-B8AC-8D4C138C71A5}" fitToPage="1">
      <pageMargins left="1" right="1" top="1" bottom="1" header="0.3" footer="0.3"/>
      <pageSetup scale="23" orientation="landscape" r:id="rId1"/>
      <headerFooter alignWithMargins="0">
        <oddFooter>&amp;L&amp;D&amp;T&amp;C&amp;P&amp;N&amp;R&amp;Z&amp;F</oddFooter>
      </headerFooter>
    </customSheetView>
    <customSheetView guid="{4845B082-CC6D-40B1-A19C-F7A3857AE7CF}" fitToPage="1">
      <pageMargins left="1" right="1" top="1" bottom="1" header="0.3" footer="0.3"/>
      <pageSetup scale="23" orientation="landscape" r:id="rId2"/>
      <headerFooter alignWithMargins="0">
        <oddFooter>&amp;L&amp;D&amp;T&amp;C&amp;P&amp;N&amp;R&amp;Z&amp;F</oddFooter>
      </headerFooter>
    </customSheetView>
    <customSheetView guid="{1C4F1D44-A361-480C-ADF0-4C9869BE30FD}" fitToPage="1">
      <pageMargins left="1" right="1" top="1" bottom="1" header="0.3" footer="0.3"/>
      <pageSetup scale="23" orientation="landscape" r:id="rId3"/>
      <headerFooter alignWithMargins="0">
        <oddFooter>&amp;L&amp;D&amp;T&amp;C&amp;P&amp;N&amp;R&amp;Z&amp;F</oddFooter>
      </headerFooter>
    </customSheetView>
  </customSheetViews>
  <phoneticPr fontId="10" type="noConversion"/>
  <pageMargins left="1" right="1" top="1" bottom="1" header="0.3" footer="0.3"/>
  <pageSetup scale="23" orientation="landscape" r:id="rId4"/>
  <headerFooter alignWithMargins="0">
    <oddFooter>&amp;L&amp;D&amp;T&amp;C&amp;P&amp;N&amp;R&amp;Z&amp;F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00"/>
  <sheetViews>
    <sheetView workbookViewId="0">
      <selection activeCell="A5" sqref="A5:D16"/>
    </sheetView>
  </sheetViews>
  <sheetFormatPr defaultRowHeight="12.75" x14ac:dyDescent="0.2"/>
  <cols>
    <col min="1" max="1" width="35.5703125" customWidth="1"/>
    <col min="2" max="3" width="6.5703125" customWidth="1"/>
    <col min="4" max="4" width="9.85546875" bestFit="1" customWidth="1"/>
  </cols>
  <sheetData>
    <row r="1" spans="1:4" ht="18.75" x14ac:dyDescent="0.3">
      <c r="A1" s="102" t="s">
        <v>0</v>
      </c>
    </row>
    <row r="2" spans="1:4" x14ac:dyDescent="0.2">
      <c r="A2" s="85" t="s">
        <v>1</v>
      </c>
    </row>
    <row r="3" spans="1:4" x14ac:dyDescent="0.2">
      <c r="A3" s="88" t="s">
        <v>153</v>
      </c>
    </row>
    <row r="4" spans="1:4" x14ac:dyDescent="0.2">
      <c r="A4" s="56"/>
    </row>
    <row r="5" spans="1:4" x14ac:dyDescent="0.2">
      <c r="B5" s="101"/>
      <c r="C5" s="101"/>
      <c r="D5" s="99" t="s">
        <v>21</v>
      </c>
    </row>
    <row r="6" spans="1:4" ht="15" x14ac:dyDescent="0.35">
      <c r="A6" s="7"/>
      <c r="B6" s="100" t="s">
        <v>154</v>
      </c>
      <c r="C6" s="100" t="s">
        <v>155</v>
      </c>
      <c r="D6" s="100" t="s">
        <v>156</v>
      </c>
    </row>
    <row r="7" spans="1:4" x14ac:dyDescent="0.2">
      <c r="A7" s="7" t="s">
        <v>157</v>
      </c>
      <c r="B7" s="95">
        <v>5.4</v>
      </c>
      <c r="C7" s="90">
        <v>14</v>
      </c>
      <c r="D7" s="96">
        <f>C7/$C$11*B7</f>
        <v>2.1</v>
      </c>
    </row>
    <row r="8" spans="1:4" x14ac:dyDescent="0.2">
      <c r="A8" s="7" t="s">
        <v>158</v>
      </c>
      <c r="B8" s="89">
        <v>2.5</v>
      </c>
      <c r="C8" s="90">
        <v>1</v>
      </c>
      <c r="D8" s="93">
        <f>C8/$C$11*B8</f>
        <v>6.9444444444444448E-2</v>
      </c>
    </row>
    <row r="9" spans="1:4" x14ac:dyDescent="0.2">
      <c r="A9" s="7" t="s">
        <v>159</v>
      </c>
      <c r="B9" s="89">
        <v>4.5</v>
      </c>
      <c r="C9" s="90">
        <v>18</v>
      </c>
      <c r="D9" s="93">
        <f>C9/$C$11*B9</f>
        <v>2.25</v>
      </c>
    </row>
    <row r="10" spans="1:4" x14ac:dyDescent="0.2">
      <c r="A10" s="7" t="s">
        <v>160</v>
      </c>
      <c r="B10" s="89">
        <v>1.5</v>
      </c>
      <c r="C10" s="91">
        <v>3</v>
      </c>
      <c r="D10" s="94">
        <f>C10/$C$11*B10</f>
        <v>0.125</v>
      </c>
    </row>
    <row r="11" spans="1:4" x14ac:dyDescent="0.2">
      <c r="A11" s="7"/>
      <c r="B11" s="7"/>
      <c r="C11" s="90">
        <f>SUM(C7:C10)</f>
        <v>36</v>
      </c>
      <c r="D11" s="96">
        <f>SUM(D7:D10)</f>
        <v>4.5444444444444443</v>
      </c>
    </row>
    <row r="12" spans="1:4" x14ac:dyDescent="0.2">
      <c r="A12" s="7" t="s">
        <v>161</v>
      </c>
      <c r="B12" s="7"/>
      <c r="C12" s="91">
        <f>+C11*0.05</f>
        <v>1.8</v>
      </c>
      <c r="D12" s="93"/>
    </row>
    <row r="13" spans="1:4" x14ac:dyDescent="0.2">
      <c r="A13" s="7"/>
      <c r="B13" s="7"/>
      <c r="C13" s="92">
        <f>+C11-C12</f>
        <v>34.200000000000003</v>
      </c>
      <c r="D13" s="93"/>
    </row>
    <row r="14" spans="1:4" x14ac:dyDescent="0.2">
      <c r="A14" s="7" t="s">
        <v>162</v>
      </c>
      <c r="B14" s="7"/>
      <c r="C14" s="7"/>
      <c r="D14" s="97">
        <f>ROUND(+D11/1.05,4)</f>
        <v>4.3280000000000003</v>
      </c>
    </row>
    <row r="15" spans="1:4" x14ac:dyDescent="0.2">
      <c r="A15" s="7"/>
      <c r="B15" s="7"/>
      <c r="C15" s="7"/>
      <c r="D15" s="7"/>
    </row>
    <row r="16" spans="1:4" ht="15" x14ac:dyDescent="0.35">
      <c r="A16" s="7" t="s">
        <v>163</v>
      </c>
      <c r="B16" s="7"/>
      <c r="C16" s="7"/>
      <c r="D16" s="98">
        <f>+D14*C13*1000*10</f>
        <v>1480176</v>
      </c>
    </row>
    <row r="17" spans="1:4" x14ac:dyDescent="0.2">
      <c r="A17" s="7"/>
      <c r="B17" s="7"/>
      <c r="C17" s="7"/>
      <c r="D17" s="62"/>
    </row>
    <row r="18" spans="1:4" x14ac:dyDescent="0.2">
      <c r="A18" s="7"/>
      <c r="B18" s="7"/>
      <c r="C18" s="7"/>
      <c r="D18" s="7"/>
    </row>
    <row r="19" spans="1:4" x14ac:dyDescent="0.2">
      <c r="A19" s="7"/>
      <c r="B19" s="7"/>
      <c r="C19" s="7"/>
      <c r="D19" s="7"/>
    </row>
    <row r="20" spans="1:4" x14ac:dyDescent="0.2">
      <c r="A20" s="7"/>
      <c r="B20" s="7"/>
      <c r="C20" s="7"/>
      <c r="D20" s="7"/>
    </row>
    <row r="21" spans="1:4" x14ac:dyDescent="0.2">
      <c r="A21" s="7"/>
      <c r="B21" s="7"/>
      <c r="C21" s="7"/>
      <c r="D21" s="7"/>
    </row>
    <row r="22" spans="1:4" x14ac:dyDescent="0.2">
      <c r="A22" s="7"/>
      <c r="B22" s="7"/>
      <c r="C22" s="7"/>
      <c r="D22" s="7"/>
    </row>
    <row r="23" spans="1:4" x14ac:dyDescent="0.2">
      <c r="A23" s="7"/>
      <c r="B23" s="7"/>
      <c r="C23" s="7"/>
      <c r="D23" s="7"/>
    </row>
    <row r="24" spans="1:4" x14ac:dyDescent="0.2">
      <c r="A24" s="7"/>
      <c r="B24" s="7"/>
      <c r="C24" s="7"/>
      <c r="D24" s="7"/>
    </row>
    <row r="25" spans="1:4" x14ac:dyDescent="0.2">
      <c r="A25" s="7"/>
      <c r="B25" s="7"/>
      <c r="C25" s="7"/>
      <c r="D25" s="7"/>
    </row>
    <row r="26" spans="1:4" x14ac:dyDescent="0.2">
      <c r="A26" s="7"/>
      <c r="B26" s="7"/>
      <c r="C26" s="7"/>
      <c r="D26" s="7"/>
    </row>
    <row r="27" spans="1:4" x14ac:dyDescent="0.2">
      <c r="A27" s="7"/>
      <c r="B27" s="7"/>
      <c r="C27" s="7"/>
      <c r="D27" s="7"/>
    </row>
    <row r="28" spans="1:4" x14ac:dyDescent="0.2">
      <c r="A28" s="7"/>
      <c r="B28" s="7"/>
      <c r="C28" s="7"/>
      <c r="D28" s="7"/>
    </row>
    <row r="29" spans="1:4" x14ac:dyDescent="0.2">
      <c r="A29" s="7"/>
      <c r="B29" s="7"/>
      <c r="C29" s="7"/>
      <c r="D29" s="7"/>
    </row>
    <row r="30" spans="1:4" x14ac:dyDescent="0.2">
      <c r="A30" s="7"/>
      <c r="B30" s="7"/>
      <c r="C30" s="7"/>
      <c r="D30" s="7"/>
    </row>
    <row r="31" spans="1:4" x14ac:dyDescent="0.2">
      <c r="A31" s="7"/>
      <c r="B31" s="7"/>
      <c r="C31" s="7"/>
      <c r="D31" s="7"/>
    </row>
    <row r="32" spans="1:4" x14ac:dyDescent="0.2">
      <c r="A32" s="7"/>
      <c r="B32" s="7"/>
      <c r="C32" s="7"/>
      <c r="D32" s="7"/>
    </row>
    <row r="33" spans="1:4" x14ac:dyDescent="0.2">
      <c r="A33" s="7"/>
      <c r="B33" s="7"/>
      <c r="C33" s="7"/>
      <c r="D33" s="7"/>
    </row>
    <row r="34" spans="1:4" x14ac:dyDescent="0.2">
      <c r="A34" s="7"/>
      <c r="B34" s="7"/>
      <c r="C34" s="7"/>
      <c r="D34" s="7"/>
    </row>
    <row r="35" spans="1:4" x14ac:dyDescent="0.2">
      <c r="A35" s="7"/>
      <c r="B35" s="7"/>
      <c r="C35" s="7"/>
      <c r="D35" s="7"/>
    </row>
    <row r="36" spans="1:4" x14ac:dyDescent="0.2">
      <c r="A36" s="7"/>
      <c r="B36" s="7"/>
      <c r="C36" s="7"/>
      <c r="D36" s="7"/>
    </row>
    <row r="37" spans="1:4" x14ac:dyDescent="0.2">
      <c r="A37" s="7"/>
      <c r="B37" s="7"/>
      <c r="C37" s="7"/>
      <c r="D37" s="7"/>
    </row>
    <row r="38" spans="1:4" x14ac:dyDescent="0.2">
      <c r="A38" s="7"/>
      <c r="B38" s="7"/>
      <c r="C38" s="7"/>
      <c r="D38" s="7"/>
    </row>
    <row r="39" spans="1:4" x14ac:dyDescent="0.2">
      <c r="A39" s="7"/>
      <c r="B39" s="7"/>
      <c r="C39" s="7"/>
      <c r="D39" s="7"/>
    </row>
    <row r="40" spans="1:4" x14ac:dyDescent="0.2">
      <c r="A40" s="7"/>
      <c r="B40" s="7"/>
      <c r="C40" s="7"/>
      <c r="D40" s="7"/>
    </row>
    <row r="41" spans="1:4" x14ac:dyDescent="0.2">
      <c r="A41" s="7"/>
      <c r="B41" s="7"/>
      <c r="C41" s="7"/>
      <c r="D41" s="7"/>
    </row>
    <row r="42" spans="1:4" x14ac:dyDescent="0.2">
      <c r="A42" s="7"/>
      <c r="B42" s="7"/>
      <c r="C42" s="7"/>
      <c r="D42" s="7"/>
    </row>
    <row r="43" spans="1:4" x14ac:dyDescent="0.2">
      <c r="A43" s="7"/>
      <c r="B43" s="7"/>
      <c r="C43" s="7"/>
      <c r="D43" s="7"/>
    </row>
    <row r="44" spans="1:4" x14ac:dyDescent="0.2">
      <c r="A44" s="7"/>
      <c r="B44" s="7"/>
      <c r="C44" s="7"/>
      <c r="D44" s="7"/>
    </row>
    <row r="45" spans="1:4" x14ac:dyDescent="0.2">
      <c r="A45" s="7"/>
      <c r="B45" s="7"/>
      <c r="C45" s="7"/>
      <c r="D45" s="7"/>
    </row>
    <row r="46" spans="1:4" x14ac:dyDescent="0.2">
      <c r="A46" s="7"/>
      <c r="B46" s="7"/>
      <c r="C46" s="7"/>
      <c r="D46" s="7"/>
    </row>
    <row r="47" spans="1:4" x14ac:dyDescent="0.2">
      <c r="A47" s="7"/>
      <c r="B47" s="7"/>
      <c r="C47" s="7"/>
      <c r="D47" s="7"/>
    </row>
    <row r="48" spans="1:4" x14ac:dyDescent="0.2">
      <c r="A48" s="7"/>
      <c r="B48" s="7"/>
      <c r="C48" s="7"/>
      <c r="D48" s="7"/>
    </row>
    <row r="49" spans="1:4" x14ac:dyDescent="0.2">
      <c r="A49" s="7"/>
      <c r="B49" s="7"/>
      <c r="C49" s="7"/>
      <c r="D49" s="7"/>
    </row>
    <row r="50" spans="1:4" x14ac:dyDescent="0.2">
      <c r="A50" s="7"/>
      <c r="B50" s="7"/>
      <c r="C50" s="7"/>
      <c r="D50" s="7"/>
    </row>
    <row r="51" spans="1:4" x14ac:dyDescent="0.2">
      <c r="A51" s="7"/>
      <c r="B51" s="7"/>
      <c r="C51" s="7"/>
      <c r="D51" s="7"/>
    </row>
    <row r="52" spans="1:4" x14ac:dyDescent="0.2">
      <c r="A52" s="7"/>
      <c r="B52" s="7"/>
      <c r="C52" s="7"/>
      <c r="D52" s="7"/>
    </row>
    <row r="53" spans="1:4" x14ac:dyDescent="0.2">
      <c r="A53" s="7"/>
      <c r="B53" s="7"/>
      <c r="C53" s="7"/>
      <c r="D53" s="7"/>
    </row>
    <row r="54" spans="1:4" x14ac:dyDescent="0.2">
      <c r="A54" s="7"/>
      <c r="B54" s="7"/>
      <c r="C54" s="7"/>
      <c r="D54" s="7"/>
    </row>
    <row r="55" spans="1:4" x14ac:dyDescent="0.2">
      <c r="A55" s="7"/>
      <c r="B55" s="7"/>
      <c r="C55" s="7"/>
      <c r="D55" s="7"/>
    </row>
    <row r="56" spans="1:4" x14ac:dyDescent="0.2">
      <c r="A56" s="7"/>
      <c r="B56" s="7"/>
      <c r="C56" s="7"/>
      <c r="D56" s="7"/>
    </row>
    <row r="57" spans="1:4" x14ac:dyDescent="0.2">
      <c r="A57" s="7"/>
      <c r="B57" s="7"/>
      <c r="C57" s="7"/>
      <c r="D57" s="7"/>
    </row>
    <row r="58" spans="1:4" x14ac:dyDescent="0.2">
      <c r="A58" s="7"/>
      <c r="B58" s="7"/>
      <c r="C58" s="7"/>
      <c r="D58" s="7"/>
    </row>
    <row r="59" spans="1:4" x14ac:dyDescent="0.2">
      <c r="A59" s="7"/>
      <c r="B59" s="7"/>
      <c r="C59" s="7"/>
      <c r="D59" s="7"/>
    </row>
    <row r="60" spans="1:4" x14ac:dyDescent="0.2">
      <c r="A60" s="7"/>
      <c r="B60" s="7"/>
      <c r="C60" s="7"/>
      <c r="D60" s="7"/>
    </row>
    <row r="61" spans="1:4" x14ac:dyDescent="0.2">
      <c r="A61" s="7"/>
      <c r="B61" s="7"/>
      <c r="C61" s="7"/>
      <c r="D61" s="7"/>
    </row>
    <row r="62" spans="1:4" x14ac:dyDescent="0.2">
      <c r="A62" s="7"/>
      <c r="B62" s="7"/>
      <c r="C62" s="7"/>
      <c r="D62" s="7"/>
    </row>
    <row r="63" spans="1:4" x14ac:dyDescent="0.2">
      <c r="A63" s="7"/>
      <c r="B63" s="7"/>
      <c r="C63" s="7"/>
      <c r="D63" s="7"/>
    </row>
    <row r="64" spans="1:4" x14ac:dyDescent="0.2">
      <c r="A64" s="7"/>
      <c r="B64" s="7"/>
      <c r="C64" s="7"/>
      <c r="D64" s="7"/>
    </row>
    <row r="65" spans="1:4" x14ac:dyDescent="0.2">
      <c r="A65" s="7"/>
      <c r="B65" s="7"/>
      <c r="C65" s="7"/>
      <c r="D65" s="7"/>
    </row>
    <row r="66" spans="1:4" x14ac:dyDescent="0.2">
      <c r="A66" s="7"/>
      <c r="B66" s="7"/>
      <c r="C66" s="7"/>
      <c r="D66" s="7"/>
    </row>
    <row r="67" spans="1:4" x14ac:dyDescent="0.2">
      <c r="A67" s="7"/>
      <c r="B67" s="7"/>
      <c r="C67" s="7"/>
      <c r="D67" s="7"/>
    </row>
    <row r="68" spans="1:4" x14ac:dyDescent="0.2">
      <c r="A68" s="7"/>
      <c r="B68" s="7"/>
      <c r="C68" s="7"/>
      <c r="D68" s="7"/>
    </row>
    <row r="69" spans="1:4" x14ac:dyDescent="0.2">
      <c r="A69" s="7"/>
      <c r="B69" s="7"/>
      <c r="C69" s="7"/>
      <c r="D69" s="7"/>
    </row>
    <row r="70" spans="1:4" x14ac:dyDescent="0.2">
      <c r="A70" s="7"/>
      <c r="B70" s="7"/>
      <c r="C70" s="7"/>
      <c r="D70" s="7"/>
    </row>
    <row r="71" spans="1:4" x14ac:dyDescent="0.2">
      <c r="A71" s="7"/>
      <c r="B71" s="7"/>
      <c r="C71" s="7"/>
      <c r="D71" s="7"/>
    </row>
    <row r="72" spans="1:4" x14ac:dyDescent="0.2">
      <c r="A72" s="7"/>
      <c r="B72" s="7"/>
      <c r="C72" s="7"/>
      <c r="D72" s="7"/>
    </row>
    <row r="73" spans="1:4" x14ac:dyDescent="0.2">
      <c r="A73" s="7"/>
      <c r="B73" s="7"/>
      <c r="C73" s="7"/>
      <c r="D73" s="7"/>
    </row>
    <row r="74" spans="1:4" x14ac:dyDescent="0.2">
      <c r="A74" s="7"/>
      <c r="B74" s="7"/>
      <c r="C74" s="7"/>
      <c r="D74" s="7"/>
    </row>
    <row r="75" spans="1:4" x14ac:dyDescent="0.2">
      <c r="A75" s="7"/>
      <c r="B75" s="7"/>
      <c r="C75" s="7"/>
      <c r="D75" s="7"/>
    </row>
    <row r="76" spans="1:4" x14ac:dyDescent="0.2">
      <c r="A76" s="7"/>
      <c r="B76" s="7"/>
      <c r="C76" s="7"/>
      <c r="D76" s="7"/>
    </row>
    <row r="77" spans="1:4" x14ac:dyDescent="0.2">
      <c r="A77" s="7"/>
      <c r="B77" s="7"/>
      <c r="C77" s="7"/>
      <c r="D77" s="7"/>
    </row>
    <row r="78" spans="1:4" x14ac:dyDescent="0.2">
      <c r="A78" s="7"/>
      <c r="B78" s="7"/>
      <c r="C78" s="7"/>
      <c r="D78" s="7"/>
    </row>
    <row r="79" spans="1:4" x14ac:dyDescent="0.2">
      <c r="A79" s="7"/>
      <c r="B79" s="7"/>
      <c r="C79" s="7"/>
      <c r="D79" s="7"/>
    </row>
    <row r="80" spans="1:4" x14ac:dyDescent="0.2">
      <c r="A80" s="7"/>
      <c r="B80" s="7"/>
      <c r="C80" s="7"/>
      <c r="D80" s="7"/>
    </row>
    <row r="81" spans="1:4" x14ac:dyDescent="0.2">
      <c r="A81" s="7"/>
      <c r="B81" s="7"/>
      <c r="C81" s="7"/>
      <c r="D81" s="7"/>
    </row>
    <row r="82" spans="1:4" x14ac:dyDescent="0.2">
      <c r="A82" s="7"/>
      <c r="B82" s="7"/>
      <c r="C82" s="7"/>
      <c r="D82" s="7"/>
    </row>
    <row r="83" spans="1:4" x14ac:dyDescent="0.2">
      <c r="A83" s="7"/>
      <c r="B83" s="7"/>
      <c r="C83" s="7"/>
      <c r="D83" s="7"/>
    </row>
    <row r="84" spans="1:4" x14ac:dyDescent="0.2">
      <c r="A84" s="7"/>
      <c r="B84" s="7"/>
      <c r="C84" s="7"/>
      <c r="D84" s="7"/>
    </row>
    <row r="85" spans="1:4" x14ac:dyDescent="0.2">
      <c r="A85" s="7"/>
      <c r="B85" s="7"/>
      <c r="C85" s="7"/>
      <c r="D85" s="7"/>
    </row>
    <row r="86" spans="1:4" x14ac:dyDescent="0.2">
      <c r="A86" s="7"/>
      <c r="B86" s="7"/>
      <c r="C86" s="7"/>
      <c r="D86" s="7"/>
    </row>
    <row r="87" spans="1:4" x14ac:dyDescent="0.2">
      <c r="A87" s="7"/>
      <c r="B87" s="7"/>
      <c r="C87" s="7"/>
      <c r="D87" s="7"/>
    </row>
    <row r="88" spans="1:4" x14ac:dyDescent="0.2">
      <c r="A88" s="7"/>
      <c r="B88" s="7"/>
      <c r="C88" s="7"/>
      <c r="D88" s="7"/>
    </row>
    <row r="89" spans="1:4" x14ac:dyDescent="0.2">
      <c r="A89" s="7"/>
      <c r="B89" s="7"/>
      <c r="C89" s="7"/>
      <c r="D89" s="7"/>
    </row>
    <row r="90" spans="1:4" x14ac:dyDescent="0.2">
      <c r="A90" s="7"/>
      <c r="B90" s="7"/>
      <c r="C90" s="7"/>
      <c r="D90" s="7"/>
    </row>
    <row r="91" spans="1:4" x14ac:dyDescent="0.2">
      <c r="A91" s="7"/>
      <c r="B91" s="7"/>
      <c r="C91" s="7"/>
      <c r="D91" s="7"/>
    </row>
    <row r="92" spans="1:4" x14ac:dyDescent="0.2">
      <c r="A92" s="7"/>
      <c r="B92" s="7"/>
      <c r="C92" s="7"/>
      <c r="D92" s="7"/>
    </row>
    <row r="93" spans="1:4" x14ac:dyDescent="0.2">
      <c r="A93" s="7"/>
      <c r="B93" s="7"/>
      <c r="C93" s="7"/>
      <c r="D93" s="7"/>
    </row>
    <row r="94" spans="1:4" x14ac:dyDescent="0.2">
      <c r="A94" s="7"/>
      <c r="B94" s="7"/>
      <c r="C94" s="7"/>
      <c r="D94" s="7"/>
    </row>
    <row r="95" spans="1:4" x14ac:dyDescent="0.2">
      <c r="A95" s="7"/>
      <c r="B95" s="7"/>
      <c r="C95" s="7"/>
      <c r="D95" s="7"/>
    </row>
    <row r="96" spans="1:4" x14ac:dyDescent="0.2">
      <c r="A96" s="7"/>
      <c r="B96" s="7"/>
      <c r="C96" s="7"/>
      <c r="D96" s="7"/>
    </row>
    <row r="97" spans="1:4" x14ac:dyDescent="0.2">
      <c r="A97" s="7"/>
      <c r="B97" s="7"/>
      <c r="C97" s="7"/>
      <c r="D97" s="7"/>
    </row>
    <row r="98" spans="1:4" x14ac:dyDescent="0.2">
      <c r="A98" s="7"/>
      <c r="B98" s="7"/>
      <c r="C98" s="7"/>
      <c r="D98" s="7"/>
    </row>
    <row r="99" spans="1:4" x14ac:dyDescent="0.2">
      <c r="A99" s="7"/>
      <c r="B99" s="7"/>
      <c r="C99" s="7"/>
      <c r="D99" s="7"/>
    </row>
    <row r="100" spans="1:4" x14ac:dyDescent="0.2">
      <c r="A100" s="7"/>
      <c r="B100" s="7"/>
      <c r="C100" s="7"/>
      <c r="D100" s="7"/>
    </row>
  </sheetData>
  <customSheetViews>
    <customSheetView guid="{45E2C907-21A9-4DE3-B8AC-8D4C138C71A5}" fitToPage="1">
      <pageMargins left="1" right="1" top="1" bottom="1" header="0.3" footer="0.3"/>
      <pageSetup orientation="landscape" r:id="rId1"/>
      <headerFooter alignWithMargins="0">
        <oddFooter>&amp;L&amp;D&amp;T&amp;C&amp;P&amp;N&amp;R&amp;Z&amp;F</oddFooter>
      </headerFooter>
    </customSheetView>
    <customSheetView guid="{4845B082-CC6D-40B1-A19C-F7A3857AE7CF}" fitToPage="1">
      <pageMargins left="1" right="1" top="1" bottom="1" header="0.3" footer="0.3"/>
      <pageSetup orientation="landscape" r:id="rId2"/>
      <headerFooter alignWithMargins="0">
        <oddFooter>&amp;L&amp;D&amp;T&amp;C&amp;P&amp;N&amp;R&amp;Z&amp;F</oddFooter>
      </headerFooter>
    </customSheetView>
    <customSheetView guid="{1C4F1D44-A361-480C-ADF0-4C9869BE30FD}" fitToPage="1">
      <selection activeCell="A5" sqref="A5:D16"/>
      <pageMargins left="1" right="1" top="1" bottom="1" header="0.3" footer="0.3"/>
      <pageSetup orientation="landscape" r:id="rId3"/>
      <headerFooter alignWithMargins="0">
        <oddFooter>&amp;L&amp;D&amp;T&amp;C&amp;P&amp;N&amp;R&amp;Z&amp;F</oddFooter>
      </headerFooter>
    </customSheetView>
  </customSheetViews>
  <phoneticPr fontId="10" type="noConversion"/>
  <pageMargins left="1" right="1" top="1" bottom="1" header="0.3" footer="0.3"/>
  <pageSetup orientation="landscape" r:id="rId4"/>
  <headerFooter alignWithMargins="0">
    <oddFooter>&amp;L&amp;D&amp;T&amp;C&amp;P&amp;N&amp;R&amp;Z&amp;F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36"/>
  <sheetViews>
    <sheetView topLeftCell="A31" workbookViewId="0"/>
  </sheetViews>
  <sheetFormatPr defaultRowHeight="12.75" x14ac:dyDescent="0.2"/>
  <cols>
    <col min="1" max="1" width="35" customWidth="1"/>
    <col min="4" max="4" width="9.28515625" customWidth="1"/>
  </cols>
  <sheetData>
    <row r="1" spans="1:3" ht="15.75" x14ac:dyDescent="0.25">
      <c r="A1" s="84" t="s">
        <v>0</v>
      </c>
    </row>
    <row r="2" spans="1:3" x14ac:dyDescent="0.2">
      <c r="A2" s="85" t="s">
        <v>1</v>
      </c>
    </row>
    <row r="3" spans="1:3" x14ac:dyDescent="0.2">
      <c r="A3" s="88" t="s">
        <v>164</v>
      </c>
    </row>
    <row r="6" spans="1:3" x14ac:dyDescent="0.2">
      <c r="A6" s="46" t="s">
        <v>165</v>
      </c>
    </row>
    <row r="7" spans="1:3" x14ac:dyDescent="0.2">
      <c r="A7" s="78" t="s">
        <v>166</v>
      </c>
      <c r="B7" s="48">
        <f>SUM(B8:B10)</f>
        <v>7375000</v>
      </c>
      <c r="C7" s="7"/>
    </row>
    <row r="8" spans="1:3" x14ac:dyDescent="0.2">
      <c r="A8" s="7" t="s">
        <v>167</v>
      </c>
      <c r="B8" s="48">
        <v>3062500</v>
      </c>
      <c r="C8" s="7"/>
    </row>
    <row r="9" spans="1:3" x14ac:dyDescent="0.2">
      <c r="A9" s="74" t="s">
        <v>168</v>
      </c>
      <c r="B9" s="48">
        <v>3062500</v>
      </c>
      <c r="C9" s="75">
        <v>0.05</v>
      </c>
    </row>
    <row r="10" spans="1:3" x14ac:dyDescent="0.2">
      <c r="A10" s="74" t="s">
        <v>169</v>
      </c>
      <c r="B10" s="48">
        <v>1250000</v>
      </c>
      <c r="C10" s="75">
        <v>7.0000000000000007E-2</v>
      </c>
    </row>
    <row r="11" spans="1:3" x14ac:dyDescent="0.2">
      <c r="A11" s="46" t="s">
        <v>170</v>
      </c>
      <c r="B11" s="48"/>
      <c r="C11" s="75"/>
    </row>
    <row r="12" spans="1:3" x14ac:dyDescent="0.2">
      <c r="A12" s="7" t="s">
        <v>171</v>
      </c>
      <c r="B12" s="75">
        <v>0.05</v>
      </c>
    </row>
    <row r="13" spans="1:3" x14ac:dyDescent="0.2">
      <c r="A13" s="78" t="s">
        <v>172</v>
      </c>
      <c r="B13" s="79">
        <v>15</v>
      </c>
    </row>
    <row r="14" spans="1:3" x14ac:dyDescent="0.2">
      <c r="A14" s="78" t="s">
        <v>173</v>
      </c>
      <c r="B14" s="79">
        <v>0.2</v>
      </c>
    </row>
    <row r="15" spans="1:3" x14ac:dyDescent="0.2">
      <c r="A15" s="78" t="s">
        <v>174</v>
      </c>
      <c r="B15" s="79">
        <v>15</v>
      </c>
    </row>
    <row r="16" spans="1:3" x14ac:dyDescent="0.2">
      <c r="A16" s="78" t="s">
        <v>175</v>
      </c>
      <c r="B16" s="79">
        <v>3.5</v>
      </c>
    </row>
    <row r="17" spans="1:53" x14ac:dyDescent="0.2">
      <c r="A17" s="7"/>
    </row>
    <row r="18" spans="1:53" x14ac:dyDescent="0.2">
      <c r="B18" s="76" t="str">
        <f>'Adj Model'!B40</f>
        <v>1994/1995</v>
      </c>
      <c r="C18" s="76">
        <f>'Adj Model'!C40</f>
        <v>1995</v>
      </c>
      <c r="D18" s="76">
        <f>'Adj Model'!D40</f>
        <v>1996</v>
      </c>
      <c r="E18" s="76">
        <f>'Adj Model'!E40</f>
        <v>1997</v>
      </c>
      <c r="F18" s="76">
        <f>'Adj Model'!F40</f>
        <v>1998</v>
      </c>
      <c r="G18" s="76">
        <f>'Adj Model'!G40</f>
        <v>1999</v>
      </c>
      <c r="H18" s="76">
        <f>'Adj Model'!H40</f>
        <v>2000</v>
      </c>
      <c r="I18" s="76">
        <f>'Adj Model'!I40</f>
        <v>2001</v>
      </c>
      <c r="J18" s="76">
        <f>'Adj Model'!J40</f>
        <v>2002</v>
      </c>
      <c r="K18" s="76">
        <f>'Adj Model'!K40</f>
        <v>2003</v>
      </c>
      <c r="L18" s="76">
        <f>'Adj Model'!L40</f>
        <v>2004</v>
      </c>
      <c r="M18" s="76">
        <f>'Adj Model'!M40</f>
        <v>2005</v>
      </c>
      <c r="N18" s="76">
        <f>'Adj Model'!N40</f>
        <v>2006</v>
      </c>
      <c r="O18" s="76">
        <f>'Adj Model'!O40</f>
        <v>2007</v>
      </c>
      <c r="P18" s="76">
        <f>'Adj Model'!P40</f>
        <v>2008</v>
      </c>
      <c r="Q18" s="76">
        <f>'Adj Model'!Q40</f>
        <v>2009</v>
      </c>
      <c r="R18" s="76">
        <f>'Adj Model'!R40</f>
        <v>2010</v>
      </c>
      <c r="S18" s="76">
        <f>'Adj Model'!S40</f>
        <v>2011</v>
      </c>
      <c r="T18" s="76">
        <f>'Adj Model'!T40</f>
        <v>2012</v>
      </c>
      <c r="U18" s="76">
        <f>'Adj Model'!U40</f>
        <v>2013</v>
      </c>
      <c r="V18" s="76">
        <f>'Adj Model'!V40</f>
        <v>2014</v>
      </c>
      <c r="W18" s="76">
        <f>'Adj Model'!W40</f>
        <v>2015</v>
      </c>
      <c r="X18" s="76">
        <f>'Adj Model'!X40</f>
        <v>2016</v>
      </c>
      <c r="Y18" s="76">
        <f>'Adj Model'!Y40</f>
        <v>2017</v>
      </c>
      <c r="Z18" s="76">
        <f>'Adj Model'!Z40</f>
        <v>2018</v>
      </c>
      <c r="AA18" s="76">
        <f>'Adj Model'!AA40</f>
        <v>2019</v>
      </c>
      <c r="AB18" s="76">
        <f>'Adj Model'!AB40</f>
        <v>2020</v>
      </c>
      <c r="AC18" s="76">
        <f>'Adj Model'!AC40</f>
        <v>2021</v>
      </c>
      <c r="AD18" s="76">
        <f>'Adj Model'!AD40</f>
        <v>2022</v>
      </c>
      <c r="AE18" s="76">
        <f>'Adj Model'!AE40</f>
        <v>2023</v>
      </c>
      <c r="AF18" s="76">
        <f>'Adj Model'!AF40</f>
        <v>2024</v>
      </c>
      <c r="AG18" s="76">
        <f>'Adj Model'!AG40</f>
        <v>2025</v>
      </c>
      <c r="AH18" s="76">
        <f>'Adj Model'!AH40</f>
        <v>2026</v>
      </c>
      <c r="AI18" s="76">
        <f>'Adj Model'!AI40</f>
        <v>2027</v>
      </c>
      <c r="AJ18" s="76">
        <f>'Adj Model'!AJ40</f>
        <v>2028</v>
      </c>
      <c r="AK18" s="76">
        <f>'Adj Model'!AK40</f>
        <v>2029</v>
      </c>
      <c r="AL18" s="76">
        <f>'Adj Model'!AL40</f>
        <v>2030</v>
      </c>
      <c r="AM18" s="76">
        <f>'Adj Model'!AM40</f>
        <v>2031</v>
      </c>
      <c r="AN18" s="76">
        <f>'Adj Model'!AN40</f>
        <v>2032</v>
      </c>
      <c r="AO18" s="76">
        <f>'Adj Model'!AO40</f>
        <v>2033</v>
      </c>
      <c r="AP18" s="76">
        <f>'Adj Model'!AP40</f>
        <v>2034</v>
      </c>
      <c r="AQ18" s="76">
        <f>'Adj Model'!AQ40</f>
        <v>2035</v>
      </c>
      <c r="AR18" s="76">
        <f>'Adj Model'!AR40</f>
        <v>2036</v>
      </c>
      <c r="AS18" s="76">
        <f>'Adj Model'!AS40</f>
        <v>2037</v>
      </c>
      <c r="AT18" s="76">
        <f>'Adj Model'!AT40</f>
        <v>2038</v>
      </c>
      <c r="AU18" s="76">
        <f>'Adj Model'!AU40</f>
        <v>2039</v>
      </c>
      <c r="AV18" s="76">
        <f>'Adj Model'!AV40</f>
        <v>2040</v>
      </c>
      <c r="AW18" s="76">
        <f>'Adj Model'!AW40</f>
        <v>2041</v>
      </c>
      <c r="AX18" s="76">
        <f>'Adj Model'!AX40</f>
        <v>2042</v>
      </c>
      <c r="AY18" s="76">
        <f>'Adj Model'!AY40</f>
        <v>2043</v>
      </c>
      <c r="AZ18" s="76">
        <f>'Adj Model'!AZ40</f>
        <v>2044</v>
      </c>
      <c r="BA18" s="76">
        <f>'Adj Model'!BA40</f>
        <v>2045</v>
      </c>
    </row>
    <row r="19" spans="1:53" x14ac:dyDescent="0.2">
      <c r="A19" s="23" t="s">
        <v>43</v>
      </c>
      <c r="B19" s="30">
        <v>0</v>
      </c>
      <c r="C19" s="21">
        <v>1</v>
      </c>
      <c r="D19" s="21">
        <v>2</v>
      </c>
      <c r="E19" s="21">
        <v>3</v>
      </c>
      <c r="F19" s="21">
        <v>4</v>
      </c>
      <c r="G19" s="21">
        <v>5</v>
      </c>
      <c r="H19" s="21">
        <v>6</v>
      </c>
      <c r="I19" s="21">
        <v>7</v>
      </c>
      <c r="J19" s="21">
        <v>8</v>
      </c>
      <c r="K19" s="21">
        <v>9</v>
      </c>
      <c r="L19" s="21">
        <v>10</v>
      </c>
      <c r="M19" s="21">
        <v>11</v>
      </c>
      <c r="N19" s="21">
        <v>12</v>
      </c>
      <c r="O19" s="21">
        <v>13</v>
      </c>
      <c r="P19" s="21">
        <v>14</v>
      </c>
      <c r="Q19" s="21">
        <v>15</v>
      </c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21">
        <v>21</v>
      </c>
      <c r="X19" s="21">
        <v>22</v>
      </c>
      <c r="Y19" s="21">
        <v>23</v>
      </c>
      <c r="Z19" s="21">
        <v>24</v>
      </c>
      <c r="AA19" s="21">
        <v>25</v>
      </c>
      <c r="AB19" s="21">
        <v>26</v>
      </c>
      <c r="AC19" s="21">
        <v>27</v>
      </c>
      <c r="AD19" s="21">
        <v>28</v>
      </c>
      <c r="AE19" s="21">
        <v>29</v>
      </c>
      <c r="AF19" s="21">
        <v>30</v>
      </c>
      <c r="AG19" s="21">
        <v>31</v>
      </c>
      <c r="AH19" s="21">
        <v>32</v>
      </c>
      <c r="AI19" s="21">
        <v>33</v>
      </c>
      <c r="AJ19" s="21">
        <v>34</v>
      </c>
      <c r="AK19" s="21">
        <v>35</v>
      </c>
      <c r="AL19" s="21">
        <v>36</v>
      </c>
      <c r="AM19" s="21">
        <v>37</v>
      </c>
      <c r="AN19" s="21">
        <v>38</v>
      </c>
      <c r="AO19" s="21">
        <v>39</v>
      </c>
      <c r="AP19" s="21">
        <v>40</v>
      </c>
      <c r="AQ19" s="21">
        <v>41</v>
      </c>
      <c r="AR19" s="21">
        <v>42</v>
      </c>
      <c r="AS19" s="21">
        <v>43</v>
      </c>
      <c r="AT19" s="21">
        <v>44</v>
      </c>
      <c r="AU19" s="21">
        <v>45</v>
      </c>
      <c r="AV19" s="21">
        <v>46</v>
      </c>
      <c r="AW19" s="21">
        <v>47</v>
      </c>
      <c r="AX19" s="21">
        <v>48</v>
      </c>
      <c r="AY19" s="21">
        <v>49</v>
      </c>
      <c r="AZ19" s="21">
        <v>50</v>
      </c>
      <c r="BA19" s="21">
        <v>51</v>
      </c>
    </row>
    <row r="20" spans="1:53" x14ac:dyDescent="0.2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</row>
    <row r="21" spans="1:53" s="69" customFormat="1" ht="15" customHeight="1" x14ac:dyDescent="0.2">
      <c r="A21" s="7" t="s">
        <v>176</v>
      </c>
      <c r="B21" s="7">
        <v>0</v>
      </c>
      <c r="C21" s="7">
        <v>0</v>
      </c>
      <c r="D21" s="70">
        <f>-B7</f>
        <v>-7375000</v>
      </c>
    </row>
    <row r="22" spans="1:53" x14ac:dyDescent="0.2">
      <c r="A22" s="7" t="s">
        <v>177</v>
      </c>
      <c r="B22" s="7"/>
      <c r="C22" s="7"/>
      <c r="D22" s="7"/>
    </row>
    <row r="23" spans="1:53" x14ac:dyDescent="0.2">
      <c r="A23" s="7" t="s">
        <v>178</v>
      </c>
      <c r="D23" s="48">
        <v>161218.75</v>
      </c>
      <c r="E23" s="48">
        <v>166918.85875000001</v>
      </c>
      <c r="F23" s="48">
        <v>172903.97293750002</v>
      </c>
      <c r="G23" s="48">
        <v>179188.34283437504</v>
      </c>
      <c r="H23" s="48">
        <v>185786.93122609373</v>
      </c>
      <c r="I23" s="48">
        <v>192715.44903739844</v>
      </c>
      <c r="J23" s="48">
        <v>199990.39273926837</v>
      </c>
      <c r="K23" s="48">
        <v>207629.08362623179</v>
      </c>
      <c r="L23" s="48">
        <v>215649.7090575434</v>
      </c>
      <c r="M23" s="48">
        <v>224071.36576042057</v>
      </c>
      <c r="N23" s="48">
        <v>232914.10529844163</v>
      </c>
      <c r="O23" s="48">
        <v>242198.98181336367</v>
      </c>
      <c r="P23" s="48">
        <v>251948.10215403186</v>
      </c>
      <c r="Q23" s="48">
        <v>262184.67851173342</v>
      </c>
      <c r="R23" s="48">
        <v>214308.08368732012</v>
      </c>
      <c r="S23" s="48">
        <v>225593.90912168613</v>
      </c>
      <c r="T23" s="48">
        <v>38312.15912168612</v>
      </c>
      <c r="U23" s="48">
        <v>102593.75</v>
      </c>
      <c r="V23" s="48">
        <v>102593.75</v>
      </c>
      <c r="W23" s="48">
        <v>102593.75</v>
      </c>
      <c r="X23" s="48">
        <v>102593.75</v>
      </c>
      <c r="Y23" s="48">
        <v>102593.75</v>
      </c>
      <c r="Z23" s="48">
        <v>102593.75</v>
      </c>
      <c r="AA23" s="48">
        <v>102593.75</v>
      </c>
      <c r="AB23" s="48">
        <v>102593.75</v>
      </c>
      <c r="AC23" s="48">
        <v>102593.75</v>
      </c>
      <c r="AD23" s="48">
        <v>102593.75</v>
      </c>
      <c r="AE23" s="48">
        <v>102593.75</v>
      </c>
      <c r="AF23" s="48">
        <v>102593.75</v>
      </c>
      <c r="AG23" s="48">
        <v>102593.75</v>
      </c>
      <c r="AH23" s="48">
        <v>102593.75</v>
      </c>
      <c r="AI23" s="48">
        <v>102593.75</v>
      </c>
      <c r="AJ23" s="48">
        <v>102593.75</v>
      </c>
      <c r="AK23" s="48">
        <v>102593.75</v>
      </c>
      <c r="AL23" s="48">
        <v>102593.75</v>
      </c>
      <c r="AM23" s="48">
        <v>102593.75</v>
      </c>
      <c r="AN23" s="48">
        <v>102593.75</v>
      </c>
      <c r="AO23" s="48">
        <v>102593.75</v>
      </c>
      <c r="AP23" s="48">
        <v>102593.75</v>
      </c>
      <c r="AQ23" s="48">
        <v>102593.75</v>
      </c>
      <c r="AR23" s="48">
        <v>102593.75</v>
      </c>
      <c r="AS23" s="48">
        <v>102593.75</v>
      </c>
      <c r="AT23" s="48">
        <v>102593.75</v>
      </c>
      <c r="AU23" s="48">
        <v>102593.75</v>
      </c>
      <c r="AV23" s="48">
        <v>102593.75</v>
      </c>
      <c r="AW23" s="48">
        <v>102593.75</v>
      </c>
      <c r="AX23" s="48">
        <v>102593.75</v>
      </c>
      <c r="AY23" s="48">
        <v>102593.75</v>
      </c>
      <c r="AZ23" s="48">
        <v>102593.75</v>
      </c>
      <c r="BA23" s="48">
        <v>102593.75</v>
      </c>
    </row>
    <row r="24" spans="1:53" x14ac:dyDescent="0.2">
      <c r="A24" s="7" t="s">
        <v>179</v>
      </c>
      <c r="D24" s="48">
        <v>153125</v>
      </c>
      <c r="E24" s="48">
        <v>161632.625</v>
      </c>
      <c r="F24" s="48">
        <v>170565.63125000001</v>
      </c>
      <c r="G24" s="48">
        <v>179945.2878125</v>
      </c>
      <c r="H24" s="48">
        <v>189793.927203125</v>
      </c>
      <c r="I24" s="48">
        <v>200134.99856328126</v>
      </c>
      <c r="J24" s="48">
        <v>210993.12349144532</v>
      </c>
      <c r="K24" s="48">
        <v>222394.15466601757</v>
      </c>
      <c r="L24" s="48">
        <v>234365.23739931846</v>
      </c>
      <c r="M24" s="48">
        <v>246934.8742692844</v>
      </c>
      <c r="N24" s="48">
        <v>260132.99298274863</v>
      </c>
      <c r="O24" s="48">
        <v>273991.01763188606</v>
      </c>
      <c r="P24" s="48">
        <v>288541.94351348036</v>
      </c>
      <c r="Q24" s="48">
        <v>303820.41568915435</v>
      </c>
      <c r="R24" s="48">
        <v>319862.81147361209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</row>
    <row r="25" spans="1:53" x14ac:dyDescent="0.2">
      <c r="A25" s="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</row>
    <row r="26" spans="1:53" x14ac:dyDescent="0.2">
      <c r="A26" s="7" t="s">
        <v>180</v>
      </c>
      <c r="D26" s="70">
        <f>D23-D24</f>
        <v>8093.75</v>
      </c>
      <c r="E26" s="70">
        <f t="shared" ref="E26:T26" si="0">E23-E24</f>
        <v>5286.233750000014</v>
      </c>
      <c r="F26" s="70">
        <f t="shared" si="0"/>
        <v>2338.3416875000112</v>
      </c>
      <c r="G26" s="70">
        <f t="shared" si="0"/>
        <v>-756.94497812495683</v>
      </c>
      <c r="H26" s="70">
        <f t="shared" si="0"/>
        <v>-4006.9959770312707</v>
      </c>
      <c r="I26" s="70">
        <f t="shared" si="0"/>
        <v>-7419.5495258828159</v>
      </c>
      <c r="J26" s="70">
        <f t="shared" si="0"/>
        <v>-11002.730752176954</v>
      </c>
      <c r="K26" s="70">
        <f t="shared" si="0"/>
        <v>-14765.071039785777</v>
      </c>
      <c r="L26" s="70">
        <f t="shared" si="0"/>
        <v>-18715.528341775062</v>
      </c>
      <c r="M26" s="70">
        <f t="shared" si="0"/>
        <v>-22863.50850886383</v>
      </c>
      <c r="N26" s="70">
        <f t="shared" si="0"/>
        <v>-27218.887684307003</v>
      </c>
      <c r="O26" s="70">
        <f t="shared" si="0"/>
        <v>-31792.035818522389</v>
      </c>
      <c r="P26" s="70">
        <f t="shared" si="0"/>
        <v>-36593.841359448503</v>
      </c>
      <c r="Q26" s="70">
        <f t="shared" si="0"/>
        <v>-41635.737177420931</v>
      </c>
      <c r="R26" s="70">
        <f t="shared" si="0"/>
        <v>-105554.72778629197</v>
      </c>
      <c r="S26" s="70">
        <f t="shared" si="0"/>
        <v>225593.90912168613</v>
      </c>
      <c r="T26" s="70">
        <f t="shared" si="0"/>
        <v>38312.15912168612</v>
      </c>
      <c r="U26" s="70">
        <f t="shared" ref="U26:AJ26" si="1">U23-U24</f>
        <v>102593.75</v>
      </c>
      <c r="V26" s="70">
        <f t="shared" si="1"/>
        <v>102593.75</v>
      </c>
      <c r="W26" s="70">
        <f t="shared" si="1"/>
        <v>102593.75</v>
      </c>
      <c r="X26" s="70">
        <f t="shared" si="1"/>
        <v>102593.75</v>
      </c>
      <c r="Y26" s="70">
        <f t="shared" si="1"/>
        <v>102593.75</v>
      </c>
      <c r="Z26" s="70">
        <f t="shared" si="1"/>
        <v>102593.75</v>
      </c>
      <c r="AA26" s="70">
        <f t="shared" si="1"/>
        <v>102593.75</v>
      </c>
      <c r="AB26" s="70">
        <f t="shared" si="1"/>
        <v>102593.75</v>
      </c>
      <c r="AC26" s="70">
        <f t="shared" si="1"/>
        <v>102593.75</v>
      </c>
      <c r="AD26" s="70">
        <f t="shared" si="1"/>
        <v>102593.75</v>
      </c>
      <c r="AE26" s="70">
        <f t="shared" si="1"/>
        <v>102593.75</v>
      </c>
      <c r="AF26" s="70">
        <f t="shared" si="1"/>
        <v>102593.75</v>
      </c>
      <c r="AG26" s="70">
        <f t="shared" si="1"/>
        <v>102593.75</v>
      </c>
      <c r="AH26" s="70">
        <f t="shared" si="1"/>
        <v>102593.75</v>
      </c>
      <c r="AI26" s="70">
        <f t="shared" si="1"/>
        <v>102593.75</v>
      </c>
      <c r="AJ26" s="70">
        <f t="shared" si="1"/>
        <v>102593.75</v>
      </c>
      <c r="AK26" s="70">
        <f t="shared" ref="AK26:AZ26" si="2">AK23-AK24</f>
        <v>102593.75</v>
      </c>
      <c r="AL26" s="70">
        <f t="shared" si="2"/>
        <v>102593.75</v>
      </c>
      <c r="AM26" s="70">
        <f t="shared" si="2"/>
        <v>102593.75</v>
      </c>
      <c r="AN26" s="70">
        <f t="shared" si="2"/>
        <v>102593.75</v>
      </c>
      <c r="AO26" s="70">
        <f t="shared" si="2"/>
        <v>102593.75</v>
      </c>
      <c r="AP26" s="70">
        <f t="shared" si="2"/>
        <v>102593.75</v>
      </c>
      <c r="AQ26" s="70">
        <f t="shared" si="2"/>
        <v>102593.75</v>
      </c>
      <c r="AR26" s="70">
        <f t="shared" si="2"/>
        <v>102593.75</v>
      </c>
      <c r="AS26" s="70">
        <f t="shared" si="2"/>
        <v>102593.75</v>
      </c>
      <c r="AT26" s="70">
        <f t="shared" si="2"/>
        <v>102593.75</v>
      </c>
      <c r="AU26" s="70">
        <f t="shared" si="2"/>
        <v>102593.75</v>
      </c>
      <c r="AV26" s="70">
        <f t="shared" si="2"/>
        <v>102593.75</v>
      </c>
      <c r="AW26" s="70">
        <f t="shared" si="2"/>
        <v>102593.75</v>
      </c>
      <c r="AX26" s="70">
        <f t="shared" si="2"/>
        <v>102593.75</v>
      </c>
      <c r="AY26" s="70">
        <f t="shared" si="2"/>
        <v>102593.75</v>
      </c>
      <c r="AZ26" s="70">
        <f t="shared" si="2"/>
        <v>102593.75</v>
      </c>
      <c r="BA26" s="70">
        <f>BA23-BA24</f>
        <v>102593.75</v>
      </c>
    </row>
    <row r="27" spans="1:53" x14ac:dyDescent="0.2">
      <c r="A27" s="7" t="s">
        <v>181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418348.21027364489</v>
      </c>
      <c r="U27" s="39">
        <v>663884.35906971444</v>
      </c>
      <c r="V27" s="39">
        <v>710573.25099169533</v>
      </c>
      <c r="W27" s="39">
        <v>754068.11459486641</v>
      </c>
      <c r="X27" s="39">
        <v>797209.69983984833</v>
      </c>
      <c r="Y27" s="39">
        <v>840264.89254588599</v>
      </c>
      <c r="Z27" s="39">
        <v>883378.63913838274</v>
      </c>
      <c r="AA27" s="39">
        <v>926668.55707932054</v>
      </c>
      <c r="AB27" s="39">
        <v>970237.03624750138</v>
      </c>
      <c r="AC27" s="39">
        <v>1014174.5914929179</v>
      </c>
      <c r="AD27" s="39">
        <v>1058561.8362088571</v>
      </c>
      <c r="AE27" s="39">
        <v>1103471.0505972325</v>
      </c>
      <c r="AF27" s="39">
        <v>1148967.5046115478</v>
      </c>
      <c r="AG27" s="39">
        <v>1195110.585102218</v>
      </c>
      <c r="AH27" s="39">
        <v>1241954.7580584849</v>
      </c>
      <c r="AI27" s="39">
        <v>1289550.3907725287</v>
      </c>
      <c r="AJ27" s="39">
        <v>1337944.4548593957</v>
      </c>
      <c r="AK27" s="39">
        <v>1387181.1279209077</v>
      </c>
      <c r="AL27" s="39">
        <v>1437302.3089878161</v>
      </c>
      <c r="AM27" s="39">
        <v>1488348.0606198884</v>
      </c>
      <c r="AN27" s="39">
        <v>1540356.9886262401</v>
      </c>
      <c r="AO27" s="39">
        <v>1727349.2209716502</v>
      </c>
      <c r="AP27" s="39">
        <v>1864927.4666300272</v>
      </c>
      <c r="AQ27" s="39">
        <v>1923400.5333647204</v>
      </c>
      <c r="AR27" s="39">
        <v>1971824.1371002074</v>
      </c>
      <c r="AS27" s="39">
        <v>2019935.7457952932</v>
      </c>
      <c r="AT27" s="39">
        <v>2069037.9036924927</v>
      </c>
      <c r="AU27" s="39">
        <v>2119330.6601708438</v>
      </c>
      <c r="AV27" s="39">
        <v>2170871.0471065836</v>
      </c>
      <c r="AW27" s="39">
        <v>2223697.7428555903</v>
      </c>
      <c r="AX27" s="39">
        <v>2277847.5034686108</v>
      </c>
      <c r="AY27" s="39">
        <v>2333357.2812560205</v>
      </c>
      <c r="AZ27" s="39">
        <v>2390264.5653756824</v>
      </c>
      <c r="BA27" s="39">
        <v>2448607.4863032424</v>
      </c>
    </row>
    <row r="28" spans="1:53" x14ac:dyDescent="0.2">
      <c r="A28" s="7" t="s">
        <v>182</v>
      </c>
      <c r="R28" s="48">
        <v>1250000</v>
      </c>
      <c r="S28" s="48"/>
      <c r="T28" s="48"/>
    </row>
    <row r="29" spans="1:53" x14ac:dyDescent="0.2">
      <c r="A29" s="7" t="s">
        <v>183</v>
      </c>
      <c r="R29" s="48"/>
      <c r="S29" s="48">
        <v>2778000</v>
      </c>
      <c r="T29" s="48">
        <v>893647</v>
      </c>
    </row>
    <row r="30" spans="1:53" x14ac:dyDescent="0.2">
      <c r="A30" s="78" t="s">
        <v>184</v>
      </c>
      <c r="D30" s="48">
        <v>0</v>
      </c>
      <c r="E30" s="48">
        <f>(($B$13*$B$14*10000)+($B$15*$B$16*10000))*(1+'Adj Model'!$H$7+'Adj Model'!$B$21)^(Alpine!E19-3)*0.67</f>
        <v>371850</v>
      </c>
      <c r="F30" s="48">
        <f>(($B$13*$B$14*10000)+($B$15*$B$16*10000))*(1+'Adj Model'!$H$7+'Adj Model'!$B$21)^(Alpine!F19-3)*0.67</f>
        <v>400482.45</v>
      </c>
      <c r="G30" s="48">
        <f>(($B$13*$B$14*10000)+($B$15*$B$16*10000))*(1+'Adj Model'!$H$7+'Adj Model'!$B$21)^(Alpine!G19-3)*0.67</f>
        <v>431319.59865</v>
      </c>
      <c r="H30" s="48">
        <f>(($B$13*$B$14*10000)+($B$15*$B$16*10000))*(1+'Adj Model'!$H$7+'Adj Model'!$B$21)^(Alpine!H19-3)*0.67</f>
        <v>464531.20774604997</v>
      </c>
      <c r="I30" s="48">
        <f>(($B$13*$B$14*10000)+($B$15*$B$16*10000))*(1+'Adj Model'!$H$7+'Adj Model'!$B$21)^(Alpine!I19-3)*0.67</f>
        <v>500300.11074249592</v>
      </c>
      <c r="J30" s="48">
        <f>(($B$13*$B$14*10000)+($B$15*$B$16*10000))*(1+'Adj Model'!$H$7+'Adj Model'!$B$21)^(Alpine!J19-3)*0.67</f>
        <v>538823.2192696681</v>
      </c>
      <c r="K30" s="48">
        <f>(($B$13*$B$14*10000)+($B$15*$B$16*10000))*(1+'Adj Model'!$H$7+'Adj Model'!$B$21)^(Alpine!K19-3)*0.67</f>
        <v>580312.60715343256</v>
      </c>
      <c r="L30" s="48">
        <f>(($B$13*$B$14*10000)+($B$15*$B$16*10000))*(1+'Adj Model'!$H$7+'Adj Model'!$B$21)^(Alpine!L19-3)*0.67</f>
        <v>624996.67790424684</v>
      </c>
      <c r="M30" s="48">
        <f>(($B$13*$B$14*10000)+($B$15*$B$16*10000))*(1+'Adj Model'!$H$7+'Adj Model'!$B$21)^(Alpine!M19-3)*0.67</f>
        <v>673121.42210287391</v>
      </c>
      <c r="N30" s="48">
        <f>(($B$13*$B$14*10000)+($B$15*$B$16*10000))*(1+'Adj Model'!$H$7+'Adj Model'!$B$21)^(Alpine!N19-3)*0.67</f>
        <v>724951.77160479524</v>
      </c>
      <c r="O30" s="48">
        <f>(($B$13*$B$14*10000)+($B$15*$B$16*10000))*(1+'Adj Model'!$H$7+'Adj Model'!$B$21)^(Alpine!O19-3)*0.67</f>
        <v>780773.05801836436</v>
      </c>
      <c r="P30" s="48">
        <f>(($B$13*$B$14*10000)+($B$15*$B$16*10000))*(1+'Adj Model'!$H$7+'Adj Model'!$B$21)^(Alpine!P19-3)*0.67</f>
        <v>840892.58348577854</v>
      </c>
      <c r="Q30" s="48">
        <f>(($B$13*$B$14*10000)+($B$15*$B$16*10000))*(1+'Adj Model'!$H$7+'Adj Model'!$B$21)^(Alpine!Q19-3)*0.67</f>
        <v>905641.3124141834</v>
      </c>
      <c r="R30" s="48">
        <f>(($B$13*$B$14*10000)+($B$15*$B$16*10000))*(1+'Adj Model'!$H$7+'Adj Model'!$B$21)^(Alpine!R19-3)*0.67</f>
        <v>975375.69347007561</v>
      </c>
      <c r="S30" s="48">
        <f>(($B$13*$B$14*10000)+($B$15*$B$16*10000))*(1+'Adj Model'!$H$7+'Adj Model'!$B$21)^(Alpine!S19-3)*0.67</f>
        <v>1050479.6218672716</v>
      </c>
      <c r="T30" s="48">
        <f>(($B$13*$B$14*10000)+($B$15*$B$16*10000))*(1+'Adj Model'!$H$7+'Adj Model'!$B$21)^(Alpine!T19-3)*0.67</f>
        <v>1131366.5527510513</v>
      </c>
      <c r="U30" s="48">
        <f>(($B$13*$B$14*10000)+($B$15*$B$16*10000))*(1+'Adj Model'!$H$7+'Adj Model'!$B$21)^(Alpine!U19-3)*0.67</f>
        <v>1218481.7773128825</v>
      </c>
      <c r="V30" s="48">
        <f>(($B$13*$B$14*10000)+($B$15*$B$16*10000))*(1+'Adj Model'!$H$7+'Adj Model'!$B$21)^(Alpine!V19-3)*0.67</f>
        <v>1312304.8741659743</v>
      </c>
      <c r="W30" s="48">
        <f>(($B$13*$B$14*10000)+($B$15*$B$16*10000))*(1+'Adj Model'!$H$7+'Adj Model'!$B$21)^(Alpine!W19-3)*0.67</f>
        <v>1413352.3494767544</v>
      </c>
      <c r="X30" s="48">
        <f>(($B$13*$B$14*10000)+($B$15*$B$16*10000))*(1+'Adj Model'!$H$7+'Adj Model'!$B$21)^(Alpine!X19-3)*0.67</f>
        <v>1522180.4803864646</v>
      </c>
      <c r="Y30" s="48">
        <f>(($B$13*$B$14*10000)+($B$15*$B$16*10000))*(1+'Adj Model'!$H$7+'Adj Model'!$B$21)^(Alpine!Y19-3)*0.67</f>
        <v>1639388.3773762223</v>
      </c>
      <c r="Z30" s="48">
        <f>(($B$13*$B$14*10000)+($B$15*$B$16*10000))*(1+'Adj Model'!$H$7+'Adj Model'!$B$21)^(Alpine!Z19-3)*0.67</f>
        <v>1765621.2824341916</v>
      </c>
      <c r="AA30" s="48">
        <f>(($B$13*$B$14*10000)+($B$15*$B$16*10000))*(1+'Adj Model'!$H$7+'Adj Model'!$B$21)^(Alpine!AA19-3)*0.67</f>
        <v>1901574.121181624</v>
      </c>
      <c r="AB30" s="48">
        <f>(($B$13*$B$14*10000)+($B$15*$B$16*10000))*(1+'Adj Model'!$H$7+'Adj Model'!$B$21)^(Alpine!AB19-3)*0.67</f>
        <v>2047995.3285126092</v>
      </c>
      <c r="AC30" s="48">
        <f>(($B$13*$B$14*10000)+($B$15*$B$16*10000))*(1+'Adj Model'!$H$7+'Adj Model'!$B$21)^(Alpine!AC19-3)*0.67</f>
        <v>2205690.9688080805</v>
      </c>
      <c r="AD30" s="48">
        <f>(($B$13*$B$14*10000)+($B$15*$B$16*10000))*(1+'Adj Model'!$H$7+'Adj Model'!$B$21)^(Alpine!AD19-3)*0.67</f>
        <v>2375529.1734063025</v>
      </c>
      <c r="AE30" s="48">
        <f>(($B$13*$B$14*10000)+($B$15*$B$16*10000))*(1+'Adj Model'!$H$7+'Adj Model'!$B$21)^(Alpine!AE19-3)*0.67</f>
        <v>2558444.9197585876</v>
      </c>
      <c r="AF30" s="48">
        <f>(($B$13*$B$14*10000)+($B$15*$B$16*10000))*(1+'Adj Model'!$H$7+'Adj Model'!$B$21)^(Alpine!AF19-3)*0.67</f>
        <v>2755445.1785799991</v>
      </c>
      <c r="AG30" s="48">
        <f>(($B$13*$B$14*10000)+($B$15*$B$16*10000))*(1+'Adj Model'!$H$7+'Adj Model'!$B$21)^(Alpine!AG19-3)*0.67</f>
        <v>2967614.4573306586</v>
      </c>
      <c r="AH30" s="48">
        <f>(($B$13*$B$14*10000)+($B$15*$B$16*10000))*(1+'Adj Model'!$H$7+'Adj Model'!$B$21)^(Alpine!AH19-3)*0.67</f>
        <v>3196120.7705451199</v>
      </c>
      <c r="AI30" s="48">
        <f>(($B$13*$B$14*10000)+($B$15*$B$16*10000))*(1+'Adj Model'!$H$7+'Adj Model'!$B$21)^(Alpine!AI19-3)*0.67</f>
        <v>3442222.0698770941</v>
      </c>
      <c r="AJ30" s="48">
        <f>(($B$13*$B$14*10000)+($B$15*$B$16*10000))*(1+'Adj Model'!$H$7+'Adj Model'!$B$21)^(Alpine!AJ19-3)*0.67</f>
        <v>3707273.1692576306</v>
      </c>
      <c r="AK30" s="48">
        <f>(($B$13*$B$14*10000)+($B$15*$B$16*10000))*(1+'Adj Model'!$H$7+'Adj Model'!$B$21)^(Alpine!AK19-3)*0.67</f>
        <v>3992733.2032904681</v>
      </c>
      <c r="AL30" s="48">
        <f>(($B$13*$B$14*10000)+($B$15*$B$16*10000))*(1+'Adj Model'!$H$7+'Adj Model'!$B$21)^(Alpine!AL19-3)*0.67</f>
        <v>4300173.6599438339</v>
      </c>
      <c r="AM30" s="48">
        <f>(($B$13*$B$14*10000)+($B$15*$B$16*10000))*(1+'Adj Model'!$H$7+'Adj Model'!$B$21)^(Alpine!AM19-3)*0.67</f>
        <v>4631287.0317595098</v>
      </c>
      <c r="AN30" s="48">
        <f>(($B$13*$B$14*10000)+($B$15*$B$16*10000))*(1+'Adj Model'!$H$7+'Adj Model'!$B$21)^(Alpine!AN19-3)*0.67</f>
        <v>4987896.1332049919</v>
      </c>
      <c r="AO30" s="48">
        <f>(($B$13*$B$14*10000)+($B$15*$B$16*10000))*(1+'Adj Model'!$H$7+'Adj Model'!$B$21)^(Alpine!AO19-3)*0.67</f>
        <v>5371964.1354617756</v>
      </c>
      <c r="AP30" s="48">
        <f>(($B$13*$B$14*10000)+($B$15*$B$16*10000))*(1+'Adj Model'!$H$7+'Adj Model'!$B$21)^(Alpine!AP19-3)*0.67</f>
        <v>5785605.3738923334</v>
      </c>
      <c r="AQ30" s="48">
        <f>(($B$13*$B$14*10000)+($B$15*$B$16*10000))*(1+'Adj Model'!$H$7+'Adj Model'!$B$21)^(Alpine!AQ19-3)*0.67</f>
        <v>6231096.9876820426</v>
      </c>
      <c r="AR30" s="48">
        <f>(($B$13*$B$14*10000)+($B$15*$B$16*10000))*(1+'Adj Model'!$H$7+'Adj Model'!$B$21)^(Alpine!AR19-3)*0.67</f>
        <v>6710891.45573356</v>
      </c>
      <c r="AS30" s="48">
        <f>(($B$13*$B$14*10000)+($B$15*$B$16*10000))*(1+'Adj Model'!$H$7+'Adj Model'!$B$21)^(Alpine!AS19-3)*0.67</f>
        <v>7227630.0978250438</v>
      </c>
      <c r="AT30" s="48">
        <f>(($B$13*$B$14*10000)+($B$15*$B$16*10000))*(1+'Adj Model'!$H$7+'Adj Model'!$B$21)^(Alpine!AT19-3)*0.67</f>
        <v>7784157.6153575731</v>
      </c>
      <c r="AU30" s="48">
        <f>(($B$13*$B$14*10000)+($B$15*$B$16*10000))*(1+'Adj Model'!$H$7+'Adj Model'!$B$21)^(Alpine!AU19-3)*0.67</f>
        <v>8383537.7517401055</v>
      </c>
      <c r="AV30" s="48">
        <f>(($B$13*$B$14*10000)+($B$15*$B$16*10000))*(1+'Adj Model'!$H$7+'Adj Model'!$B$21)^(Alpine!AV19-3)*0.67</f>
        <v>9029070.1586240958</v>
      </c>
      <c r="AW30" s="48">
        <f>(($B$13*$B$14*10000)+($B$15*$B$16*10000))*(1+'Adj Model'!$H$7+'Adj Model'!$B$21)^(Alpine!AW19-3)*0.67</f>
        <v>9724308.5608381499</v>
      </c>
      <c r="AX30" s="48">
        <f>(($B$13*$B$14*10000)+($B$15*$B$16*10000))*(1+'Adj Model'!$H$7+'Adj Model'!$B$21)^(Alpine!AX19-3)*0.67</f>
        <v>10473080.320022687</v>
      </c>
      <c r="AY30" s="48">
        <f>(($B$13*$B$14*10000)+($B$15*$B$16*10000))*(1+'Adj Model'!$H$7+'Adj Model'!$B$21)^(Alpine!AY19-3)*0.67</f>
        <v>11279507.504664434</v>
      </c>
      <c r="AZ30" s="48">
        <f>(($B$13*$B$14*10000)+($B$15*$B$16*10000))*(1+'Adj Model'!$H$7+'Adj Model'!$B$21)^(Alpine!AZ19-3)*0.67</f>
        <v>12148029.582523597</v>
      </c>
      <c r="BA30" s="48">
        <f>(($B$13*$B$14*10000)+($B$15*$B$16*10000))*(1+'Adj Model'!$H$7+'Adj Model'!$B$21)^(Alpine!BA19-3)*0.67</f>
        <v>13083427.860377913</v>
      </c>
    </row>
    <row r="31" spans="1:53" x14ac:dyDescent="0.2">
      <c r="A31" s="7" t="s">
        <v>185</v>
      </c>
      <c r="D31" s="48">
        <f>'Adj Model'!D76*$B$12*0.67</f>
        <v>0</v>
      </c>
      <c r="E31" s="48">
        <f>'Adj Model'!E76*$B$12*0.67</f>
        <v>23215.5</v>
      </c>
      <c r="F31" s="48">
        <f>'Adj Model'!F76*$B$12*0.67</f>
        <v>50006.187000000005</v>
      </c>
      <c r="G31" s="48">
        <f>'Adj Model'!G76*$B$12*0.67</f>
        <v>53856.663399000005</v>
      </c>
      <c r="H31" s="48">
        <f>'Adj Model'!H76*$B$12*0.67</f>
        <v>58003.626480723011</v>
      </c>
      <c r="I31" s="48">
        <f>'Adj Model'!I76*$B$12*0.67</f>
        <v>62469.905719738686</v>
      </c>
      <c r="J31" s="48">
        <f>'Adj Model'!J76*$B$12*0.67</f>
        <v>67280.088460158557</v>
      </c>
      <c r="K31" s="48">
        <f>'Adj Model'!K76*$B$12*0.67</f>
        <v>72460.655271590775</v>
      </c>
      <c r="L31" s="48">
        <f>'Adj Model'!L76*$B$12*0.67</f>
        <v>78040.125727503255</v>
      </c>
      <c r="M31" s="48">
        <f>'Adj Model'!M76*$B$12*0.67</f>
        <v>84049.21540852102</v>
      </c>
      <c r="N31" s="48">
        <f>'Adj Model'!N76*$B$12*0.67</f>
        <v>90521.004994977135</v>
      </c>
      <c r="O31" s="48">
        <f>'Adj Model'!O76*$B$12*0.67</f>
        <v>97491.12237959035</v>
      </c>
      <c r="P31" s="48">
        <f>'Adj Model'!P76*$B$12*0.67</f>
        <v>104997.93880281883</v>
      </c>
      <c r="Q31" s="48">
        <f>'Adj Model'!Q76*$B$12*0.67</f>
        <v>113082.78009063589</v>
      </c>
      <c r="R31" s="48">
        <f>'Adj Model'!R76*$B$12*0.67</f>
        <v>121790.15415761484</v>
      </c>
      <c r="S31" s="48">
        <f>'Adj Model'!S76*$B$12*0.67</f>
        <v>131167.99602775121</v>
      </c>
      <c r="T31" s="48">
        <f>'Adj Model'!T76*$B$12*0.67</f>
        <v>141267.93172188805</v>
      </c>
      <c r="U31" s="48">
        <f>'Adj Model'!U76*$B$12*0.67</f>
        <v>152145.56246447345</v>
      </c>
      <c r="V31" s="48">
        <f>'Adj Model'!V76*$B$12*0.67</f>
        <v>163860.77077423787</v>
      </c>
      <c r="W31" s="48">
        <f>'Adj Model'!W76*$B$12*0.67</f>
        <v>176478.05012385419</v>
      </c>
      <c r="X31" s="48">
        <f>'Adj Model'!X76*$B$12*0.67</f>
        <v>190066.85998339101</v>
      </c>
      <c r="Y31" s="48">
        <f>'Adj Model'!Y76*$B$12*0.67</f>
        <v>204702.00820211205</v>
      </c>
      <c r="Z31" s="48">
        <f>'Adj Model'!Z76*$B$12*0.67</f>
        <v>220464.06283367472</v>
      </c>
      <c r="AA31" s="48">
        <f>'Adj Model'!AA76*$B$12*0.67</f>
        <v>237439.79567186764</v>
      </c>
      <c r="AB31" s="48">
        <f>'Adj Model'!AB76*$B$12*0.67</f>
        <v>255722.65993860152</v>
      </c>
      <c r="AC31" s="48">
        <f>'Adj Model'!AC76*$B$12*0.67</f>
        <v>275413.30475387385</v>
      </c>
      <c r="AD31" s="48">
        <f>'Adj Model'!AD76*$B$12*0.67</f>
        <v>296620.12921992212</v>
      </c>
      <c r="AE31" s="48">
        <f>'Adj Model'!AE76*$B$12*0.67</f>
        <v>319459.87916985608</v>
      </c>
      <c r="AF31" s="48">
        <f>'Adj Model'!AF76*$B$12*0.67</f>
        <v>344058.28986593505</v>
      </c>
      <c r="AG31" s="48">
        <f>'Adj Model'!AG76*$B$12*0.67</f>
        <v>370550.778185612</v>
      </c>
      <c r="AH31" s="48">
        <f>'Adj Model'!AH76*$B$12*0.67</f>
        <v>399083.18810590421</v>
      </c>
      <c r="AI31" s="48">
        <f>'Adj Model'!AI76*$B$12*0.67</f>
        <v>429812.59359005885</v>
      </c>
      <c r="AJ31" s="48">
        <f>'Adj Model'!AJ76*$B$12*0.67</f>
        <v>462908.16329649341</v>
      </c>
      <c r="AK31" s="48">
        <f>'Adj Model'!AK76*$B$12*0.67</f>
        <v>498552.09187032329</v>
      </c>
      <c r="AL31" s="48">
        <f>'Adj Model'!AL76*$B$12*0.67</f>
        <v>536940.60294433811</v>
      </c>
      <c r="AM31" s="48">
        <f>'Adj Model'!AM76*$B$12*0.67</f>
        <v>578285.0293710524</v>
      </c>
      <c r="AN31" s="48">
        <f>'Adj Model'!AN76*$B$12*0.67</f>
        <v>622812.97663262335</v>
      </c>
      <c r="AO31" s="48">
        <f>'Adj Model'!AO76*$B$12*0.67</f>
        <v>670769.57583333529</v>
      </c>
      <c r="AP31" s="48">
        <f>'Adj Model'!AP76*$B$12*0.67</f>
        <v>722418.83317250223</v>
      </c>
      <c r="AQ31" s="48">
        <f>'Adj Model'!AQ76*$B$12*0.67</f>
        <v>778045.08332678478</v>
      </c>
      <c r="AR31" s="48">
        <f>'Adj Model'!AR76*$B$12*0.67</f>
        <v>837954.55474294722</v>
      </c>
      <c r="AS31" s="48">
        <f>'Adj Model'!AS76*$B$12*0.67</f>
        <v>902477.05545815418</v>
      </c>
      <c r="AT31" s="48">
        <f>'Adj Model'!AT76*$B$12*0.67</f>
        <v>971967.78872843215</v>
      </c>
      <c r="AU31" s="48">
        <f>'Adj Model'!AU76*$B$12*0.67</f>
        <v>1046809.3084605214</v>
      </c>
      <c r="AV31" s="48">
        <f>'Adj Model'!AV76*$B$12*0.67</f>
        <v>1127413.6252119818</v>
      </c>
      <c r="AW31" s="48">
        <f>'Adj Model'!AW76*$B$12*0.67</f>
        <v>1214224.4743533041</v>
      </c>
      <c r="AX31" s="48">
        <f>'Adj Model'!AX76*$B$12*0.67</f>
        <v>1307719.7588785088</v>
      </c>
      <c r="AY31" s="48">
        <f>'Adj Model'!AY76*$B$12*0.67</f>
        <v>1408414.1803121539</v>
      </c>
      <c r="AZ31" s="48">
        <f>'Adj Model'!AZ76*$B$12*0.67</f>
        <v>1516862.07219619</v>
      </c>
      <c r="BA31" s="48">
        <f>'Adj Model'!BA76*$B$12*0.67</f>
        <v>1633660.4517552962</v>
      </c>
    </row>
    <row r="32" spans="1:53" x14ac:dyDescent="0.2">
      <c r="A32" s="7" t="s">
        <v>186</v>
      </c>
      <c r="D32" s="70">
        <f>SUM(D26:D31)</f>
        <v>8093.75</v>
      </c>
      <c r="E32" s="70">
        <f t="shared" ref="E32:T32" si="3">SUM(E26:E31)</f>
        <v>400351.73375000001</v>
      </c>
      <c r="F32" s="70">
        <f t="shared" si="3"/>
        <v>452826.9786875</v>
      </c>
      <c r="G32" s="70">
        <f t="shared" si="3"/>
        <v>484419.31707087503</v>
      </c>
      <c r="H32" s="70">
        <f t="shared" si="3"/>
        <v>518527.8382497417</v>
      </c>
      <c r="I32" s="70">
        <f t="shared" si="3"/>
        <v>555350.46693635173</v>
      </c>
      <c r="J32" s="70">
        <f t="shared" si="3"/>
        <v>595100.5769776497</v>
      </c>
      <c r="K32" s="70">
        <f t="shared" si="3"/>
        <v>638008.19138523762</v>
      </c>
      <c r="L32" s="70">
        <f t="shared" si="3"/>
        <v>684321.27528997499</v>
      </c>
      <c r="M32" s="70">
        <f t="shared" si="3"/>
        <v>734307.12900253106</v>
      </c>
      <c r="N32" s="70">
        <f t="shared" si="3"/>
        <v>788253.88891546533</v>
      </c>
      <c r="O32" s="70">
        <f t="shared" si="3"/>
        <v>846472.14457943221</v>
      </c>
      <c r="P32" s="70">
        <f t="shared" si="3"/>
        <v>909296.6809291488</v>
      </c>
      <c r="Q32" s="70">
        <f t="shared" si="3"/>
        <v>977088.35532739828</v>
      </c>
      <c r="R32" s="70">
        <f t="shared" si="3"/>
        <v>2241611.1198413987</v>
      </c>
      <c r="S32" s="70">
        <f t="shared" si="3"/>
        <v>4185241.5270167091</v>
      </c>
      <c r="T32" s="70">
        <f t="shared" si="3"/>
        <v>2622941.8538682703</v>
      </c>
      <c r="U32" s="70">
        <f t="shared" ref="U32:AJ32" si="4">SUM(U26:U31)</f>
        <v>2137105.4488470703</v>
      </c>
      <c r="V32" s="70">
        <f t="shared" si="4"/>
        <v>2289332.6459319075</v>
      </c>
      <c r="W32" s="70">
        <f t="shared" si="4"/>
        <v>2446492.2641954748</v>
      </c>
      <c r="X32" s="70">
        <f t="shared" si="4"/>
        <v>2612050.7902097041</v>
      </c>
      <c r="Y32" s="70">
        <f t="shared" si="4"/>
        <v>2786949.0281242207</v>
      </c>
      <c r="Z32" s="70">
        <f t="shared" si="4"/>
        <v>2972057.7344062491</v>
      </c>
      <c r="AA32" s="70">
        <f t="shared" si="4"/>
        <v>3168276.2239328125</v>
      </c>
      <c r="AB32" s="70">
        <f t="shared" si="4"/>
        <v>3376548.7746987119</v>
      </c>
      <c r="AC32" s="70">
        <f t="shared" si="4"/>
        <v>3597872.6150548724</v>
      </c>
      <c r="AD32" s="70">
        <f t="shared" si="4"/>
        <v>3833304.8888350818</v>
      </c>
      <c r="AE32" s="70">
        <f t="shared" si="4"/>
        <v>4083969.5995256761</v>
      </c>
      <c r="AF32" s="70">
        <f t="shared" si="4"/>
        <v>4351064.7230574824</v>
      </c>
      <c r="AG32" s="70">
        <f t="shared" si="4"/>
        <v>4635869.5706184879</v>
      </c>
      <c r="AH32" s="70">
        <f t="shared" si="4"/>
        <v>4939752.4667095095</v>
      </c>
      <c r="AI32" s="70">
        <f t="shared" si="4"/>
        <v>5264178.804239681</v>
      </c>
      <c r="AJ32" s="70">
        <f t="shared" si="4"/>
        <v>5610719.5374135198</v>
      </c>
      <c r="AK32" s="70">
        <f t="shared" ref="AK32:AZ32" si="5">SUM(AK26:AK31)</f>
        <v>5981060.1730816998</v>
      </c>
      <c r="AL32" s="70">
        <f t="shared" si="5"/>
        <v>6377010.3218759876</v>
      </c>
      <c r="AM32" s="70">
        <f t="shared" si="5"/>
        <v>6800513.8717504507</v>
      </c>
      <c r="AN32" s="70">
        <f t="shared" si="5"/>
        <v>7253659.8484638548</v>
      </c>
      <c r="AO32" s="70">
        <f t="shared" si="5"/>
        <v>7872676.6822667615</v>
      </c>
      <c r="AP32" s="70">
        <f t="shared" si="5"/>
        <v>8475545.4236948621</v>
      </c>
      <c r="AQ32" s="70">
        <f t="shared" si="5"/>
        <v>9035136.3543735482</v>
      </c>
      <c r="AR32" s="70">
        <f t="shared" si="5"/>
        <v>9623263.8975767139</v>
      </c>
      <c r="AS32" s="70">
        <f t="shared" si="5"/>
        <v>10252636.649078492</v>
      </c>
      <c r="AT32" s="70">
        <f t="shared" si="5"/>
        <v>10927757.057778498</v>
      </c>
      <c r="AU32" s="70">
        <f t="shared" si="5"/>
        <v>11652271.47037147</v>
      </c>
      <c r="AV32" s="70">
        <f t="shared" si="5"/>
        <v>12429948.580942662</v>
      </c>
      <c r="AW32" s="70">
        <f t="shared" si="5"/>
        <v>13264824.528047044</v>
      </c>
      <c r="AX32" s="70">
        <f t="shared" si="5"/>
        <v>14161241.332369806</v>
      </c>
      <c r="AY32" s="70">
        <f t="shared" si="5"/>
        <v>15123872.716232609</v>
      </c>
      <c r="AZ32" s="70">
        <f t="shared" si="5"/>
        <v>16157749.970095469</v>
      </c>
      <c r="BA32" s="70">
        <f>SUM(BA26:BA31)</f>
        <v>17268289.548436452</v>
      </c>
    </row>
    <row r="34" spans="1:53" x14ac:dyDescent="0.2">
      <c r="A34" s="7" t="s">
        <v>187</v>
      </c>
      <c r="B34" s="7"/>
      <c r="C34" s="7"/>
      <c r="D34" s="70">
        <f>D21+D32</f>
        <v>-7366906.25</v>
      </c>
      <c r="E34" s="70">
        <f t="shared" ref="E34:T34" si="6">E21+E32</f>
        <v>400351.73375000001</v>
      </c>
      <c r="F34" s="70">
        <f t="shared" si="6"/>
        <v>452826.9786875</v>
      </c>
      <c r="G34" s="70">
        <f t="shared" si="6"/>
        <v>484419.31707087503</v>
      </c>
      <c r="H34" s="70">
        <f t="shared" si="6"/>
        <v>518527.8382497417</v>
      </c>
      <c r="I34" s="70">
        <f t="shared" si="6"/>
        <v>555350.46693635173</v>
      </c>
      <c r="J34" s="70">
        <f t="shared" si="6"/>
        <v>595100.5769776497</v>
      </c>
      <c r="K34" s="70">
        <f t="shared" si="6"/>
        <v>638008.19138523762</v>
      </c>
      <c r="L34" s="70">
        <f t="shared" si="6"/>
        <v>684321.27528997499</v>
      </c>
      <c r="M34" s="70">
        <f t="shared" si="6"/>
        <v>734307.12900253106</v>
      </c>
      <c r="N34" s="70">
        <f t="shared" si="6"/>
        <v>788253.88891546533</v>
      </c>
      <c r="O34" s="70">
        <f t="shared" si="6"/>
        <v>846472.14457943221</v>
      </c>
      <c r="P34" s="70">
        <f t="shared" si="6"/>
        <v>909296.6809291488</v>
      </c>
      <c r="Q34" s="70">
        <f t="shared" si="6"/>
        <v>977088.35532739828</v>
      </c>
      <c r="R34" s="70">
        <f t="shared" si="6"/>
        <v>2241611.1198413987</v>
      </c>
      <c r="S34" s="70">
        <f t="shared" si="6"/>
        <v>4185241.5270167091</v>
      </c>
      <c r="T34" s="70">
        <f t="shared" si="6"/>
        <v>2622941.8538682703</v>
      </c>
      <c r="U34" s="70">
        <f t="shared" ref="U34:AJ34" si="7">U21+U32</f>
        <v>2137105.4488470703</v>
      </c>
      <c r="V34" s="70">
        <f t="shared" si="7"/>
        <v>2289332.6459319075</v>
      </c>
      <c r="W34" s="70">
        <f t="shared" si="7"/>
        <v>2446492.2641954748</v>
      </c>
      <c r="X34" s="70">
        <f t="shared" si="7"/>
        <v>2612050.7902097041</v>
      </c>
      <c r="Y34" s="70">
        <f t="shared" si="7"/>
        <v>2786949.0281242207</v>
      </c>
      <c r="Z34" s="70">
        <f t="shared" si="7"/>
        <v>2972057.7344062491</v>
      </c>
      <c r="AA34" s="70">
        <f t="shared" si="7"/>
        <v>3168276.2239328125</v>
      </c>
      <c r="AB34" s="70">
        <f t="shared" si="7"/>
        <v>3376548.7746987119</v>
      </c>
      <c r="AC34" s="70">
        <f t="shared" si="7"/>
        <v>3597872.6150548724</v>
      </c>
      <c r="AD34" s="70">
        <f t="shared" si="7"/>
        <v>3833304.8888350818</v>
      </c>
      <c r="AE34" s="70">
        <f t="shared" si="7"/>
        <v>4083969.5995256761</v>
      </c>
      <c r="AF34" s="70">
        <f t="shared" si="7"/>
        <v>4351064.7230574824</v>
      </c>
      <c r="AG34" s="70">
        <f t="shared" si="7"/>
        <v>4635869.5706184879</v>
      </c>
      <c r="AH34" s="70">
        <f t="shared" si="7"/>
        <v>4939752.4667095095</v>
      </c>
      <c r="AI34" s="70">
        <f t="shared" si="7"/>
        <v>5264178.804239681</v>
      </c>
      <c r="AJ34" s="70">
        <f t="shared" si="7"/>
        <v>5610719.5374135198</v>
      </c>
      <c r="AK34" s="70">
        <f t="shared" ref="AK34:AZ34" si="8">AK21+AK32</f>
        <v>5981060.1730816998</v>
      </c>
      <c r="AL34" s="70">
        <f t="shared" si="8"/>
        <v>6377010.3218759876</v>
      </c>
      <c r="AM34" s="70">
        <f t="shared" si="8"/>
        <v>6800513.8717504507</v>
      </c>
      <c r="AN34" s="70">
        <f t="shared" si="8"/>
        <v>7253659.8484638548</v>
      </c>
      <c r="AO34" s="70">
        <f t="shared" si="8"/>
        <v>7872676.6822667615</v>
      </c>
      <c r="AP34" s="70">
        <f t="shared" si="8"/>
        <v>8475545.4236948621</v>
      </c>
      <c r="AQ34" s="70">
        <f t="shared" si="8"/>
        <v>9035136.3543735482</v>
      </c>
      <c r="AR34" s="70">
        <f t="shared" si="8"/>
        <v>9623263.8975767139</v>
      </c>
      <c r="AS34" s="70">
        <f t="shared" si="8"/>
        <v>10252636.649078492</v>
      </c>
      <c r="AT34" s="70">
        <f t="shared" si="8"/>
        <v>10927757.057778498</v>
      </c>
      <c r="AU34" s="70">
        <f t="shared" si="8"/>
        <v>11652271.47037147</v>
      </c>
      <c r="AV34" s="70">
        <f t="shared" si="8"/>
        <v>12429948.580942662</v>
      </c>
      <c r="AW34" s="70">
        <f t="shared" si="8"/>
        <v>13264824.528047044</v>
      </c>
      <c r="AX34" s="70">
        <f t="shared" si="8"/>
        <v>14161241.332369806</v>
      </c>
      <c r="AY34" s="70">
        <f t="shared" si="8"/>
        <v>15123872.716232609</v>
      </c>
      <c r="AZ34" s="70">
        <f t="shared" si="8"/>
        <v>16157749.970095469</v>
      </c>
      <c r="BA34" s="70">
        <f>BA21+BA32</f>
        <v>17268289.548436452</v>
      </c>
    </row>
    <row r="36" spans="1:53" x14ac:dyDescent="0.2">
      <c r="A36" s="7" t="s">
        <v>188</v>
      </c>
      <c r="B36" s="33">
        <f>IRR(D34:BA34,0.1)</f>
        <v>0.14463406440467108</v>
      </c>
    </row>
  </sheetData>
  <customSheetViews>
    <customSheetView guid="{45E2C907-21A9-4DE3-B8AC-8D4C138C71A5}" topLeftCell="A31">
      <pageMargins left="0.75" right="0.75" top="1" bottom="1" header="0.5" footer="0.5"/>
      <pageSetup orientation="portrait" r:id="rId1"/>
      <headerFooter alignWithMargins="0">
        <oddFooter>&amp;LMcClelland &amp;&amp; Associates&amp;C&amp;F  &amp;D  &amp;T&amp;RPage &amp;P of &amp;N</oddFooter>
      </headerFooter>
    </customSheetView>
    <customSheetView guid="{4845B082-CC6D-40B1-A19C-F7A3857AE7CF}" topLeftCell="A31">
      <pageMargins left="0.75" right="0.75" top="1" bottom="1" header="0.5" footer="0.5"/>
      <pageSetup orientation="portrait" r:id="rId2"/>
      <headerFooter alignWithMargins="0">
        <oddFooter>&amp;LMcClelland &amp;&amp; Associates&amp;C&amp;F  &amp;D  &amp;T&amp;RPage &amp;P of &amp;N</oddFooter>
      </headerFooter>
    </customSheetView>
    <customSheetView guid="{1C4F1D44-A361-480C-ADF0-4C9869BE30FD}" topLeftCell="A31">
      <pageMargins left="0.75" right="0.75" top="1" bottom="1" header="0.5" footer="0.5"/>
      <pageSetup orientation="portrait" r:id="rId3"/>
      <headerFooter alignWithMargins="0">
        <oddFooter>&amp;LMcClelland &amp;&amp; Associates&amp;C&amp;F  &amp;D  &amp;T&amp;RPage &amp;P of &amp;N</oddFooter>
      </headerFooter>
    </customSheetView>
  </customSheetViews>
  <phoneticPr fontId="10" type="noConversion"/>
  <pageMargins left="0.75" right="0.75" top="1" bottom="1" header="0.5" footer="0.5"/>
  <pageSetup orientation="portrait" r:id="rId4"/>
  <headerFooter alignWithMargins="0">
    <oddFooter>&amp;LMcClelland &amp;&amp; Associates&amp;C&amp;F  &amp;D  &amp;T&amp;RPage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Sheet1</vt:lpstr>
      <vt:lpstr>Adj Model</vt:lpstr>
      <vt:lpstr>Fin Stmnts</vt:lpstr>
      <vt:lpstr>Cost of Cap</vt:lpstr>
      <vt:lpstr>Ln &amp; Int Sch</vt:lpstr>
      <vt:lpstr>Cost of Pwr</vt:lpstr>
      <vt:lpstr>Alpine</vt:lpstr>
      <vt:lpstr>'Adj Model'!Print_Area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2010-05-20T19:06:57Z</dcterms:created>
  <dcterms:modified xsi:type="dcterms:W3CDTF">2020-05-12T14:26:09Z</dcterms:modified>
</cp:coreProperties>
</file>