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cuitykp-my.sharepoint.com/personal/yadaavi_acuitykp_com/Documents/Desktop/"/>
    </mc:Choice>
  </mc:AlternateContent>
  <xr:revisionPtr revIDLastSave="68" documentId="13_ncr:1_{B388720B-7C81-4337-8B4A-4F843B00806C}" xr6:coauthVersionLast="47" xr6:coauthVersionMax="47" xr10:uidLastSave="{F2BD2887-341A-48CC-8910-162502197AAE}"/>
  <bookViews>
    <workbookView xWindow="-108" yWindow="-108" windowWidth="23256" windowHeight="12456" xr2:uid="{00000000-000D-0000-FFFF-FFFF00000000}"/>
  </bookViews>
  <sheets>
    <sheet name="FY2025-26" sheetId="2" r:id="rId1"/>
    <sheet name="FY2024-25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N15" i="2"/>
  <c r="N17" i="2"/>
  <c r="E4" i="2"/>
  <c r="M13" i="3" l="1"/>
  <c r="M14" i="3" s="1"/>
  <c r="M16" i="3" s="1"/>
  <c r="M18" i="3" s="1"/>
  <c r="N13" i="2"/>
  <c r="N14" i="2" s="1"/>
  <c r="N16" i="2" s="1"/>
  <c r="N18" i="2" s="1"/>
  <c r="E13" i="2" s="1"/>
  <c r="E3" i="3"/>
  <c r="E8" i="3" s="1"/>
  <c r="B32" i="3"/>
  <c r="B31" i="3"/>
  <c r="B30" i="3"/>
  <c r="B29" i="3"/>
  <c r="B28" i="3"/>
  <c r="B25" i="3"/>
  <c r="B24" i="3"/>
  <c r="B23" i="3"/>
  <c r="E14" i="3"/>
  <c r="M7" i="3"/>
  <c r="L7" i="3"/>
  <c r="M6" i="3"/>
  <c r="M5" i="3"/>
  <c r="N4" i="3"/>
  <c r="N10" i="3" s="1"/>
  <c r="F10" i="3" s="1"/>
  <c r="M4" i="3"/>
  <c r="M3" i="3"/>
  <c r="I9" i="2"/>
  <c r="B23" i="2"/>
  <c r="B24" i="2"/>
  <c r="B25" i="2"/>
  <c r="B28" i="2"/>
  <c r="B29" i="2"/>
  <c r="B30" i="2"/>
  <c r="B31" i="2"/>
  <c r="B32" i="2"/>
  <c r="B33" i="2"/>
  <c r="O4" i="2"/>
  <c r="N6" i="2"/>
  <c r="N5" i="2"/>
  <c r="N4" i="2"/>
  <c r="N3" i="2"/>
  <c r="M7" i="2"/>
  <c r="I9" i="3" l="1"/>
  <c r="E4" i="3"/>
  <c r="E5" i="3" s="1"/>
  <c r="E7" i="3"/>
  <c r="I10" i="3"/>
  <c r="L8" i="3" s="1"/>
  <c r="L10" i="3" s="1"/>
  <c r="F3" i="3"/>
  <c r="F8" i="3" s="1"/>
  <c r="I5" i="3" s="1"/>
  <c r="I11" i="3"/>
  <c r="I12" i="3" s="1"/>
  <c r="F4" i="3"/>
  <c r="N7" i="2"/>
  <c r="O7" i="2" s="1"/>
  <c r="O10" i="2" s="1"/>
  <c r="F10" i="2" s="1"/>
  <c r="F4" i="2"/>
  <c r="E14" i="2"/>
  <c r="I11" i="2"/>
  <c r="I12" i="2" s="1"/>
  <c r="I10" i="2"/>
  <c r="E7" i="2"/>
  <c r="F3" i="2"/>
  <c r="I5" i="2" s="1"/>
  <c r="J5" i="2" s="1"/>
  <c r="F5" i="3" l="1"/>
  <c r="F7" i="3"/>
  <c r="I4" i="3" s="1"/>
  <c r="I14" i="3"/>
  <c r="M8" i="3"/>
  <c r="M10" i="3" s="1"/>
  <c r="E10" i="3" s="1"/>
  <c r="I13" i="3"/>
  <c r="I3" i="3"/>
  <c r="F12" i="3"/>
  <c r="F19" i="3" s="1"/>
  <c r="I19" i="3" s="1"/>
  <c r="I14" i="2"/>
  <c r="M8" i="2"/>
  <c r="N8" i="2" s="1"/>
  <c r="I13" i="2"/>
  <c r="E5" i="2"/>
  <c r="I3" i="2"/>
  <c r="J3" i="2" s="1"/>
  <c r="F5" i="2"/>
  <c r="F7" i="2"/>
  <c r="I4" i="2" s="1"/>
  <c r="J4" i="2" s="1"/>
  <c r="I15" i="3" l="1"/>
  <c r="E9" i="3" s="1"/>
  <c r="E12" i="3" s="1"/>
  <c r="E19" i="3" s="1"/>
  <c r="E24" i="3" s="1"/>
  <c r="F24" i="3" s="1"/>
  <c r="E27" i="3"/>
  <c r="F27" i="3" s="1"/>
  <c r="I15" i="2"/>
  <c r="E9" i="2" s="1"/>
  <c r="E23" i="3"/>
  <c r="F23" i="3" s="1"/>
  <c r="E22" i="3"/>
  <c r="F22" i="3" s="1"/>
  <c r="C32" i="3"/>
  <c r="E32" i="3" s="1"/>
  <c r="F32" i="3" s="1"/>
  <c r="E31" i="3"/>
  <c r="F31" i="3" s="1"/>
  <c r="E29" i="3"/>
  <c r="F29" i="3" s="1"/>
  <c r="E30" i="3"/>
  <c r="F30" i="3" s="1"/>
  <c r="E28" i="3"/>
  <c r="F28" i="3" s="1"/>
  <c r="I18" i="3"/>
  <c r="N10" i="2"/>
  <c r="E10" i="2" s="1"/>
  <c r="M10" i="2"/>
  <c r="F12" i="2"/>
  <c r="F19" i="2" s="1"/>
  <c r="C25" i="3" l="1"/>
  <c r="E25" i="3" s="1"/>
  <c r="F25" i="3" s="1"/>
  <c r="F21" i="3" s="1"/>
  <c r="I21" i="3" s="1"/>
  <c r="E12" i="2"/>
  <c r="E19" i="2" s="1"/>
  <c r="E23" i="2" s="1"/>
  <c r="F23" i="2" s="1"/>
  <c r="F26" i="3"/>
  <c r="E28" i="2"/>
  <c r="F28" i="2" s="1"/>
  <c r="E32" i="2"/>
  <c r="F32" i="2" s="1"/>
  <c r="E27" i="2"/>
  <c r="F27" i="2" s="1"/>
  <c r="E30" i="2"/>
  <c r="F30" i="2" s="1"/>
  <c r="E31" i="2"/>
  <c r="F31" i="2" s="1"/>
  <c r="E29" i="2"/>
  <c r="F29" i="2" s="1"/>
  <c r="C33" i="2"/>
  <c r="E33" i="2" s="1"/>
  <c r="I18" i="2"/>
  <c r="I19" i="2"/>
  <c r="I6" i="3" l="1"/>
  <c r="I7" i="3" s="1"/>
  <c r="H7" i="3" s="1"/>
  <c r="I26" i="3"/>
  <c r="E22" i="2"/>
  <c r="F22" i="2" s="1"/>
  <c r="C25" i="2"/>
  <c r="E25" i="2" s="1"/>
  <c r="F25" i="2" s="1"/>
  <c r="E24" i="2"/>
  <c r="F24" i="2" s="1"/>
  <c r="I27" i="3"/>
  <c r="I28" i="3" s="1"/>
  <c r="I22" i="3"/>
  <c r="I23" i="3" s="1"/>
  <c r="I24" i="3" s="1"/>
  <c r="F33" i="2"/>
  <c r="F26" i="2" l="1"/>
  <c r="I26" i="2" s="1"/>
  <c r="I27" i="2" s="1"/>
  <c r="I28" i="2" s="1"/>
  <c r="F21" i="2"/>
  <c r="I21" i="2" s="1"/>
  <c r="I22" i="2" s="1"/>
  <c r="I23" i="2" s="1"/>
  <c r="I29" i="3"/>
  <c r="I31" i="3"/>
  <c r="I6" i="2" l="1"/>
  <c r="M26" i="2"/>
  <c r="I29" i="2"/>
  <c r="I24" i="2"/>
  <c r="M21" i="2"/>
  <c r="I31" i="2"/>
  <c r="I7" i="2" l="1"/>
  <c r="J7" i="2" s="1"/>
  <c r="J9" i="2" s="1"/>
  <c r="J6" i="2"/>
</calcChain>
</file>

<file path=xl/sharedStrings.xml><?xml version="1.0" encoding="utf-8"?>
<sst xmlns="http://schemas.openxmlformats.org/spreadsheetml/2006/main" count="153" uniqueCount="73">
  <si>
    <t>CTC</t>
  </si>
  <si>
    <t>Bonus</t>
  </si>
  <si>
    <t>HRA</t>
  </si>
  <si>
    <t>Basic</t>
  </si>
  <si>
    <t>Standard Deduction</t>
  </si>
  <si>
    <t>Total CTC</t>
  </si>
  <si>
    <t>Old Regime</t>
  </si>
  <si>
    <t>New Regime</t>
  </si>
  <si>
    <t>Particulars</t>
  </si>
  <si>
    <t>80CCD (1B) - NPS</t>
  </si>
  <si>
    <t>80C - EPF, LIC</t>
  </si>
  <si>
    <t>Net CTC</t>
  </si>
  <si>
    <t>Net Taxable Income</t>
  </si>
  <si>
    <t>Slab</t>
  </si>
  <si>
    <t>Rate</t>
  </si>
  <si>
    <t>80D - Self &amp; Parents</t>
  </si>
  <si>
    <t>Section 10 Exemption</t>
  </si>
  <si>
    <t>80TTA - Interest</t>
  </si>
  <si>
    <t>PGBP/Other Sources/Capital Gain</t>
  </si>
  <si>
    <t>EPF - Employer Share</t>
  </si>
  <si>
    <t>NPS - Employer Share</t>
  </si>
  <si>
    <t>Other Allowance</t>
  </si>
  <si>
    <t>Section 16</t>
  </si>
  <si>
    <t>HRA Received</t>
  </si>
  <si>
    <t>Rent Paid minus 10% of Basic</t>
  </si>
  <si>
    <t>HRA Exempt</t>
  </si>
  <si>
    <t>Basic's 50% for Metro city</t>
  </si>
  <si>
    <t>Salary</t>
  </si>
  <si>
    <t>EPF Employer &amp; Employee</t>
  </si>
  <si>
    <t>NPS Employer</t>
  </si>
  <si>
    <t>TDS</t>
  </si>
  <si>
    <t>15X</t>
  </si>
  <si>
    <t>20X</t>
  </si>
  <si>
    <t>House Property (Let Out)</t>
  </si>
  <si>
    <t>Slab Increase</t>
  </si>
  <si>
    <t>Practical Rent @20% of CTC</t>
  </si>
  <si>
    <t>Take Home Salary</t>
  </si>
  <si>
    <t>Term Insurance</t>
  </si>
  <si>
    <t>Effective Tax Rate</t>
  </si>
  <si>
    <t>Other Allowances</t>
  </si>
  <si>
    <t>Leave Travel Allowance</t>
  </si>
  <si>
    <t>Telephone Reimbursement</t>
  </si>
  <si>
    <t>Meal Coupon</t>
  </si>
  <si>
    <t>Books &amp; Periodicals</t>
  </si>
  <si>
    <t>Car Running &amp; Maintainance Reimbursement</t>
  </si>
  <si>
    <t>Amount</t>
  </si>
  <si>
    <t>Professional Education Reimbursement @10%</t>
  </si>
  <si>
    <t>Total</t>
  </si>
  <si>
    <t>Benefit in Old Regime</t>
  </si>
  <si>
    <t>Not a Substaintial amount to take Risk</t>
  </si>
  <si>
    <t>Tax Benefit in this Budget - Old Regime</t>
  </si>
  <si>
    <t>Tax Benefit in this Budget - New Regime</t>
  </si>
  <si>
    <t>Change as your CTC</t>
  </si>
  <si>
    <t>Income Tax - Old Regime</t>
  </si>
  <si>
    <t>Tax</t>
  </si>
  <si>
    <t>Income Tax - New Regime</t>
  </si>
  <si>
    <t>Edu. &amp; Health cess @4%</t>
  </si>
  <si>
    <t>Substaintial amount but require proper document for HRA &amp; Other Allowances</t>
  </si>
  <si>
    <t>House Property</t>
  </si>
  <si>
    <t>Rental Income per month</t>
  </si>
  <si>
    <t>Less: Standard Deduction</t>
  </si>
  <si>
    <t>Less: Muncipal taxes</t>
  </si>
  <si>
    <t>Net Rental Income</t>
  </si>
  <si>
    <t>Less: Interest on Housing Loan</t>
  </si>
  <si>
    <t>Net Income from House Property</t>
  </si>
  <si>
    <t>Rebate cases are not covered in this.</t>
  </si>
  <si>
    <t>Surcharge cases are not covered in this, above 50 lacs</t>
  </si>
  <si>
    <t>1600 CC Rs. 1,800 or 2,400</t>
  </si>
  <si>
    <t>Only yellow cell require update</t>
  </si>
  <si>
    <t>Benefit (Loss) in Old Regime</t>
  </si>
  <si>
    <t>Monthly</t>
  </si>
  <si>
    <t>Net Pay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</si>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</sst>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9" fontId="0" fillId="0" borderId="0" xfId="0" applyNumberFormat="1"/>
    <xf numFmtId="0" fontId="0" fillId="0" borderId="7" xfId="0" applyBorder="1"/>
    <xf numFmtId="164" fontId="0" fillId="0" borderId="8" xfId="0" applyNumberFormat="1" applyBorder="1"/>
    <xf numFmtId="9" fontId="0" fillId="0" borderId="8" xfId="0" applyNumberFormat="1" applyBorder="1"/>
    <xf numFmtId="0" fontId="3" fillId="0" borderId="2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164" fontId="0" fillId="0" borderId="6" xfId="0" applyNumberFormat="1" applyBorder="1"/>
    <xf numFmtId="0" fontId="3" fillId="0" borderId="5" xfId="0" applyFont="1" applyBorder="1"/>
    <xf numFmtId="164" fontId="3" fillId="0" borderId="6" xfId="1" applyNumberFormat="1" applyFont="1" applyBorder="1"/>
    <xf numFmtId="164" fontId="3" fillId="0" borderId="6" xfId="0" applyNumberFormat="1" applyFont="1" applyBorder="1"/>
    <xf numFmtId="0" fontId="0" fillId="0" borderId="8" xfId="0" applyBorder="1"/>
    <xf numFmtId="164" fontId="0" fillId="0" borderId="11" xfId="1" applyNumberFormat="1" applyFont="1" applyBorder="1"/>
    <xf numFmtId="164" fontId="3" fillId="0" borderId="11" xfId="1" applyNumberFormat="1" applyFont="1" applyBorder="1"/>
    <xf numFmtId="164" fontId="0" fillId="0" borderId="11" xfId="0" applyNumberFormat="1" applyBorder="1"/>
    <xf numFmtId="164" fontId="3" fillId="0" borderId="11" xfId="0" applyNumberFormat="1" applyFont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0" fontId="3" fillId="2" borderId="15" xfId="0" applyFont="1" applyFill="1" applyBorder="1"/>
    <xf numFmtId="0" fontId="3" fillId="2" borderId="7" xfId="0" applyFont="1" applyFill="1" applyBorder="1"/>
    <xf numFmtId="0" fontId="0" fillId="2" borderId="8" xfId="0" applyFill="1" applyBorder="1"/>
    <xf numFmtId="164" fontId="3" fillId="2" borderId="12" xfId="0" applyNumberFormat="1" applyFont="1" applyFill="1" applyBorder="1"/>
    <xf numFmtId="164" fontId="3" fillId="2" borderId="9" xfId="0" applyNumberFormat="1" applyFont="1" applyFill="1" applyBorder="1"/>
    <xf numFmtId="164" fontId="3" fillId="0" borderId="10" xfId="1" applyNumberFormat="1" applyFont="1" applyBorder="1"/>
    <xf numFmtId="164" fontId="3" fillId="0" borderId="4" xfId="1" applyNumberFormat="1" applyFont="1" applyBorder="1"/>
    <xf numFmtId="164" fontId="0" fillId="0" borderId="12" xfId="0" applyNumberFormat="1" applyBorder="1"/>
    <xf numFmtId="164" fontId="0" fillId="0" borderId="9" xfId="0" applyNumberFormat="1" applyBorder="1"/>
    <xf numFmtId="0" fontId="3" fillId="2" borderId="5" xfId="0" applyFont="1" applyFill="1" applyBorder="1"/>
    <xf numFmtId="0" fontId="3" fillId="2" borderId="0" xfId="0" applyFont="1" applyFill="1"/>
    <xf numFmtId="164" fontId="3" fillId="2" borderId="11" xfId="0" applyNumberFormat="1" applyFont="1" applyFill="1" applyBorder="1"/>
    <xf numFmtId="164" fontId="3" fillId="2" borderId="6" xfId="0" applyNumberFormat="1" applyFont="1" applyFill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164" fontId="0" fillId="0" borderId="9" xfId="1" applyNumberFormat="1" applyFont="1" applyBorder="1"/>
    <xf numFmtId="164" fontId="3" fillId="2" borderId="9" xfId="1" applyNumberFormat="1" applyFont="1" applyFill="1" applyBorder="1"/>
    <xf numFmtId="164" fontId="3" fillId="2" borderId="4" xfId="0" applyNumberFormat="1" applyFont="1" applyFill="1" applyBorder="1"/>
    <xf numFmtId="0" fontId="0" fillId="4" borderId="2" xfId="0" applyFill="1" applyBorder="1"/>
    <xf numFmtId="164" fontId="0" fillId="4" borderId="4" xfId="0" applyNumberFormat="1" applyFill="1" applyBorder="1"/>
    <xf numFmtId="0" fontId="0" fillId="4" borderId="7" xfId="0" applyFill="1" applyBorder="1"/>
    <xf numFmtId="164" fontId="0" fillId="4" borderId="9" xfId="0" applyNumberFormat="1" applyFill="1" applyBorder="1"/>
    <xf numFmtId="164" fontId="3" fillId="0" borderId="0" xfId="0" applyNumberFormat="1" applyFont="1"/>
    <xf numFmtId="164" fontId="0" fillId="0" borderId="0" xfId="1" applyNumberFormat="1" applyFont="1"/>
    <xf numFmtId="0" fontId="0" fillId="4" borderId="0" xfId="0" applyFill="1"/>
    <xf numFmtId="164" fontId="0" fillId="4" borderId="0" xfId="0" applyNumberFormat="1" applyFill="1"/>
    <xf numFmtId="0" fontId="4" fillId="4" borderId="5" xfId="0" applyFont="1" applyFill="1" applyBorder="1"/>
    <xf numFmtId="0" fontId="4" fillId="4" borderId="0" xfId="0" applyFont="1" applyFill="1"/>
    <xf numFmtId="164" fontId="4" fillId="4" borderId="11" xfId="0" applyNumberFormat="1" applyFont="1" applyFill="1" applyBorder="1"/>
    <xf numFmtId="164" fontId="4" fillId="4" borderId="6" xfId="0" applyNumberFormat="1" applyFont="1" applyFill="1" applyBorder="1"/>
    <xf numFmtId="0" fontId="3" fillId="2" borderId="4" xfId="0" applyFont="1" applyFill="1" applyBorder="1"/>
    <xf numFmtId="164" fontId="3" fillId="2" borderId="7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164" fontId="3" fillId="2" borderId="1" xfId="1" applyNumberFormat="1" applyFont="1" applyFill="1" applyBorder="1"/>
    <xf numFmtId="0" fontId="0" fillId="4" borderId="5" xfId="0" applyFill="1" applyBorder="1"/>
    <xf numFmtId="164" fontId="0" fillId="4" borderId="11" xfId="0" applyNumberFormat="1" applyFill="1" applyBorder="1"/>
    <xf numFmtId="0" fontId="3" fillId="4" borderId="2" xfId="0" applyFont="1" applyFill="1" applyBorder="1"/>
    <xf numFmtId="164" fontId="3" fillId="4" borderId="4" xfId="0" applyNumberFormat="1" applyFont="1" applyFill="1" applyBorder="1"/>
    <xf numFmtId="0" fontId="0" fillId="4" borderId="9" xfId="0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right"/>
    </xf>
    <xf numFmtId="164" fontId="0" fillId="3" borderId="1" xfId="1" applyNumberFormat="1" applyFont="1" applyFill="1" applyBorder="1"/>
    <xf numFmtId="165" fontId="3" fillId="2" borderId="9" xfId="2" applyNumberFormat="1" applyFont="1" applyFill="1" applyBorder="1"/>
    <xf numFmtId="0" fontId="3" fillId="2" borderId="4" xfId="0" applyFont="1" applyFill="1" applyBorder="1" applyAlignment="1">
      <alignment horizontal="center"/>
    </xf>
    <xf numFmtId="0" fontId="0" fillId="5" borderId="5" xfId="0" applyFill="1" applyBorder="1"/>
    <xf numFmtId="0" fontId="0" fillId="5" borderId="0" xfId="0" applyFill="1"/>
    <xf numFmtId="0" fontId="0" fillId="5" borderId="6" xfId="0" applyFill="1" applyBorder="1"/>
    <xf numFmtId="9" fontId="0" fillId="5" borderId="0" xfId="0" applyNumberFormat="1" applyFill="1"/>
    <xf numFmtId="0" fontId="0" fillId="5" borderId="9" xfId="0" applyFill="1" applyBorder="1"/>
    <xf numFmtId="164" fontId="0" fillId="5" borderId="6" xfId="1" applyNumberFormat="1" applyFont="1" applyFill="1" applyBorder="1"/>
    <xf numFmtId="0" fontId="3" fillId="5" borderId="7" xfId="0" applyFont="1" applyFill="1" applyBorder="1"/>
    <xf numFmtId="0" fontId="3" fillId="2" borderId="8" xfId="0" applyFont="1" applyFill="1" applyBorder="1"/>
    <xf numFmtId="0" fontId="3" fillId="5" borderId="5" xfId="0" applyFont="1" applyFill="1" applyBorder="1"/>
    <xf numFmtId="0" fontId="3" fillId="5" borderId="0" xfId="0" applyFont="1" applyFill="1"/>
    <xf numFmtId="164" fontId="3" fillId="5" borderId="6" xfId="1" applyNumberFormat="1" applyFont="1" applyFill="1" applyBorder="1"/>
    <xf numFmtId="164" fontId="0" fillId="3" borderId="0" xfId="1" applyNumberFormat="1" applyFont="1" applyFill="1" applyBorder="1"/>
    <xf numFmtId="164" fontId="0" fillId="3" borderId="6" xfId="1" applyNumberFormat="1" applyFont="1" applyFill="1" applyBorder="1"/>
    <xf numFmtId="0" fontId="3" fillId="6" borderId="0" xfId="0" applyFont="1" applyFill="1"/>
    <xf numFmtId="164" fontId="3" fillId="6" borderId="0" xfId="0" applyNumberFormat="1" applyFont="1" applyFill="1"/>
    <xf numFmtId="0" fontId="3" fillId="3" borderId="2" xfId="0" applyFont="1" applyFill="1" applyBorder="1"/>
    <xf numFmtId="0" fontId="0" fillId="3" borderId="4" xfId="0" applyFill="1" applyBorder="1"/>
    <xf numFmtId="0" fontId="3" fillId="2" borderId="3" xfId="0" applyFont="1" applyFill="1" applyBorder="1" applyAlignment="1">
      <alignment horizontal="center"/>
    </xf>
    <xf numFmtId="164" fontId="3" fillId="2" borderId="8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20F3-74D5-4769-941A-55FFCD37D9F6}">
  <dimension ref="B2:P33"/>
  <sheetViews>
    <sheetView tabSelected="1" zoomScale="85" zoomScaleNormal="85" workbookViewId="0">
      <pane ySplit="2" topLeftCell="A3" activePane="bottomLeft" state="frozen"/>
      <selection pane="bottomLeft" activeCell="G1" sqref="G1"/>
    </sheetView>
  </sheetViews>
  <sheetFormatPr defaultRowHeight="14.4" x14ac:dyDescent="0.3"/>
  <cols>
    <col min="1" max="1" width="4" customWidth="1"/>
    <col min="2" max="2" width="19.5546875" customWidth="1"/>
    <col min="3" max="3" width="13.5546875" bestFit="1" customWidth="1"/>
    <col min="5" max="6" width="13.44140625" customWidth="1"/>
    <col min="7" max="7" width="6.6640625" customWidth="1"/>
    <col min="8" max="8" width="26.5546875" bestFit="1" customWidth="1"/>
    <col min="9" max="10" width="11.6640625" bestFit="1" customWidth="1"/>
    <col min="11" max="11" width="6.6640625" customWidth="1"/>
    <col min="12" max="12" width="40.109375" bestFit="1" customWidth="1"/>
    <col min="13" max="13" width="11.6640625" bestFit="1" customWidth="1"/>
    <col min="14" max="14" width="12.21875" bestFit="1" customWidth="1"/>
    <col min="15" max="15" width="12" bestFit="1" customWidth="1"/>
    <col min="16" max="16" width="10.5546875" bestFit="1" customWidth="1"/>
  </cols>
  <sheetData>
    <row r="2" spans="2:16" x14ac:dyDescent="0.3">
      <c r="B2" s="26" t="s">
        <v>8</v>
      </c>
      <c r="C2" s="27"/>
      <c r="D2" s="27"/>
      <c r="E2" s="28" t="s">
        <v>6</v>
      </c>
      <c r="F2" s="29" t="s">
        <v>7</v>
      </c>
      <c r="H2" s="12" t="s">
        <v>36</v>
      </c>
      <c r="I2" s="93" t="s">
        <v>72</v>
      </c>
      <c r="J2" s="75" t="s">
        <v>70</v>
      </c>
      <c r="L2" s="28" t="s">
        <v>39</v>
      </c>
      <c r="M2" s="28" t="s">
        <v>45</v>
      </c>
      <c r="N2" s="28" t="s">
        <v>6</v>
      </c>
      <c r="O2" s="28" t="s">
        <v>7</v>
      </c>
    </row>
    <row r="3" spans="2:16" x14ac:dyDescent="0.3">
      <c r="B3" s="6" t="s">
        <v>0</v>
      </c>
      <c r="C3" s="71" t="s">
        <v>52</v>
      </c>
      <c r="D3" s="72"/>
      <c r="E3" s="73">
        <v>2000000</v>
      </c>
      <c r="F3" s="17">
        <f>E3</f>
        <v>2000000</v>
      </c>
      <c r="G3" s="1"/>
      <c r="H3" s="6" t="s">
        <v>27</v>
      </c>
      <c r="I3" s="1">
        <f>F3</f>
        <v>2000000</v>
      </c>
      <c r="J3" s="17">
        <f>I3/12</f>
        <v>166666.66666666666</v>
      </c>
      <c r="L3" s="61" t="s">
        <v>40</v>
      </c>
      <c r="M3" s="62">
        <v>36000</v>
      </c>
      <c r="N3" s="62">
        <f>M3</f>
        <v>36000</v>
      </c>
      <c r="O3" s="62">
        <v>0</v>
      </c>
    </row>
    <row r="4" spans="2:16" x14ac:dyDescent="0.3">
      <c r="B4" s="6" t="s">
        <v>1</v>
      </c>
      <c r="E4" s="22">
        <f>E3*14%*1</f>
        <v>280000</v>
      </c>
      <c r="F4" s="17">
        <f>E4</f>
        <v>280000</v>
      </c>
      <c r="H4" s="6" t="s">
        <v>28</v>
      </c>
      <c r="I4" s="1">
        <f>F7*2</f>
        <v>-240000</v>
      </c>
      <c r="J4" s="17">
        <f t="shared" ref="J4:J7" si="0">I4/12</f>
        <v>-20000</v>
      </c>
      <c r="L4" s="69" t="s">
        <v>41</v>
      </c>
      <c r="M4" s="70">
        <v>48000</v>
      </c>
      <c r="N4" s="70">
        <f t="shared" ref="N4:O7" si="1">M4</f>
        <v>48000</v>
      </c>
      <c r="O4" s="70">
        <f>M4</f>
        <v>48000</v>
      </c>
    </row>
    <row r="5" spans="2:16" x14ac:dyDescent="0.3">
      <c r="B5" s="18" t="s">
        <v>5</v>
      </c>
      <c r="E5" s="23">
        <f>SUM(E3:E4)</f>
        <v>2280000</v>
      </c>
      <c r="F5" s="19">
        <f>SUM(F3:F4)</f>
        <v>2280000</v>
      </c>
      <c r="H5" s="6" t="s">
        <v>29</v>
      </c>
      <c r="I5" s="1">
        <f>F8</f>
        <v>-140000</v>
      </c>
      <c r="J5" s="17">
        <f t="shared" si="0"/>
        <v>-11666.666666666666</v>
      </c>
      <c r="L5" s="61" t="s">
        <v>42</v>
      </c>
      <c r="M5" s="62">
        <v>26400</v>
      </c>
      <c r="N5" s="62">
        <f t="shared" si="1"/>
        <v>26400</v>
      </c>
      <c r="O5" s="62">
        <v>0</v>
      </c>
    </row>
    <row r="6" spans="2:16" x14ac:dyDescent="0.3">
      <c r="B6" s="11" t="s">
        <v>16</v>
      </c>
      <c r="C6" s="5"/>
      <c r="D6" s="5"/>
      <c r="E6" s="34"/>
      <c r="F6" s="35"/>
      <c r="H6" s="6" t="s">
        <v>30</v>
      </c>
      <c r="I6" s="1">
        <f>-MIN(I23,I28)</f>
        <v>-182083.20000000001</v>
      </c>
      <c r="J6" s="17">
        <f t="shared" si="0"/>
        <v>-15173.6</v>
      </c>
      <c r="L6" s="61" t="s">
        <v>43</v>
      </c>
      <c r="M6" s="62">
        <v>12000</v>
      </c>
      <c r="N6" s="62">
        <f t="shared" si="1"/>
        <v>12000</v>
      </c>
      <c r="O6" s="62">
        <v>0</v>
      </c>
    </row>
    <row r="7" spans="2:16" x14ac:dyDescent="0.3">
      <c r="B7" s="6" t="s">
        <v>19</v>
      </c>
      <c r="E7" s="24">
        <f>-E3*50%*12%</f>
        <v>-120000</v>
      </c>
      <c r="F7" s="17">
        <f>-F3*50%*12%</f>
        <v>-120000</v>
      </c>
      <c r="H7" s="60" t="s">
        <v>71</v>
      </c>
      <c r="I7" s="94">
        <f>SUM(I3:I6)</f>
        <v>1437916.8</v>
      </c>
      <c r="J7" s="33">
        <f t="shared" si="0"/>
        <v>119826.40000000001</v>
      </c>
      <c r="L7" s="61" t="s">
        <v>44</v>
      </c>
      <c r="M7" s="62">
        <f>1800*12</f>
        <v>21600</v>
      </c>
      <c r="N7" s="62">
        <f t="shared" si="1"/>
        <v>21600</v>
      </c>
      <c r="O7" s="62">
        <f t="shared" si="1"/>
        <v>21600</v>
      </c>
      <c r="P7" t="s">
        <v>67</v>
      </c>
    </row>
    <row r="8" spans="2:16" x14ac:dyDescent="0.3">
      <c r="B8" s="6" t="s">
        <v>20</v>
      </c>
      <c r="E8" s="24">
        <f>-E3*50%*10%</f>
        <v>-100000</v>
      </c>
      <c r="F8" s="17">
        <f>-E3*50%*14%</f>
        <v>-140000</v>
      </c>
      <c r="H8" s="1"/>
      <c r="I8" s="1"/>
      <c r="L8" s="61" t="s">
        <v>46</v>
      </c>
      <c r="M8" s="62">
        <f>I10*10%</f>
        <v>100000</v>
      </c>
      <c r="N8" s="70">
        <f>M8*0</f>
        <v>0</v>
      </c>
      <c r="O8" s="62">
        <v>0</v>
      </c>
    </row>
    <row r="9" spans="2:16" x14ac:dyDescent="0.3">
      <c r="B9" s="55" t="s">
        <v>2</v>
      </c>
      <c r="C9" s="56"/>
      <c r="D9" s="56"/>
      <c r="E9" s="57">
        <f>-I15*1</f>
        <v>-300000</v>
      </c>
      <c r="F9" s="58">
        <v>0</v>
      </c>
      <c r="G9" s="3"/>
      <c r="H9" s="53" t="s">
        <v>35</v>
      </c>
      <c r="I9" s="54">
        <f>E3*20%/12</f>
        <v>33333.333333333336</v>
      </c>
      <c r="J9" s="54">
        <f>J7*20%</f>
        <v>23965.280000000002</v>
      </c>
      <c r="L9" s="61"/>
      <c r="M9" s="62"/>
      <c r="N9" s="62"/>
      <c r="O9" s="62"/>
    </row>
    <row r="10" spans="2:16" x14ac:dyDescent="0.3">
      <c r="B10" s="64" t="s">
        <v>21</v>
      </c>
      <c r="C10" s="53"/>
      <c r="D10" s="53"/>
      <c r="E10" s="65">
        <f>-N10</f>
        <v>-144000</v>
      </c>
      <c r="F10" s="65">
        <f>-O10</f>
        <v>-69600</v>
      </c>
      <c r="H10" s="12" t="s">
        <v>3</v>
      </c>
      <c r="I10" s="46">
        <f>E3*50%</f>
        <v>1000000</v>
      </c>
      <c r="L10" s="28" t="s">
        <v>47</v>
      </c>
      <c r="M10" s="63">
        <f>SUM(M3:M9)</f>
        <v>244000</v>
      </c>
      <c r="N10" s="63">
        <f>SUM(N3:N9)</f>
        <v>144000</v>
      </c>
      <c r="O10" s="63">
        <f>SUM(O3:O9)</f>
        <v>69600</v>
      </c>
    </row>
    <row r="11" spans="2:16" x14ac:dyDescent="0.3">
      <c r="B11" s="8" t="s">
        <v>4</v>
      </c>
      <c r="C11" s="21" t="s">
        <v>22</v>
      </c>
      <c r="D11" s="21"/>
      <c r="E11" s="36">
        <v>-50000</v>
      </c>
      <c r="F11" s="37">
        <v>-75000</v>
      </c>
      <c r="H11" s="30" t="s">
        <v>2</v>
      </c>
      <c r="I11" s="33">
        <f>E3*25%</f>
        <v>500000</v>
      </c>
    </row>
    <row r="12" spans="2:16" x14ac:dyDescent="0.3">
      <c r="B12" s="18" t="s">
        <v>11</v>
      </c>
      <c r="E12" s="25">
        <f>SUM(E5:E11)</f>
        <v>1566000</v>
      </c>
      <c r="F12" s="20">
        <f>SUM(F5:F11)</f>
        <v>1875400</v>
      </c>
      <c r="H12" s="4" t="s">
        <v>23</v>
      </c>
      <c r="I12" s="42">
        <f>I11</f>
        <v>500000</v>
      </c>
      <c r="L12" s="12" t="s">
        <v>58</v>
      </c>
      <c r="M12" s="13"/>
      <c r="N12" s="59" t="s">
        <v>45</v>
      </c>
    </row>
    <row r="13" spans="2:16" x14ac:dyDescent="0.3">
      <c r="B13" s="38" t="s">
        <v>33</v>
      </c>
      <c r="C13" s="39"/>
      <c r="D13" s="39"/>
      <c r="E13" s="40">
        <f>N18</f>
        <v>0</v>
      </c>
      <c r="F13" s="41">
        <v>0</v>
      </c>
      <c r="H13" s="6" t="s">
        <v>24</v>
      </c>
      <c r="I13" s="43">
        <f>(I9*12)-(I10*10%)</f>
        <v>300000</v>
      </c>
      <c r="L13" s="76" t="s">
        <v>59</v>
      </c>
      <c r="M13" s="87">
        <v>0</v>
      </c>
      <c r="N13" s="81">
        <f>M13*12</f>
        <v>0</v>
      </c>
      <c r="P13" s="52"/>
    </row>
    <row r="14" spans="2:16" x14ac:dyDescent="0.3">
      <c r="B14" s="38" t="s">
        <v>18</v>
      </c>
      <c r="C14" s="39"/>
      <c r="D14" s="39"/>
      <c r="E14" s="40">
        <f>600000*0</f>
        <v>0</v>
      </c>
      <c r="F14" s="41">
        <v>0</v>
      </c>
      <c r="H14" s="8" t="s">
        <v>26</v>
      </c>
      <c r="I14" s="44">
        <f>I10*50%</f>
        <v>500000</v>
      </c>
      <c r="L14" s="76" t="s">
        <v>60</v>
      </c>
      <c r="M14" s="79">
        <v>0.3</v>
      </c>
      <c r="N14" s="81">
        <f>-N13*30%</f>
        <v>0</v>
      </c>
    </row>
    <row r="15" spans="2:16" x14ac:dyDescent="0.3">
      <c r="B15" s="6" t="s">
        <v>10</v>
      </c>
      <c r="E15" s="24">
        <v>-150000</v>
      </c>
      <c r="F15" s="17">
        <v>0</v>
      </c>
      <c r="H15" s="30" t="s">
        <v>25</v>
      </c>
      <c r="I15" s="45">
        <f>MIN(I12:I14)</f>
        <v>300000</v>
      </c>
      <c r="L15" s="76" t="s">
        <v>61</v>
      </c>
      <c r="M15" s="77"/>
      <c r="N15" s="88">
        <f>-1500*0</f>
        <v>0</v>
      </c>
    </row>
    <row r="16" spans="2:16" x14ac:dyDescent="0.3">
      <c r="B16" s="6" t="s">
        <v>9</v>
      </c>
      <c r="E16" s="24">
        <v>-50000</v>
      </c>
      <c r="F16" s="17">
        <v>0</v>
      </c>
      <c r="L16" s="84" t="s">
        <v>62</v>
      </c>
      <c r="M16" s="85"/>
      <c r="N16" s="86">
        <f>SUM(N13:N15)</f>
        <v>0</v>
      </c>
    </row>
    <row r="17" spans="2:14" x14ac:dyDescent="0.3">
      <c r="B17" s="6" t="s">
        <v>15</v>
      </c>
      <c r="E17" s="24">
        <v>-50000</v>
      </c>
      <c r="F17" s="17">
        <v>0</v>
      </c>
      <c r="H17" s="2" t="s">
        <v>37</v>
      </c>
      <c r="L17" s="76" t="s">
        <v>63</v>
      </c>
      <c r="M17" s="77"/>
      <c r="N17" s="88">
        <f>-200000*0</f>
        <v>0</v>
      </c>
    </row>
    <row r="18" spans="2:14" x14ac:dyDescent="0.3">
      <c r="B18" s="6" t="s">
        <v>17</v>
      </c>
      <c r="E18" s="24">
        <v>0</v>
      </c>
      <c r="F18" s="17">
        <v>0</v>
      </c>
      <c r="H18" s="47" t="s">
        <v>31</v>
      </c>
      <c r="I18" s="48">
        <f>ROUND($F$19*15,-5)</f>
        <v>28100000</v>
      </c>
      <c r="L18" s="30" t="s">
        <v>64</v>
      </c>
      <c r="M18" s="83"/>
      <c r="N18" s="45">
        <f>SUM(N16:N17)</f>
        <v>0</v>
      </c>
    </row>
    <row r="19" spans="2:14" x14ac:dyDescent="0.3">
      <c r="B19" s="30" t="s">
        <v>12</v>
      </c>
      <c r="C19" s="31"/>
      <c r="D19" s="31"/>
      <c r="E19" s="32">
        <f>SUM(E12:E18)</f>
        <v>1316000</v>
      </c>
      <c r="F19" s="33">
        <f>SUM(F12:F18)</f>
        <v>1875400</v>
      </c>
      <c r="H19" s="49" t="s">
        <v>32</v>
      </c>
      <c r="I19" s="50">
        <f>ROUND($F$19*20,-5)</f>
        <v>37500000</v>
      </c>
    </row>
    <row r="20" spans="2:14" ht="9" customHeight="1" x14ac:dyDescent="0.3"/>
    <row r="21" spans="2:14" x14ac:dyDescent="0.3">
      <c r="B21" s="12" t="s">
        <v>6</v>
      </c>
      <c r="C21" s="13" t="s">
        <v>13</v>
      </c>
      <c r="D21" s="13" t="s">
        <v>14</v>
      </c>
      <c r="E21" s="13" t="s">
        <v>34</v>
      </c>
      <c r="F21" s="46">
        <f>SUM(F22:F25)</f>
        <v>207300</v>
      </c>
      <c r="G21" s="51"/>
      <c r="H21" s="12" t="s">
        <v>53</v>
      </c>
      <c r="I21" s="46">
        <f>F21</f>
        <v>207300</v>
      </c>
      <c r="L21" s="89" t="s">
        <v>50</v>
      </c>
      <c r="M21" s="90">
        <f>'FY2024-25'!I23-'FY2025-26'!I23</f>
        <v>-36192</v>
      </c>
    </row>
    <row r="22" spans="2:14" x14ac:dyDescent="0.3">
      <c r="B22" s="14">
        <v>0</v>
      </c>
      <c r="C22" s="15">
        <v>250000</v>
      </c>
      <c r="D22" s="7">
        <v>0</v>
      </c>
      <c r="E22" s="52">
        <f t="shared" ref="E22:E23" si="2">IF(B22&gt;$E$19,0,IF(C22=0,0,IF($E$19&gt;C22,C22-B22,$E$19-B22)))</f>
        <v>250000</v>
      </c>
      <c r="F22" s="17">
        <f>IF(E22&gt;0,E22*D22,0)</f>
        <v>0</v>
      </c>
      <c r="H22" s="6" t="s">
        <v>56</v>
      </c>
      <c r="I22" s="17">
        <f>I21*4%</f>
        <v>8292</v>
      </c>
    </row>
    <row r="23" spans="2:14" x14ac:dyDescent="0.3">
      <c r="B23" s="14">
        <f>C22</f>
        <v>250000</v>
      </c>
      <c r="C23" s="15">
        <v>500000</v>
      </c>
      <c r="D23" s="7">
        <v>0.05</v>
      </c>
      <c r="E23" s="52">
        <f t="shared" si="2"/>
        <v>250000</v>
      </c>
      <c r="F23" s="17">
        <f t="shared" ref="F23:F25" si="3">IF(E23&gt;0,E23*D23,0)</f>
        <v>12500</v>
      </c>
      <c r="H23" s="18" t="s">
        <v>54</v>
      </c>
      <c r="I23" s="20">
        <f>SUM(I21:I22)</f>
        <v>215592</v>
      </c>
    </row>
    <row r="24" spans="2:14" x14ac:dyDescent="0.3">
      <c r="B24" s="14">
        <f>C23</f>
        <v>500000</v>
      </c>
      <c r="C24" s="15">
        <v>1000000</v>
      </c>
      <c r="D24" s="7">
        <v>0.2</v>
      </c>
      <c r="E24" s="52">
        <f>IF(B24&gt;$E$19,0,IF(C24=0,0,IF($E$19&gt;C24,C24-B24,$E$19-B24)))</f>
        <v>500000</v>
      </c>
      <c r="F24" s="17">
        <f t="shared" si="3"/>
        <v>100000</v>
      </c>
      <c r="H24" s="30" t="s">
        <v>38</v>
      </c>
      <c r="I24" s="74">
        <f>I23/E5</f>
        <v>9.4557894736842105E-2</v>
      </c>
    </row>
    <row r="25" spans="2:14" x14ac:dyDescent="0.3">
      <c r="B25" s="14">
        <f>C24</f>
        <v>1000000</v>
      </c>
      <c r="C25" s="9">
        <f>IF($E$19&lt;1000000,0,$E$19)</f>
        <v>1316000</v>
      </c>
      <c r="D25" s="10">
        <v>0.3</v>
      </c>
      <c r="E25" s="52">
        <f t="shared" ref="E25" si="4">IF(B25&gt;$E$19,0,IF(C25=0,0,IF($E$19&gt;C25,C25-B25,$E$19-B25)))</f>
        <v>316000</v>
      </c>
      <c r="F25" s="37">
        <f t="shared" si="3"/>
        <v>94800</v>
      </c>
      <c r="I25" s="1"/>
    </row>
    <row r="26" spans="2:14" x14ac:dyDescent="0.3">
      <c r="B26" s="12" t="s">
        <v>7</v>
      </c>
      <c r="C26" s="13"/>
      <c r="D26" s="13"/>
      <c r="E26" s="13"/>
      <c r="F26" s="46">
        <f>SUM(F27:F33)</f>
        <v>175080</v>
      </c>
      <c r="G26" s="51"/>
      <c r="H26" s="12" t="s">
        <v>55</v>
      </c>
      <c r="I26" s="46">
        <f>F26</f>
        <v>175080</v>
      </c>
      <c r="L26" s="89" t="s">
        <v>51</v>
      </c>
      <c r="M26" s="90">
        <f>'FY2024-25'!I28-'FY2025-26'!I28</f>
        <v>105268.79999999999</v>
      </c>
    </row>
    <row r="27" spans="2:14" x14ac:dyDescent="0.3">
      <c r="B27" s="14">
        <v>0</v>
      </c>
      <c r="C27" s="15">
        <v>400000</v>
      </c>
      <c r="D27" s="7">
        <v>0</v>
      </c>
      <c r="E27" s="52">
        <f t="shared" ref="E27:E30" si="5">IF(B27&gt;$F$19,0,IF(C27=0,0,IF($F$19&gt;C27,C27-B27,$F$19-B27)))</f>
        <v>400000</v>
      </c>
      <c r="F27" s="17">
        <f t="shared" ref="F27:F33" si="6">IF(E27&gt;0,E27*D27,0)</f>
        <v>0</v>
      </c>
      <c r="H27" s="6" t="s">
        <v>56</v>
      </c>
      <c r="I27" s="17">
        <f>I26*4%</f>
        <v>7003.2</v>
      </c>
    </row>
    <row r="28" spans="2:14" x14ac:dyDescent="0.3">
      <c r="B28" s="14">
        <f t="shared" ref="B28:B33" si="7">C27</f>
        <v>400000</v>
      </c>
      <c r="C28" s="15">
        <v>800000</v>
      </c>
      <c r="D28" s="7">
        <v>0.05</v>
      </c>
      <c r="E28" s="52">
        <f t="shared" si="5"/>
        <v>400000</v>
      </c>
      <c r="F28" s="17">
        <f t="shared" si="6"/>
        <v>20000</v>
      </c>
      <c r="H28" s="18" t="s">
        <v>54</v>
      </c>
      <c r="I28" s="20">
        <f>SUM(I26:I27)</f>
        <v>182083.20000000001</v>
      </c>
    </row>
    <row r="29" spans="2:14" x14ac:dyDescent="0.3">
      <c r="B29" s="14">
        <f t="shared" si="7"/>
        <v>800000</v>
      </c>
      <c r="C29" s="15">
        <v>1200000</v>
      </c>
      <c r="D29" s="7">
        <v>0.1</v>
      </c>
      <c r="E29" s="52">
        <f t="shared" si="5"/>
        <v>400000</v>
      </c>
      <c r="F29" s="17">
        <f t="shared" si="6"/>
        <v>40000</v>
      </c>
      <c r="H29" s="30" t="s">
        <v>38</v>
      </c>
      <c r="I29" s="74">
        <f>I28/F5</f>
        <v>7.9861052631578958E-2</v>
      </c>
    </row>
    <row r="30" spans="2:14" x14ac:dyDescent="0.3">
      <c r="B30" s="14">
        <f t="shared" si="7"/>
        <v>1200000</v>
      </c>
      <c r="C30" s="15">
        <v>1600000</v>
      </c>
      <c r="D30" s="7">
        <v>0.15</v>
      </c>
      <c r="E30" s="52">
        <f t="shared" si="5"/>
        <v>400000</v>
      </c>
      <c r="F30" s="17">
        <f t="shared" si="6"/>
        <v>60000</v>
      </c>
      <c r="L30" s="91" t="s">
        <v>68</v>
      </c>
      <c r="M30" s="92"/>
    </row>
    <row r="31" spans="2:14" x14ac:dyDescent="0.3">
      <c r="B31" s="14">
        <f t="shared" si="7"/>
        <v>1600000</v>
      </c>
      <c r="C31" s="15">
        <v>2000000</v>
      </c>
      <c r="D31" s="7">
        <v>0.2</v>
      </c>
      <c r="E31" s="52">
        <f>IF(B31&gt;$F$19,0,IF(C31=0,0,IF($F$19&gt;C31,C31-B31,$F$19-B31)))</f>
        <v>275400</v>
      </c>
      <c r="F31" s="17">
        <f t="shared" si="6"/>
        <v>55080</v>
      </c>
      <c r="H31" s="66" t="s">
        <v>69</v>
      </c>
      <c r="I31" s="67">
        <f>(I28-I23)</f>
        <v>-33508.799999999988</v>
      </c>
      <c r="L31" s="84" t="s">
        <v>65</v>
      </c>
      <c r="M31" s="78"/>
    </row>
    <row r="32" spans="2:14" x14ac:dyDescent="0.3">
      <c r="B32" s="14">
        <f t="shared" si="7"/>
        <v>2000000</v>
      </c>
      <c r="C32" s="15">
        <v>2400000</v>
      </c>
      <c r="D32" s="7">
        <v>0.25</v>
      </c>
      <c r="E32" s="52">
        <f t="shared" ref="E32:E33" si="8">IF(B32&gt;$F$19,0,IF(C32=0,0,IF($F$19&gt;C32,C32-B32,$F$19-B32)))</f>
        <v>0</v>
      </c>
      <c r="F32" s="17">
        <f t="shared" si="6"/>
        <v>0</v>
      </c>
      <c r="H32" s="49" t="s">
        <v>49</v>
      </c>
      <c r="I32" s="68"/>
      <c r="L32" s="82" t="s">
        <v>66</v>
      </c>
      <c r="M32" s="80"/>
    </row>
    <row r="33" spans="2:6" x14ac:dyDescent="0.3">
      <c r="B33" s="16">
        <f t="shared" si="7"/>
        <v>2400000</v>
      </c>
      <c r="C33" s="9">
        <f>IF($F$19&lt;2400000,0,$F$19)</f>
        <v>0</v>
      </c>
      <c r="D33" s="10">
        <v>0.3</v>
      </c>
      <c r="E33" s="9">
        <f t="shared" si="8"/>
        <v>0</v>
      </c>
      <c r="F33" s="37">
        <f t="shared" si="6"/>
        <v>0</v>
      </c>
    </row>
  </sheetData>
  <conditionalFormatting sqref="I3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86FF-958B-4E2C-A6FE-3FFBCE5EEDA4}">
  <dimension ref="B1:O32"/>
  <sheetViews>
    <sheetView zoomScale="85" zoomScaleNormal="85" workbookViewId="0">
      <pane ySplit="2" topLeftCell="A3" activePane="bottomLeft" state="frozen"/>
      <selection pane="bottomLeft" activeCell="B2" sqref="B2"/>
    </sheetView>
  </sheetViews>
  <sheetFormatPr defaultRowHeight="14.4" x14ac:dyDescent="0.3"/>
  <cols>
    <col min="1" max="1" width="4" customWidth="1"/>
    <col min="2" max="2" width="19.5546875" customWidth="1"/>
    <col min="3" max="3" width="13.5546875" bestFit="1" customWidth="1"/>
    <col min="5" max="6" width="13.44140625" customWidth="1"/>
    <col min="7" max="7" width="7.33203125" customWidth="1"/>
    <col min="8" max="8" width="26.5546875" bestFit="1" customWidth="1"/>
    <col min="9" max="9" width="11.6640625" bestFit="1" customWidth="1"/>
    <col min="11" max="11" width="40.109375" bestFit="1" customWidth="1"/>
    <col min="12" max="12" width="11.6640625" bestFit="1" customWidth="1"/>
    <col min="13" max="13" width="12.88671875" customWidth="1"/>
    <col min="14" max="14" width="12" bestFit="1" customWidth="1"/>
  </cols>
  <sheetData>
    <row r="1" spans="2:15" ht="5.7" customHeight="1" x14ac:dyDescent="0.3"/>
    <row r="2" spans="2:15" x14ac:dyDescent="0.3">
      <c r="B2" s="26" t="s">
        <v>8</v>
      </c>
      <c r="C2" s="27"/>
      <c r="D2" s="27"/>
      <c r="E2" s="28" t="s">
        <v>6</v>
      </c>
      <c r="F2" s="29" t="s">
        <v>7</v>
      </c>
      <c r="H2" s="12" t="s">
        <v>36</v>
      </c>
      <c r="I2" s="75" t="s">
        <v>45</v>
      </c>
      <c r="K2" s="28" t="s">
        <v>39</v>
      </c>
      <c r="L2" s="28" t="s">
        <v>45</v>
      </c>
      <c r="M2" s="28" t="s">
        <v>6</v>
      </c>
      <c r="N2" s="28" t="s">
        <v>7</v>
      </c>
    </row>
    <row r="3" spans="2:15" x14ac:dyDescent="0.3">
      <c r="B3" s="6" t="s">
        <v>0</v>
      </c>
      <c r="C3" s="71" t="s">
        <v>52</v>
      </c>
      <c r="D3" s="72"/>
      <c r="E3" s="73">
        <f>'FY2025-26'!E3</f>
        <v>2000000</v>
      </c>
      <c r="F3" s="17">
        <f>E3</f>
        <v>2000000</v>
      </c>
      <c r="G3" s="1"/>
      <c r="H3" s="6" t="s">
        <v>27</v>
      </c>
      <c r="I3" s="17">
        <f>F3</f>
        <v>2000000</v>
      </c>
      <c r="K3" s="61" t="s">
        <v>40</v>
      </c>
      <c r="L3" s="62">
        <v>36000</v>
      </c>
      <c r="M3" s="62">
        <f>L3</f>
        <v>36000</v>
      </c>
      <c r="N3" s="62">
        <v>0</v>
      </c>
    </row>
    <row r="4" spans="2:15" x14ac:dyDescent="0.3">
      <c r="B4" s="6" t="s">
        <v>1</v>
      </c>
      <c r="E4" s="22">
        <f>E3*12%*1</f>
        <v>240000</v>
      </c>
      <c r="F4" s="17">
        <f>E4</f>
        <v>240000</v>
      </c>
      <c r="H4" s="6" t="s">
        <v>28</v>
      </c>
      <c r="I4" s="17">
        <f>F7*2</f>
        <v>-240000</v>
      </c>
      <c r="K4" s="69" t="s">
        <v>41</v>
      </c>
      <c r="L4" s="70">
        <v>24000</v>
      </c>
      <c r="M4" s="70">
        <f t="shared" ref="M4:M8" si="0">L4</f>
        <v>24000</v>
      </c>
      <c r="N4" s="70">
        <f>L4</f>
        <v>24000</v>
      </c>
    </row>
    <row r="5" spans="2:15" x14ac:dyDescent="0.3">
      <c r="B5" s="18" t="s">
        <v>5</v>
      </c>
      <c r="E5" s="23">
        <f>SUM(E3:E4)</f>
        <v>2240000</v>
      </c>
      <c r="F5" s="19">
        <f>SUM(F3:F4)</f>
        <v>2240000</v>
      </c>
      <c r="H5" s="6" t="s">
        <v>29</v>
      </c>
      <c r="I5" s="17">
        <f>F8</f>
        <v>-100000</v>
      </c>
      <c r="K5" s="61" t="s">
        <v>42</v>
      </c>
      <c r="L5" s="62">
        <v>26400</v>
      </c>
      <c r="M5" s="62">
        <f t="shared" si="0"/>
        <v>26400</v>
      </c>
      <c r="N5" s="62">
        <v>0</v>
      </c>
    </row>
    <row r="6" spans="2:15" x14ac:dyDescent="0.3">
      <c r="B6" s="11" t="s">
        <v>16</v>
      </c>
      <c r="C6" s="5"/>
      <c r="D6" s="5"/>
      <c r="E6" s="34"/>
      <c r="F6" s="35"/>
      <c r="H6" s="6" t="s">
        <v>30</v>
      </c>
      <c r="I6" s="17">
        <f>-MIN(F21,F26)</f>
        <v>-172500</v>
      </c>
      <c r="K6" s="61" t="s">
        <v>43</v>
      </c>
      <c r="L6" s="62">
        <v>12000</v>
      </c>
      <c r="M6" s="62">
        <f t="shared" si="0"/>
        <v>12000</v>
      </c>
      <c r="N6" s="62">
        <v>0</v>
      </c>
    </row>
    <row r="7" spans="2:15" x14ac:dyDescent="0.3">
      <c r="B7" s="6" t="s">
        <v>19</v>
      </c>
      <c r="E7" s="24">
        <f>-E3*50%*12%</f>
        <v>-120000</v>
      </c>
      <c r="F7" s="17">
        <f>-F3*50%*12%</f>
        <v>-120000</v>
      </c>
      <c r="H7" s="60">
        <f>I7/12</f>
        <v>123958.33333333333</v>
      </c>
      <c r="I7" s="33">
        <f>SUM(I3:I6)</f>
        <v>1487500</v>
      </c>
      <c r="K7" s="61" t="s">
        <v>44</v>
      </c>
      <c r="L7" s="62">
        <f>1800*12</f>
        <v>21600</v>
      </c>
      <c r="M7" s="62">
        <f t="shared" si="0"/>
        <v>21600</v>
      </c>
      <c r="N7" s="62">
        <v>0</v>
      </c>
      <c r="O7" t="s">
        <v>67</v>
      </c>
    </row>
    <row r="8" spans="2:15" x14ac:dyDescent="0.3">
      <c r="B8" s="6" t="s">
        <v>20</v>
      </c>
      <c r="E8" s="24">
        <f>-E3*50%*10%</f>
        <v>-100000</v>
      </c>
      <c r="F8" s="17">
        <f>-F3*50%*10%</f>
        <v>-100000</v>
      </c>
      <c r="I8" s="1"/>
      <c r="K8" s="61" t="s">
        <v>46</v>
      </c>
      <c r="L8" s="62">
        <f>I10*10%</f>
        <v>100000</v>
      </c>
      <c r="M8" s="62">
        <f t="shared" si="0"/>
        <v>100000</v>
      </c>
      <c r="N8" s="62">
        <v>0</v>
      </c>
    </row>
    <row r="9" spans="2:15" x14ac:dyDescent="0.3">
      <c r="B9" s="55" t="s">
        <v>2</v>
      </c>
      <c r="C9" s="56"/>
      <c r="D9" s="56"/>
      <c r="E9" s="57">
        <f>-I15*1</f>
        <v>-300000</v>
      </c>
      <c r="F9" s="58">
        <v>0</v>
      </c>
      <c r="G9" s="3"/>
      <c r="H9" s="53" t="s">
        <v>35</v>
      </c>
      <c r="I9" s="54">
        <f>E3*20%/12</f>
        <v>33333.333333333336</v>
      </c>
      <c r="K9" s="61"/>
      <c r="L9" s="62"/>
      <c r="M9" s="62"/>
      <c r="N9" s="62"/>
    </row>
    <row r="10" spans="2:15" x14ac:dyDescent="0.3">
      <c r="B10" s="64" t="s">
        <v>21</v>
      </c>
      <c r="C10" s="53"/>
      <c r="D10" s="53"/>
      <c r="E10" s="65">
        <f>-M10</f>
        <v>-220000</v>
      </c>
      <c r="F10" s="65">
        <f>-N10</f>
        <v>-24000</v>
      </c>
      <c r="H10" s="12" t="s">
        <v>3</v>
      </c>
      <c r="I10" s="46">
        <f>E3*50%</f>
        <v>1000000</v>
      </c>
      <c r="K10" s="28" t="s">
        <v>47</v>
      </c>
      <c r="L10" s="63">
        <f>SUM(L3:L9)</f>
        <v>220000</v>
      </c>
      <c r="M10" s="63">
        <f>SUM(M3:M9)</f>
        <v>220000</v>
      </c>
      <c r="N10" s="63">
        <f>SUM(N3:N9)</f>
        <v>24000</v>
      </c>
    </row>
    <row r="11" spans="2:15" x14ac:dyDescent="0.3">
      <c r="B11" s="8" t="s">
        <v>4</v>
      </c>
      <c r="C11" s="21" t="s">
        <v>22</v>
      </c>
      <c r="D11" s="21"/>
      <c r="E11" s="36">
        <v>-50000</v>
      </c>
      <c r="F11" s="37">
        <v>-75000</v>
      </c>
      <c r="H11" s="30" t="s">
        <v>2</v>
      </c>
      <c r="I11" s="33">
        <f>E3*25%</f>
        <v>500000</v>
      </c>
    </row>
    <row r="12" spans="2:15" x14ac:dyDescent="0.3">
      <c r="B12" s="18" t="s">
        <v>11</v>
      </c>
      <c r="E12" s="25">
        <f>SUM(E5:E11)</f>
        <v>1450000</v>
      </c>
      <c r="F12" s="20">
        <f>SUM(F5:F11)</f>
        <v>1921000</v>
      </c>
      <c r="H12" s="4" t="s">
        <v>23</v>
      </c>
      <c r="I12" s="42">
        <f>I11</f>
        <v>500000</v>
      </c>
      <c r="K12" s="12" t="s">
        <v>58</v>
      </c>
      <c r="L12" s="13"/>
      <c r="M12" s="59" t="s">
        <v>45</v>
      </c>
    </row>
    <row r="13" spans="2:15" x14ac:dyDescent="0.3">
      <c r="B13" s="38" t="s">
        <v>33</v>
      </c>
      <c r="C13" s="39"/>
      <c r="D13" s="39"/>
      <c r="E13" s="40">
        <v>0</v>
      </c>
      <c r="F13" s="41">
        <v>0</v>
      </c>
      <c r="H13" s="6" t="s">
        <v>24</v>
      </c>
      <c r="I13" s="43">
        <f>(I9*12)-(I10*10%)</f>
        <v>300000</v>
      </c>
      <c r="K13" s="76" t="s">
        <v>59</v>
      </c>
      <c r="L13" s="87">
        <v>10000</v>
      </c>
      <c r="M13" s="81">
        <f>L13*12</f>
        <v>120000</v>
      </c>
    </row>
    <row r="14" spans="2:15" x14ac:dyDescent="0.3">
      <c r="B14" s="38" t="s">
        <v>18</v>
      </c>
      <c r="C14" s="39"/>
      <c r="D14" s="39"/>
      <c r="E14" s="40">
        <f>600000*0</f>
        <v>0</v>
      </c>
      <c r="F14" s="41">
        <v>0</v>
      </c>
      <c r="H14" s="8" t="s">
        <v>26</v>
      </c>
      <c r="I14" s="44">
        <f>I10*50%</f>
        <v>500000</v>
      </c>
      <c r="K14" s="76" t="s">
        <v>60</v>
      </c>
      <c r="L14" s="79">
        <v>0.3</v>
      </c>
      <c r="M14" s="81">
        <f>-M13*30%</f>
        <v>-36000</v>
      </c>
    </row>
    <row r="15" spans="2:15" x14ac:dyDescent="0.3">
      <c r="B15" s="6" t="s">
        <v>10</v>
      </c>
      <c r="E15" s="24">
        <v>-150000</v>
      </c>
      <c r="F15" s="17">
        <v>0</v>
      </c>
      <c r="H15" s="30" t="s">
        <v>25</v>
      </c>
      <c r="I15" s="45">
        <f>MIN(I12:I14)</f>
        <v>300000</v>
      </c>
      <c r="K15" s="76" t="s">
        <v>61</v>
      </c>
      <c r="L15" s="77"/>
      <c r="M15" s="88">
        <v>1500</v>
      </c>
    </row>
    <row r="16" spans="2:15" x14ac:dyDescent="0.3">
      <c r="B16" s="6" t="s">
        <v>9</v>
      </c>
      <c r="E16" s="24">
        <v>-50000</v>
      </c>
      <c r="F16" s="17">
        <v>0</v>
      </c>
      <c r="K16" s="84" t="s">
        <v>62</v>
      </c>
      <c r="L16" s="85"/>
      <c r="M16" s="86">
        <f>SUM(M13:M15)</f>
        <v>85500</v>
      </c>
    </row>
    <row r="17" spans="2:13" x14ac:dyDescent="0.3">
      <c r="B17" s="6" t="s">
        <v>15</v>
      </c>
      <c r="E17" s="24">
        <v>-50000</v>
      </c>
      <c r="F17" s="17">
        <v>0</v>
      </c>
      <c r="H17" s="2" t="s">
        <v>37</v>
      </c>
      <c r="K17" s="76" t="s">
        <v>63</v>
      </c>
      <c r="L17" s="77"/>
      <c r="M17" s="88">
        <v>-200000</v>
      </c>
    </row>
    <row r="18" spans="2:13" x14ac:dyDescent="0.3">
      <c r="B18" s="6" t="s">
        <v>17</v>
      </c>
      <c r="E18" s="24">
        <v>0</v>
      </c>
      <c r="F18" s="17">
        <v>0</v>
      </c>
      <c r="H18" s="47" t="s">
        <v>31</v>
      </c>
      <c r="I18" s="48">
        <f>ROUND($F$19*15,-5)</f>
        <v>28800000</v>
      </c>
      <c r="K18" s="30" t="s">
        <v>64</v>
      </c>
      <c r="L18" s="83"/>
      <c r="M18" s="45">
        <f>SUM(M16:M17)</f>
        <v>-114500</v>
      </c>
    </row>
    <row r="19" spans="2:13" x14ac:dyDescent="0.3">
      <c r="B19" s="30" t="s">
        <v>12</v>
      </c>
      <c r="C19" s="31"/>
      <c r="D19" s="31"/>
      <c r="E19" s="32">
        <f>SUM(E12:E18)</f>
        <v>1200000</v>
      </c>
      <c r="F19" s="33">
        <f>SUM(F12:F18)</f>
        <v>1921000</v>
      </c>
      <c r="H19" s="49" t="s">
        <v>32</v>
      </c>
      <c r="I19" s="50">
        <f>ROUND($F$19*20,-5)</f>
        <v>38400000</v>
      </c>
    </row>
    <row r="21" spans="2:13" x14ac:dyDescent="0.3">
      <c r="B21" s="12" t="s">
        <v>6</v>
      </c>
      <c r="C21" s="13" t="s">
        <v>13</v>
      </c>
      <c r="D21" s="13" t="s">
        <v>14</v>
      </c>
      <c r="E21" s="13" t="s">
        <v>34</v>
      </c>
      <c r="F21" s="46">
        <f>SUM(F22:F25)</f>
        <v>172500</v>
      </c>
      <c r="G21" s="51"/>
      <c r="H21" s="12" t="s">
        <v>53</v>
      </c>
      <c r="I21" s="46">
        <f>F21</f>
        <v>172500</v>
      </c>
    </row>
    <row r="22" spans="2:13" x14ac:dyDescent="0.3">
      <c r="B22" s="14">
        <v>0</v>
      </c>
      <c r="C22" s="15">
        <v>250000</v>
      </c>
      <c r="D22" s="7">
        <v>0</v>
      </c>
      <c r="E22" s="52">
        <f t="shared" ref="E22:E23" si="1">IF(B22&gt;$E$19,0,IF(C22=0,0,IF($E$19&gt;C22,C22-B22,$E$19-B22)))</f>
        <v>250000</v>
      </c>
      <c r="F22" s="17">
        <f>IF(E22&gt;0,E22*D22,0)</f>
        <v>0</v>
      </c>
      <c r="H22" s="6" t="s">
        <v>56</v>
      </c>
      <c r="I22" s="17">
        <f>I21*4%</f>
        <v>6900</v>
      </c>
    </row>
    <row r="23" spans="2:13" x14ac:dyDescent="0.3">
      <c r="B23" s="14">
        <f>C22</f>
        <v>250000</v>
      </c>
      <c r="C23" s="15">
        <v>500000</v>
      </c>
      <c r="D23" s="7">
        <v>0.05</v>
      </c>
      <c r="E23" s="52">
        <f t="shared" si="1"/>
        <v>250000</v>
      </c>
      <c r="F23" s="17">
        <f t="shared" ref="F23:F25" si="2">IF(E23&gt;0,E23*D23,0)</f>
        <v>12500</v>
      </c>
      <c r="H23" s="18" t="s">
        <v>54</v>
      </c>
      <c r="I23" s="20">
        <f>SUM(I21:I22)</f>
        <v>179400</v>
      </c>
    </row>
    <row r="24" spans="2:13" x14ac:dyDescent="0.3">
      <c r="B24" s="14">
        <f>C23</f>
        <v>500000</v>
      </c>
      <c r="C24" s="15">
        <v>1000000</v>
      </c>
      <c r="D24" s="7">
        <v>0.2</v>
      </c>
      <c r="E24" s="52">
        <f>IF(B24&gt;$E$19,0,IF(C24=0,0,IF($E$19&gt;C24,C24-B24,$E$19-B24)))</f>
        <v>500000</v>
      </c>
      <c r="F24" s="17">
        <f t="shared" si="2"/>
        <v>100000</v>
      </c>
      <c r="H24" s="30" t="s">
        <v>38</v>
      </c>
      <c r="I24" s="74">
        <f>I23/E5</f>
        <v>8.008928571428571E-2</v>
      </c>
    </row>
    <row r="25" spans="2:13" x14ac:dyDescent="0.3">
      <c r="B25" s="14">
        <f>C24</f>
        <v>1000000</v>
      </c>
      <c r="C25" s="9">
        <f>IF($E$19&lt;1000000,0,$E$19)</f>
        <v>1200000</v>
      </c>
      <c r="D25" s="10">
        <v>0.3</v>
      </c>
      <c r="E25" s="52">
        <f t="shared" ref="E25" si="3">IF(B25&gt;$E$19,0,IF(C25=0,0,IF($E$19&gt;C25,C25-B25,$E$19-B25)))</f>
        <v>200000</v>
      </c>
      <c r="F25" s="37">
        <f t="shared" si="2"/>
        <v>60000</v>
      </c>
      <c r="I25" s="1"/>
    </row>
    <row r="26" spans="2:13" x14ac:dyDescent="0.3">
      <c r="B26" s="12" t="s">
        <v>7</v>
      </c>
      <c r="C26" s="13"/>
      <c r="D26" s="13"/>
      <c r="E26" s="13"/>
      <c r="F26" s="46">
        <f>SUM(F27:F32)</f>
        <v>276300</v>
      </c>
      <c r="G26" s="51"/>
      <c r="H26" s="12" t="s">
        <v>55</v>
      </c>
      <c r="I26" s="46">
        <f>F26</f>
        <v>276300</v>
      </c>
    </row>
    <row r="27" spans="2:13" x14ac:dyDescent="0.3">
      <c r="B27" s="14">
        <v>0</v>
      </c>
      <c r="C27" s="15">
        <v>300000</v>
      </c>
      <c r="D27" s="7">
        <v>0</v>
      </c>
      <c r="E27" s="52">
        <f t="shared" ref="E27:E32" si="4">IF(B27&gt;$F$19,0,IF(C27=0,0,IF($F$19&gt;C27,C27-B27,$F$19-B27)))</f>
        <v>300000</v>
      </c>
      <c r="F27" s="17">
        <f t="shared" ref="F27:F32" si="5">IF(E27&gt;0,E27*D27,0)</f>
        <v>0</v>
      </c>
      <c r="H27" s="6" t="s">
        <v>56</v>
      </c>
      <c r="I27" s="17">
        <f>I26*4%</f>
        <v>11052</v>
      </c>
    </row>
    <row r="28" spans="2:13" x14ac:dyDescent="0.3">
      <c r="B28" s="14">
        <f t="shared" ref="B28:B32" si="6">C27</f>
        <v>300000</v>
      </c>
      <c r="C28" s="15">
        <v>600000</v>
      </c>
      <c r="D28" s="7">
        <v>0.05</v>
      </c>
      <c r="E28" s="52">
        <f t="shared" si="4"/>
        <v>300000</v>
      </c>
      <c r="F28" s="17">
        <f t="shared" si="5"/>
        <v>15000</v>
      </c>
      <c r="H28" s="18" t="s">
        <v>54</v>
      </c>
      <c r="I28" s="20">
        <f>SUM(I26:I27)</f>
        <v>287352</v>
      </c>
    </row>
    <row r="29" spans="2:13" x14ac:dyDescent="0.3">
      <c r="B29" s="14">
        <f t="shared" si="6"/>
        <v>600000</v>
      </c>
      <c r="C29" s="15">
        <v>900000</v>
      </c>
      <c r="D29" s="7">
        <v>0.1</v>
      </c>
      <c r="E29" s="52">
        <f t="shared" si="4"/>
        <v>300000</v>
      </c>
      <c r="F29" s="17">
        <f t="shared" si="5"/>
        <v>30000</v>
      </c>
      <c r="H29" s="30" t="s">
        <v>38</v>
      </c>
      <c r="I29" s="74">
        <f>I28/F5</f>
        <v>0.12828214285714284</v>
      </c>
    </row>
    <row r="30" spans="2:13" x14ac:dyDescent="0.3">
      <c r="B30" s="14">
        <f t="shared" si="6"/>
        <v>900000</v>
      </c>
      <c r="C30" s="15">
        <v>1200000</v>
      </c>
      <c r="D30" s="7">
        <v>0.15</v>
      </c>
      <c r="E30" s="52">
        <f t="shared" si="4"/>
        <v>300000</v>
      </c>
      <c r="F30" s="17">
        <f t="shared" si="5"/>
        <v>45000</v>
      </c>
    </row>
    <row r="31" spans="2:13" x14ac:dyDescent="0.3">
      <c r="B31" s="14">
        <f t="shared" si="6"/>
        <v>1200000</v>
      </c>
      <c r="C31" s="15">
        <v>1500000</v>
      </c>
      <c r="D31" s="7">
        <v>0.2</v>
      </c>
      <c r="E31" s="52">
        <f t="shared" si="4"/>
        <v>300000</v>
      </c>
      <c r="F31" s="17">
        <f t="shared" si="5"/>
        <v>60000</v>
      </c>
      <c r="H31" s="66" t="s">
        <v>48</v>
      </c>
      <c r="I31" s="67">
        <f>(I28-I23)</f>
        <v>107952</v>
      </c>
    </row>
    <row r="32" spans="2:13" x14ac:dyDescent="0.3">
      <c r="B32" s="16">
        <f t="shared" si="6"/>
        <v>1500000</v>
      </c>
      <c r="C32" s="9">
        <f>IF($F$19&lt;1500000,0,$F$19)</f>
        <v>1921000</v>
      </c>
      <c r="D32" s="10">
        <v>0.3</v>
      </c>
      <c r="E32" s="9">
        <f t="shared" si="4"/>
        <v>421000</v>
      </c>
      <c r="F32" s="37">
        <f t="shared" si="5"/>
        <v>126300</v>
      </c>
      <c r="H32" s="49" t="s">
        <v>57</v>
      </c>
      <c r="I32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FY2025-26</vt:lpstr>
      <vt:lpstr>FY2024-25</vt:lpstr>
    </vt:vector>
  </TitlesOfParts>
  <Company>Moody's Analytics Knowledge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Yadav</dc:creator>
  <cp:lastModifiedBy>Avinash Yadav</cp:lastModifiedBy>
  <dcterms:created xsi:type="dcterms:W3CDTF">2023-02-01T11:12:58Z</dcterms:created>
  <dcterms:modified xsi:type="dcterms:W3CDTF">2025-04-15T15:51:31Z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0e0a1d-e5b1-401d-b5d3-a38e1caa84e3_Enabled">
    <vt:lpwstr>true</vt:lpwstr>
  </property>
  <property fmtid="{D5CDD505-2E9C-101B-9397-08002B2CF9AE}" pid="3" name="MSIP_Label_680e0a1d-e5b1-401d-b5d3-a38e1caa84e3_SetDate">
    <vt:lpwstr>2025-04-15T15:51:31Z</vt:lpwstr>
  </property>
  <property fmtid="{D5CDD505-2E9C-101B-9397-08002B2CF9AE}" pid="4" name="MSIP_Label_680e0a1d-e5b1-401d-b5d3-a38e1caa84e3_Method">
    <vt:lpwstr>Standard</vt:lpwstr>
  </property>
  <property fmtid="{D5CDD505-2E9C-101B-9397-08002B2CF9AE}" pid="5" name="MSIP_Label_680e0a1d-e5b1-401d-b5d3-a38e1caa84e3_Name">
    <vt:lpwstr>defa4170-0d19-0005-0004-bc88714345d2</vt:lpwstr>
  </property>
  <property fmtid="{D5CDD505-2E9C-101B-9397-08002B2CF9AE}" pid="6" name="MSIP_Label_680e0a1d-e5b1-401d-b5d3-a38e1caa84e3_SiteId">
    <vt:lpwstr>39130803-0a38-4cc1-a114-117be7255ced</vt:lpwstr>
  </property>
  <property fmtid="{D5CDD505-2E9C-101B-9397-08002B2CF9AE}" pid="7" name="MSIP_Label_680e0a1d-e5b1-401d-b5d3-a38e1caa84e3_ActionId">
    <vt:lpwstr>f46a6efc-db52-48db-9ba6-cea41e3816f2</vt:lpwstr>
  </property>
  <property fmtid="{D5CDD505-2E9C-101B-9397-08002B2CF9AE}" pid="8" name="MSIP_Label_680e0a1d-e5b1-401d-b5d3-a38e1caa84e3_ContentBits">
    <vt:lpwstr>0</vt:lpwstr>
  </property>
  <property fmtid="{D5CDD505-2E9C-101B-9397-08002B2CF9AE}" pid="9" name="MSIP_Label_680e0a1d-e5b1-401d-b5d3-a38e1caa84e3_Tag">
    <vt:lpwstr>10, 3, 0, 1</vt:lpwstr>
  </property>
</Properties>
</file>