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49245d4487c310/Desktop/resume work/David Docs/Outbound Files/"/>
    </mc:Choice>
  </mc:AlternateContent>
  <xr:revisionPtr revIDLastSave="4" documentId="13_ncr:1_{4D07473B-D84F-459F-AF75-689A2B584C27}" xr6:coauthVersionLast="47" xr6:coauthVersionMax="47" xr10:uidLastSave="{D2FF9E31-BE72-43AD-BA51-9FB9A2136696}"/>
  <bookViews>
    <workbookView xWindow="-110" yWindow="-110" windowWidth="38620" windowHeight="21100" activeTab="2" xr2:uid="{ACF4868A-411B-476A-9DD5-07FD5CCB9685}"/>
  </bookViews>
  <sheets>
    <sheet name="Worksheet" sheetId="1" r:id="rId1"/>
    <sheet name="Savings Calculator" sheetId="6" r:id="rId2"/>
    <sheet name="Sheet1" sheetId="7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Y27" i="1"/>
  <c r="X26" i="1"/>
  <c r="E82" i="1"/>
  <c r="E81" i="1"/>
  <c r="C76" i="1"/>
  <c r="C77" i="1"/>
  <c r="I6" i="1" l="1"/>
  <c r="N3" i="6" l="1"/>
  <c r="H3" i="6"/>
  <c r="I7" i="1"/>
  <c r="B3" i="6" s="1"/>
  <c r="B12" i="6"/>
  <c r="E12" i="6" s="1"/>
  <c r="B11" i="6"/>
  <c r="B10" i="6"/>
  <c r="E10" i="6" s="1"/>
  <c r="A9" i="6"/>
  <c r="N4" i="6"/>
  <c r="Q4" i="6" s="1"/>
  <c r="N2" i="6"/>
  <c r="Q2" i="6" s="1"/>
  <c r="H4" i="6"/>
  <c r="K4" i="6" s="1"/>
  <c r="H2" i="6"/>
  <c r="K2" i="6" s="1"/>
  <c r="M1" i="6"/>
  <c r="G1" i="6"/>
  <c r="B4" i="6"/>
  <c r="B2" i="6"/>
  <c r="E2" i="6" s="1"/>
  <c r="A1" i="6"/>
  <c r="B30" i="1"/>
  <c r="V30" i="1"/>
  <c r="X21" i="1"/>
  <c r="Y21" i="1" s="1"/>
  <c r="X20" i="1"/>
  <c r="AA20" i="1" s="1"/>
  <c r="X19" i="1"/>
  <c r="Y19" i="1" s="1"/>
  <c r="V21" i="1"/>
  <c r="J63" i="1"/>
  <c r="V18" i="1" s="1"/>
  <c r="N63" i="1"/>
  <c r="X18" i="1" s="1"/>
  <c r="J64" i="1"/>
  <c r="V19" i="1" s="1"/>
  <c r="N64" i="1"/>
  <c r="J65" i="1"/>
  <c r="V20" i="1" s="1"/>
  <c r="N65" i="1"/>
  <c r="J67" i="1"/>
  <c r="N67" i="1"/>
  <c r="J68" i="1"/>
  <c r="N68" i="1"/>
  <c r="J69" i="1"/>
  <c r="N69" i="1"/>
  <c r="J71" i="1"/>
  <c r="N71" i="1"/>
  <c r="J72" i="1"/>
  <c r="N72" i="1"/>
  <c r="V17" i="1"/>
  <c r="U17" i="1"/>
  <c r="AA6" i="1"/>
  <c r="AA5" i="1"/>
  <c r="AA4" i="1"/>
  <c r="AA3" i="1"/>
  <c r="D27" i="1"/>
  <c r="B29" i="1" s="1"/>
  <c r="B27" i="1"/>
  <c r="W12" i="1"/>
  <c r="W14" i="1" s="1"/>
  <c r="Z14" i="1" s="1"/>
  <c r="W10" i="1"/>
  <c r="U14" i="1"/>
  <c r="U13" i="1"/>
  <c r="U12" i="1"/>
  <c r="U11" i="1"/>
  <c r="X6" i="1"/>
  <c r="X5" i="1"/>
  <c r="X4" i="1"/>
  <c r="X3" i="1"/>
  <c r="X7" i="1"/>
  <c r="U7" i="1"/>
  <c r="U6" i="1"/>
  <c r="U5" i="1"/>
  <c r="U4" i="1"/>
  <c r="U3" i="1"/>
  <c r="Z6" i="1"/>
  <c r="T21" i="1"/>
  <c r="U21" i="1" s="1"/>
  <c r="T19" i="1"/>
  <c r="U19" i="1" s="1"/>
  <c r="T20" i="1"/>
  <c r="U20" i="1" s="1"/>
  <c r="T18" i="1"/>
  <c r="U18" i="1" s="1"/>
  <c r="Z5" i="1"/>
  <c r="Z4" i="1"/>
  <c r="Z3" i="1"/>
  <c r="P6" i="1"/>
  <c r="P7" i="1"/>
  <c r="P8" i="1"/>
  <c r="P9" i="1"/>
  <c r="P10" i="1"/>
  <c r="P5" i="1"/>
  <c r="B13" i="6" l="1"/>
  <c r="B14" i="6" s="1"/>
  <c r="N5" i="6"/>
  <c r="N6" i="6" s="1"/>
  <c r="Y20" i="1"/>
  <c r="AA21" i="1"/>
  <c r="AA18" i="1"/>
  <c r="Y18" i="1"/>
  <c r="AA19" i="1"/>
  <c r="U25" i="1"/>
  <c r="H5" i="6"/>
  <c r="X23" i="1"/>
  <c r="X24" i="1" s="1"/>
  <c r="B5" i="6"/>
  <c r="E4" i="6"/>
  <c r="Z12" i="1"/>
  <c r="L10" i="1" l="1"/>
  <c r="L9" i="1"/>
  <c r="H6" i="6"/>
  <c r="L8" i="1"/>
  <c r="B6" i="6"/>
  <c r="L7" i="1"/>
  <c r="J7" i="1" s="1"/>
  <c r="Y23" i="1"/>
  <c r="Y24" i="1" s="1"/>
  <c r="AA23" i="1"/>
  <c r="AA24" i="1" s="1"/>
  <c r="J8" i="1" l="1"/>
  <c r="K8" i="1" s="1"/>
  <c r="M8" i="1" s="1"/>
  <c r="K7" i="1"/>
  <c r="M7" i="1" s="1"/>
  <c r="E3" i="6"/>
  <c r="E5" i="6" s="1"/>
  <c r="E6" i="6" s="1"/>
  <c r="D7" i="6" s="1"/>
  <c r="J9" i="1"/>
  <c r="K9" i="1" s="1"/>
  <c r="Q3" i="6" l="1"/>
  <c r="Q5" i="6" s="1"/>
  <c r="Q6" i="6" s="1"/>
  <c r="P7" i="6" s="1"/>
  <c r="K3" i="6"/>
  <c r="K5" i="6" s="1"/>
  <c r="K6" i="6" s="1"/>
  <c r="J7" i="6" s="1"/>
  <c r="E13" i="6"/>
  <c r="E14" i="6"/>
  <c r="D15" i="6"/>
  <c r="E11" i="6"/>
  <c r="J10" i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Olson, David J.</author>
  </authors>
  <commentList>
    <comment ref="E4" authorId="0" shapeId="0" xr:uid="{FB251E83-664A-4332-AACA-8EF193BD50B9}">
      <text>
        <r>
          <rPr>
            <b/>
            <sz val="12"/>
            <color indexed="81"/>
            <rFont val="Garamond"/>
            <family val="1"/>
          </rPr>
          <t>New or Used</t>
        </r>
      </text>
    </comment>
    <comment ref="G4" authorId="0" shapeId="0" xr:uid="{787E7920-A6AE-4D73-8E6F-BE02ECC9670B}">
      <text>
        <r>
          <rPr>
            <b/>
            <sz val="12"/>
            <color indexed="81"/>
            <rFont val="Garamond"/>
            <family val="1"/>
          </rPr>
          <t>Yes or No</t>
        </r>
      </text>
    </comment>
    <comment ref="E6" authorId="0" shapeId="0" xr:uid="{CC005676-10B1-4B4D-AFCC-9CD6C9AFC682}">
      <text>
        <r>
          <rPr>
            <b/>
            <sz val="12"/>
            <color indexed="81"/>
            <rFont val="Garamond"/>
            <family val="1"/>
          </rPr>
          <t>HELOC
Yes or No</t>
        </r>
      </text>
    </comment>
  </commentList>
</comments>
</file>

<file path=xl/sharedStrings.xml><?xml version="1.0" encoding="utf-8"?>
<sst xmlns="http://schemas.openxmlformats.org/spreadsheetml/2006/main" count="219" uniqueCount="101">
  <si>
    <t>Member Name</t>
  </si>
  <si>
    <t>Credit Score</t>
  </si>
  <si>
    <t>Type</t>
  </si>
  <si>
    <t>Balance</t>
  </si>
  <si>
    <t>Orig Amt</t>
  </si>
  <si>
    <t>Payment</t>
  </si>
  <si>
    <t>Term</t>
  </si>
  <si>
    <t>1st Mtg/Rent</t>
  </si>
  <si>
    <t>2nd Mtg</t>
  </si>
  <si>
    <t>Auto 1</t>
  </si>
  <si>
    <t>Auto 2</t>
  </si>
  <si>
    <t>Auto 3</t>
  </si>
  <si>
    <t>Uns IL</t>
  </si>
  <si>
    <t>cc1</t>
  </si>
  <si>
    <t>cc2</t>
  </si>
  <si>
    <t>cc3</t>
  </si>
  <si>
    <t>cc4</t>
  </si>
  <si>
    <t>cc5</t>
  </si>
  <si>
    <t>cc6</t>
  </si>
  <si>
    <t>cc7</t>
  </si>
  <si>
    <t>cc8</t>
  </si>
  <si>
    <t>cc9</t>
  </si>
  <si>
    <t>cc10</t>
  </si>
  <si>
    <t>cc11</t>
  </si>
  <si>
    <t>cc12</t>
  </si>
  <si>
    <t>cc13</t>
  </si>
  <si>
    <t>cc14</t>
  </si>
  <si>
    <t>cc15</t>
  </si>
  <si>
    <t>cc16</t>
  </si>
  <si>
    <t>Total</t>
  </si>
  <si>
    <t>Gross Mo Inc</t>
  </si>
  <si>
    <t>AutoPay</t>
  </si>
  <si>
    <t>Est %</t>
  </si>
  <si>
    <t>New Vehicle</t>
  </si>
  <si>
    <t>Rate Avail</t>
  </si>
  <si>
    <t>Used Vehicle</t>
  </si>
  <si>
    <t>Credit Cards</t>
  </si>
  <si>
    <t>CURRENT</t>
  </si>
  <si>
    <t>PROPOSED</t>
  </si>
  <si>
    <t>Est Qual Rate</t>
  </si>
  <si>
    <t>Est New Pymt</t>
  </si>
  <si>
    <t>Rem Term</t>
  </si>
  <si>
    <t>Estimated Savings w/ New Pymt</t>
  </si>
  <si>
    <t>Estimated Savings Keeping Curr Pymt</t>
  </si>
  <si>
    <t>New Term Same Payment</t>
  </si>
  <si>
    <t>Unsecured Installment</t>
  </si>
  <si>
    <t>Loan Criteria</t>
  </si>
  <si>
    <t>Rep Score</t>
  </si>
  <si>
    <t>CLTV</t>
  </si>
  <si>
    <t>HELOC</t>
  </si>
  <si>
    <t>Index</t>
  </si>
  <si>
    <t>Index Rate</t>
  </si>
  <si>
    <t>Margin</t>
  </si>
  <si>
    <t>Rate</t>
  </si>
  <si>
    <t>Fixed 2nd 15 Yr</t>
  </si>
  <si>
    <t>Max Loan Amt</t>
  </si>
  <si>
    <t>Prime</t>
  </si>
  <si>
    <t>15yr CF</t>
  </si>
  <si>
    <t>N/A</t>
  </si>
  <si>
    <t>Platinum</t>
  </si>
  <si>
    <t>Rewards</t>
  </si>
  <si>
    <t>Student</t>
  </si>
  <si>
    <t>Max</t>
  </si>
  <si>
    <t>Uns Inst Loan</t>
  </si>
  <si>
    <t>Unsecured Guidelines</t>
  </si>
  <si>
    <t>Maximum</t>
  </si>
  <si>
    <t>Total Unsecured Debt</t>
  </si>
  <si>
    <t>Within Guidelines</t>
  </si>
  <si>
    <t>% of Unsecured to Inc</t>
  </si>
  <si>
    <t>Home Equity Line of Credit</t>
  </si>
  <si>
    <t>Home Equity Fixed</t>
  </si>
  <si>
    <t>Value</t>
  </si>
  <si>
    <t>1st MTG</t>
  </si>
  <si>
    <t>2nd MTG</t>
  </si>
  <si>
    <t>Cash Back</t>
  </si>
  <si>
    <t>Current DTI</t>
  </si>
  <si>
    <t>Proposed DTI</t>
  </si>
  <si>
    <t>Home Equity Calculator</t>
  </si>
  <si>
    <t>LTV</t>
  </si>
  <si>
    <t>AMT of ADV</t>
  </si>
  <si>
    <t>PAYMENT</t>
  </si>
  <si>
    <t>Loan Calculator</t>
  </si>
  <si>
    <t>Estimated Payment</t>
  </si>
  <si>
    <t>CU</t>
  </si>
  <si>
    <t>Current Balance</t>
  </si>
  <si>
    <t>Current Rate</t>
  </si>
  <si>
    <t>Current Monthly Payment</t>
  </si>
  <si>
    <t>Months Remaining</t>
  </si>
  <si>
    <t>Total Interest</t>
  </si>
  <si>
    <t>Balance to be transferred</t>
  </si>
  <si>
    <t>Eligible Rate</t>
  </si>
  <si>
    <t>Total Savings</t>
  </si>
  <si>
    <t>Autopay</t>
  </si>
  <si>
    <t>Yes</t>
  </si>
  <si>
    <t>No</t>
  </si>
  <si>
    <t>New</t>
  </si>
  <si>
    <t>Used</t>
  </si>
  <si>
    <t>Student Loans</t>
  </si>
  <si>
    <t>FICO Scored</t>
  </si>
  <si>
    <t>Notes</t>
  </si>
  <si>
    <t>Updated 1/11/2022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</si>
</sst>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  <numFmt numFmtId="166" formatCode="&quot;$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Garamond"/>
      <family val="1"/>
    </font>
    <font>
      <sz val="14"/>
      <color theme="1"/>
      <name val="Garamond"/>
      <family val="1"/>
    </font>
    <font>
      <b/>
      <sz val="14"/>
      <color theme="1"/>
      <name val="Garamond"/>
      <family val="1"/>
    </font>
    <font>
      <b/>
      <sz val="22"/>
      <color theme="1"/>
      <name val="Garamond"/>
      <family val="1"/>
    </font>
    <font>
      <b/>
      <sz val="20"/>
      <color theme="1"/>
      <name val="Garamond"/>
      <family val="1"/>
    </font>
    <font>
      <b/>
      <sz val="13"/>
      <color theme="1"/>
      <name val="Garamond"/>
      <family val="1"/>
    </font>
    <font>
      <b/>
      <sz val="18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6"/>
      <color theme="1"/>
      <name val="Garamond"/>
      <family val="1"/>
    </font>
    <font>
      <b/>
      <sz val="36"/>
      <color theme="1"/>
      <name val="Garamond"/>
      <family val="1"/>
    </font>
    <font>
      <b/>
      <sz val="12"/>
      <color indexed="81"/>
      <name val="Garamond"/>
      <family val="1"/>
    </font>
    <font>
      <sz val="16"/>
      <color theme="1"/>
      <name val="Garamond"/>
      <family val="1"/>
    </font>
  </fonts>
  <fills count="2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6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0" fontId="4" fillId="6" borderId="1" xfId="2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0" fontId="4" fillId="7" borderId="1" xfId="2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0" fontId="4" fillId="8" borderId="1" xfId="2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0" fontId="4" fillId="9" borderId="1" xfId="2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0" fontId="4" fillId="10" borderId="1" xfId="2" applyNumberFormat="1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10" fontId="4" fillId="10" borderId="13" xfId="2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10" fontId="4" fillId="6" borderId="8" xfId="2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10" fontId="4" fillId="6" borderId="13" xfId="2" applyNumberFormat="1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10" fontId="4" fillId="7" borderId="8" xfId="2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10" fontId="4" fillId="7" borderId="13" xfId="2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10" fontId="4" fillId="8" borderId="8" xfId="2" applyNumberFormat="1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10" fontId="4" fillId="8" borderId="13" xfId="2" applyNumberFormat="1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10" fontId="4" fillId="9" borderId="8" xfId="2" applyNumberFormat="1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10" fontId="4" fillId="9" borderId="13" xfId="2" applyNumberFormat="1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10" fontId="4" fillId="10" borderId="8" xfId="2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164" fontId="2" fillId="3" borderId="1" xfId="1" applyNumberFormat="1" applyFont="1" applyFill="1" applyBorder="1"/>
    <xf numFmtId="164" fontId="2" fillId="3" borderId="1" xfId="1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13" borderId="22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9" fontId="9" fillId="6" borderId="1" xfId="2" applyFont="1" applyFill="1" applyBorder="1" applyAlignment="1">
      <alignment horizontal="center" vertical="center"/>
    </xf>
    <xf numFmtId="10" fontId="9" fillId="6" borderId="1" xfId="2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9" fontId="9" fillId="7" borderId="1" xfId="2" applyFont="1" applyFill="1" applyBorder="1" applyAlignment="1">
      <alignment horizontal="center" vertical="center"/>
    </xf>
    <xf numFmtId="10" fontId="9" fillId="7" borderId="1" xfId="2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9" fontId="9" fillId="8" borderId="1" xfId="2" applyFont="1" applyFill="1" applyBorder="1" applyAlignment="1">
      <alignment horizontal="center" vertical="center"/>
    </xf>
    <xf numFmtId="10" fontId="9" fillId="8" borderId="1" xfId="2" applyNumberFormat="1" applyFont="1" applyFill="1" applyBorder="1" applyAlignment="1">
      <alignment horizontal="center" vertical="center"/>
    </xf>
    <xf numFmtId="164" fontId="9" fillId="8" borderId="1" xfId="1" applyNumberFormat="1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10" fontId="9" fillId="6" borderId="11" xfId="2" applyNumberFormat="1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10" fontId="9" fillId="7" borderId="11" xfId="2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10" fontId="9" fillId="8" borderId="11" xfId="2" applyNumberFormat="1" applyFont="1" applyFill="1" applyBorder="1" applyAlignment="1">
      <alignment horizontal="center" vertical="center"/>
    </xf>
    <xf numFmtId="164" fontId="9" fillId="8" borderId="11" xfId="1" applyNumberFormat="1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9" fontId="9" fillId="8" borderId="13" xfId="2" applyFont="1" applyFill="1" applyBorder="1" applyAlignment="1">
      <alignment horizontal="center" vertical="center"/>
    </xf>
    <xf numFmtId="164" fontId="9" fillId="8" borderId="13" xfId="1" applyNumberFormat="1" applyFont="1" applyFill="1" applyBorder="1" applyAlignment="1">
      <alignment horizontal="center" vertical="center"/>
    </xf>
    <xf numFmtId="164" fontId="9" fillId="8" borderId="14" xfId="1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9" fontId="9" fillId="6" borderId="8" xfId="2" applyFont="1" applyFill="1" applyBorder="1" applyAlignment="1">
      <alignment horizontal="center" vertical="center"/>
    </xf>
    <xf numFmtId="10" fontId="9" fillId="6" borderId="8" xfId="2" applyNumberFormat="1" applyFont="1" applyFill="1" applyBorder="1" applyAlignment="1">
      <alignment horizontal="center" vertical="center"/>
    </xf>
    <xf numFmtId="10" fontId="9" fillId="6" borderId="9" xfId="2" applyNumberFormat="1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9" fontId="9" fillId="6" borderId="13" xfId="2" applyFont="1" applyFill="1" applyBorder="1" applyAlignment="1">
      <alignment horizontal="center" vertical="center"/>
    </xf>
    <xf numFmtId="164" fontId="9" fillId="6" borderId="13" xfId="1" applyNumberFormat="1" applyFont="1" applyFill="1" applyBorder="1" applyAlignment="1">
      <alignment horizontal="center" vertical="center"/>
    </xf>
    <xf numFmtId="164" fontId="9" fillId="6" borderId="14" xfId="1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9" fontId="9" fillId="7" borderId="8" xfId="2" applyFont="1" applyFill="1" applyBorder="1" applyAlignment="1">
      <alignment horizontal="center" vertical="center"/>
    </xf>
    <xf numFmtId="10" fontId="9" fillId="7" borderId="8" xfId="2" applyNumberFormat="1" applyFont="1" applyFill="1" applyBorder="1" applyAlignment="1">
      <alignment horizontal="center" vertical="center"/>
    </xf>
    <xf numFmtId="10" fontId="9" fillId="7" borderId="9" xfId="2" applyNumberFormat="1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9" fontId="9" fillId="7" borderId="13" xfId="2" applyFont="1" applyFill="1" applyBorder="1" applyAlignment="1">
      <alignment horizontal="center" vertical="center"/>
    </xf>
    <xf numFmtId="164" fontId="9" fillId="7" borderId="13" xfId="1" applyNumberFormat="1" applyFont="1" applyFill="1" applyBorder="1" applyAlignment="1">
      <alignment horizontal="center" vertical="center"/>
    </xf>
    <xf numFmtId="164" fontId="9" fillId="7" borderId="14" xfId="1" applyNumberFormat="1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9" fontId="9" fillId="8" borderId="8" xfId="2" applyFont="1" applyFill="1" applyBorder="1" applyAlignment="1">
      <alignment horizontal="center" vertical="center"/>
    </xf>
    <xf numFmtId="10" fontId="9" fillId="8" borderId="8" xfId="2" applyNumberFormat="1" applyFont="1" applyFill="1" applyBorder="1" applyAlignment="1">
      <alignment horizontal="center" vertical="center"/>
    </xf>
    <xf numFmtId="10" fontId="9" fillId="8" borderId="9" xfId="2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0" fontId="2" fillId="5" borderId="1" xfId="2" applyNumberFormat="1" applyFont="1" applyFill="1" applyBorder="1" applyAlignment="1">
      <alignment horizontal="center" vertical="center"/>
    </xf>
    <xf numFmtId="10" fontId="7" fillId="5" borderId="1" xfId="2" applyNumberFormat="1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14" fillId="0" borderId="0" xfId="0" applyFont="1"/>
    <xf numFmtId="0" fontId="14" fillId="17" borderId="1" xfId="0" applyFont="1" applyFill="1" applyBorder="1"/>
    <xf numFmtId="0" fontId="14" fillId="17" borderId="16" xfId="0" applyFont="1" applyFill="1" applyBorder="1"/>
    <xf numFmtId="166" fontId="14" fillId="3" borderId="1" xfId="1" applyNumberFormat="1" applyFont="1" applyFill="1" applyBorder="1" applyAlignment="1">
      <alignment horizontal="center" vertical="center"/>
    </xf>
    <xf numFmtId="10" fontId="14" fillId="3" borderId="1" xfId="2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66" fontId="14" fillId="3" borderId="16" xfId="1" applyNumberFormat="1" applyFont="1" applyFill="1" applyBorder="1" applyAlignment="1">
      <alignment horizontal="center" vertical="center"/>
    </xf>
    <xf numFmtId="166" fontId="14" fillId="3" borderId="1" xfId="0" applyNumberFormat="1" applyFont="1" applyFill="1" applyBorder="1" applyAlignment="1">
      <alignment horizontal="center" vertical="center"/>
    </xf>
    <xf numFmtId="164" fontId="2" fillId="3" borderId="24" xfId="1" applyNumberFormat="1" applyFont="1" applyFill="1" applyBorder="1" applyProtection="1"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16" xfId="0" applyFont="1" applyBorder="1"/>
    <xf numFmtId="0" fontId="2" fillId="3" borderId="16" xfId="0" applyFont="1" applyFill="1" applyBorder="1"/>
    <xf numFmtId="10" fontId="2" fillId="0" borderId="16" xfId="2" applyNumberFormat="1" applyFont="1" applyBorder="1" applyAlignment="1">
      <alignment horizontal="center" vertical="center"/>
    </xf>
    <xf numFmtId="44" fontId="2" fillId="0" borderId="16" xfId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10" fontId="2" fillId="18" borderId="1" xfId="0" applyNumberFormat="1" applyFont="1" applyFill="1" applyBorder="1" applyAlignment="1">
      <alignment horizontal="center" vertical="center"/>
    </xf>
    <xf numFmtId="0" fontId="10" fillId="19" borderId="10" xfId="0" applyFont="1" applyFill="1" applyBorder="1" applyAlignment="1">
      <alignment horizontal="center" vertical="center"/>
    </xf>
    <xf numFmtId="0" fontId="10" fillId="19" borderId="11" xfId="0" applyFont="1" applyFill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/>
    </xf>
    <xf numFmtId="10" fontId="9" fillId="19" borderId="11" xfId="2" applyNumberFormat="1" applyFont="1" applyFill="1" applyBorder="1" applyAlignment="1">
      <alignment horizontal="center" vertical="center"/>
    </xf>
    <xf numFmtId="0" fontId="9" fillId="19" borderId="12" xfId="0" applyFont="1" applyFill="1" applyBorder="1" applyAlignment="1">
      <alignment horizontal="center" vertical="center"/>
    </xf>
    <xf numFmtId="10" fontId="9" fillId="19" borderId="14" xfId="2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10" fontId="9" fillId="5" borderId="11" xfId="2" applyNumberFormat="1" applyFont="1" applyFill="1" applyBorder="1" applyAlignment="1">
      <alignment horizontal="center" vertical="center"/>
    </xf>
    <xf numFmtId="0" fontId="10" fillId="14" borderId="10" xfId="0" applyFont="1" applyFill="1" applyBorder="1" applyAlignment="1">
      <alignment horizontal="center" vertical="center"/>
    </xf>
    <xf numFmtId="0" fontId="10" fillId="14" borderId="11" xfId="0" applyFont="1" applyFill="1" applyBorder="1" applyAlignment="1">
      <alignment horizontal="center" vertical="center"/>
    </xf>
    <xf numFmtId="0" fontId="9" fillId="14" borderId="10" xfId="0" applyFont="1" applyFill="1" applyBorder="1" applyAlignment="1">
      <alignment horizontal="center" vertical="center"/>
    </xf>
    <xf numFmtId="10" fontId="9" fillId="14" borderId="11" xfId="2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10" fontId="9" fillId="5" borderId="17" xfId="2" applyNumberFormat="1" applyFont="1" applyFill="1" applyBorder="1" applyAlignment="1">
      <alignment horizontal="center" vertical="center"/>
    </xf>
    <xf numFmtId="0" fontId="9" fillId="14" borderId="15" xfId="0" applyFont="1" applyFill="1" applyBorder="1" applyAlignment="1">
      <alignment horizontal="center" vertical="center"/>
    </xf>
    <xf numFmtId="10" fontId="9" fillId="14" borderId="17" xfId="2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2" fillId="7" borderId="10" xfId="1" applyNumberFormat="1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>
      <alignment horizontal="center" vertical="center"/>
    </xf>
    <xf numFmtId="9" fontId="7" fillId="5" borderId="10" xfId="0" applyNumberFormat="1" applyFont="1" applyFill="1" applyBorder="1" applyAlignment="1">
      <alignment horizontal="center" vertical="center"/>
    </xf>
    <xf numFmtId="10" fontId="2" fillId="5" borderId="11" xfId="2" applyNumberFormat="1" applyFont="1" applyFill="1" applyBorder="1" applyAlignment="1">
      <alignment horizontal="center" vertical="center"/>
    </xf>
    <xf numFmtId="10" fontId="7" fillId="5" borderId="11" xfId="2" applyNumberFormat="1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center" vertical="center"/>
    </xf>
    <xf numFmtId="0" fontId="10" fillId="20" borderId="11" xfId="0" applyFont="1" applyFill="1" applyBorder="1" applyAlignment="1">
      <alignment horizontal="center" vertical="center"/>
    </xf>
    <xf numFmtId="0" fontId="9" fillId="20" borderId="10" xfId="0" applyFont="1" applyFill="1" applyBorder="1" applyAlignment="1">
      <alignment horizontal="center" vertical="center"/>
    </xf>
    <xf numFmtId="10" fontId="9" fillId="20" borderId="11" xfId="2" applyNumberFormat="1" applyFont="1" applyFill="1" applyBorder="1" applyAlignment="1">
      <alignment horizontal="center" vertical="center"/>
    </xf>
    <xf numFmtId="0" fontId="9" fillId="20" borderId="15" xfId="0" applyFont="1" applyFill="1" applyBorder="1" applyAlignment="1">
      <alignment horizontal="center" vertical="center"/>
    </xf>
    <xf numFmtId="0" fontId="9" fillId="20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 vertical="center"/>
    </xf>
    <xf numFmtId="10" fontId="2" fillId="18" borderId="1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0" fontId="2" fillId="3" borderId="13" xfId="0" applyNumberFormat="1" applyFont="1" applyFill="1" applyBorder="1" applyAlignment="1">
      <alignment horizontal="center" vertical="center"/>
    </xf>
    <xf numFmtId="10" fontId="2" fillId="3" borderId="14" xfId="0" applyNumberFormat="1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 wrapText="1"/>
    </xf>
    <xf numFmtId="0" fontId="10" fillId="12" borderId="43" xfId="0" applyFont="1" applyFill="1" applyBorder="1" applyAlignment="1">
      <alignment horizontal="center" vertical="center"/>
    </xf>
    <xf numFmtId="0" fontId="2" fillId="21" borderId="1" xfId="0" applyFont="1" applyFill="1" applyBorder="1"/>
    <xf numFmtId="0" fontId="7" fillId="15" borderId="10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 applyProtection="1">
      <alignment horizontal="center"/>
      <protection locked="0"/>
    </xf>
    <xf numFmtId="165" fontId="2" fillId="3" borderId="24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10" fontId="2" fillId="3" borderId="1" xfId="0" applyNumberFormat="1" applyFont="1" applyFill="1" applyBorder="1" applyAlignment="1" applyProtection="1">
      <alignment horizontal="center"/>
      <protection locked="0"/>
    </xf>
    <xf numFmtId="10" fontId="2" fillId="3" borderId="11" xfId="0" applyNumberFormat="1" applyFont="1" applyFill="1" applyBorder="1" applyAlignment="1" applyProtection="1">
      <alignment horizontal="center"/>
      <protection locked="0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19" borderId="7" xfId="0" applyFont="1" applyFill="1" applyBorder="1" applyAlignment="1">
      <alignment horizontal="center" vertical="center"/>
    </xf>
    <xf numFmtId="0" fontId="7" fillId="19" borderId="8" xfId="0" applyFont="1" applyFill="1" applyBorder="1" applyAlignment="1">
      <alignment horizontal="center" vertical="center"/>
    </xf>
    <xf numFmtId="0" fontId="7" fillId="19" borderId="9" xfId="0" applyFont="1" applyFill="1" applyBorder="1" applyAlignment="1">
      <alignment horizontal="center" vertical="center"/>
    </xf>
    <xf numFmtId="10" fontId="7" fillId="19" borderId="1" xfId="2" applyNumberFormat="1" applyFont="1" applyFill="1" applyBorder="1" applyAlignment="1">
      <alignment horizontal="center" vertical="center"/>
    </xf>
    <xf numFmtId="10" fontId="7" fillId="19" borderId="11" xfId="2" applyNumberFormat="1" applyFont="1" applyFill="1" applyBorder="1" applyAlignment="1">
      <alignment horizontal="center" vertical="center"/>
    </xf>
    <xf numFmtId="10" fontId="7" fillId="19" borderId="13" xfId="2" applyNumberFormat="1" applyFont="1" applyFill="1" applyBorder="1" applyAlignment="1">
      <alignment horizontal="center" vertical="center"/>
    </xf>
    <xf numFmtId="10" fontId="7" fillId="19" borderId="14" xfId="2" applyNumberFormat="1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2" fillId="19" borderId="12" xfId="0" applyFont="1" applyFill="1" applyBorder="1" applyAlignment="1">
      <alignment horizontal="center" vertical="center"/>
    </xf>
    <xf numFmtId="0" fontId="11" fillId="16" borderId="35" xfId="0" applyFont="1" applyFill="1" applyBorder="1" applyAlignment="1">
      <alignment horizontal="center" vertical="center"/>
    </xf>
    <xf numFmtId="0" fontId="11" fillId="16" borderId="36" xfId="0" applyFont="1" applyFill="1" applyBorder="1" applyAlignment="1">
      <alignment horizontal="center" vertical="center"/>
    </xf>
    <xf numFmtId="0" fontId="11" fillId="16" borderId="30" xfId="0" applyFont="1" applyFill="1" applyBorder="1" applyAlignment="1">
      <alignment horizontal="center" vertical="center"/>
    </xf>
    <xf numFmtId="0" fontId="11" fillId="16" borderId="31" xfId="0" applyFont="1" applyFill="1" applyBorder="1" applyAlignment="1">
      <alignment horizontal="center" vertical="center"/>
    </xf>
    <xf numFmtId="0" fontId="2" fillId="16" borderId="38" xfId="0" applyFont="1" applyFill="1" applyBorder="1" applyAlignment="1">
      <alignment horizontal="center"/>
    </xf>
    <xf numFmtId="0" fontId="2" fillId="16" borderId="39" xfId="0" applyFont="1" applyFill="1" applyBorder="1" applyAlignment="1">
      <alignment horizontal="center"/>
    </xf>
    <xf numFmtId="10" fontId="2" fillId="5" borderId="1" xfId="2" applyNumberFormat="1" applyFont="1" applyFill="1" applyBorder="1" applyAlignment="1">
      <alignment horizontal="center" vertical="center"/>
    </xf>
    <xf numFmtId="166" fontId="2" fillId="3" borderId="1" xfId="1" applyNumberFormat="1" applyFont="1" applyFill="1" applyBorder="1" applyAlignment="1">
      <alignment horizontal="center"/>
    </xf>
    <xf numFmtId="165" fontId="7" fillId="5" borderId="13" xfId="1" applyNumberFormat="1" applyFont="1" applyFill="1" applyBorder="1" applyAlignment="1">
      <alignment horizontal="center"/>
    </xf>
    <xf numFmtId="0" fontId="7" fillId="15" borderId="7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center"/>
    </xf>
    <xf numFmtId="0" fontId="7" fillId="15" borderId="2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164" fontId="2" fillId="3" borderId="1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0" fontId="2" fillId="14" borderId="15" xfId="2" applyNumberFormat="1" applyFont="1" applyFill="1" applyBorder="1" applyAlignment="1">
      <alignment horizontal="center" vertical="center"/>
    </xf>
    <xf numFmtId="10" fontId="2" fillId="14" borderId="16" xfId="2" applyNumberFormat="1" applyFont="1" applyFill="1" applyBorder="1" applyAlignment="1">
      <alignment horizontal="center" vertical="center"/>
    </xf>
    <xf numFmtId="0" fontId="2" fillId="14" borderId="16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14" borderId="11" xfId="0" applyFont="1" applyFill="1" applyBorder="1" applyAlignment="1">
      <alignment horizontal="center" vertical="center"/>
    </xf>
    <xf numFmtId="165" fontId="7" fillId="14" borderId="10" xfId="1" applyNumberFormat="1" applyFont="1" applyFill="1" applyBorder="1" applyAlignment="1">
      <alignment horizontal="center" vertical="center"/>
    </xf>
    <xf numFmtId="165" fontId="7" fillId="14" borderId="1" xfId="1" applyNumberFormat="1" applyFont="1" applyFill="1" applyBorder="1" applyAlignment="1">
      <alignment horizontal="center" vertical="center"/>
    </xf>
    <xf numFmtId="165" fontId="7" fillId="14" borderId="11" xfId="1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4" fillId="19" borderId="7" xfId="0" applyFont="1" applyFill="1" applyBorder="1" applyAlignment="1">
      <alignment horizontal="center" vertical="center"/>
    </xf>
    <xf numFmtId="0" fontId="4" fillId="19" borderId="9" xfId="0" applyFont="1" applyFill="1" applyBorder="1" applyAlignment="1">
      <alignment horizontal="center" vertical="center"/>
    </xf>
    <xf numFmtId="0" fontId="2" fillId="16" borderId="32" xfId="0" applyFont="1" applyFill="1" applyBorder="1" applyAlignment="1">
      <alignment horizontal="center"/>
    </xf>
    <xf numFmtId="0" fontId="2" fillId="16" borderId="33" xfId="0" applyFont="1" applyFill="1" applyBorder="1" applyAlignment="1">
      <alignment horizontal="center"/>
    </xf>
    <xf numFmtId="0" fontId="4" fillId="20" borderId="7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/>
    </xf>
    <xf numFmtId="10" fontId="2" fillId="21" borderId="1" xfId="2" applyNumberFormat="1" applyFont="1" applyFill="1" applyBorder="1" applyAlignment="1">
      <alignment horizontal="center"/>
    </xf>
    <xf numFmtId="10" fontId="2" fillId="21" borderId="24" xfId="2" applyNumberFormat="1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10" fontId="4" fillId="6" borderId="1" xfId="2" applyNumberFormat="1" applyFont="1" applyFill="1" applyBorder="1" applyAlignment="1">
      <alignment horizontal="center" vertical="center"/>
    </xf>
    <xf numFmtId="10" fontId="4" fillId="6" borderId="11" xfId="2" applyNumberFormat="1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10" fontId="4" fillId="6" borderId="8" xfId="2" applyNumberFormat="1" applyFont="1" applyFill="1" applyBorder="1" applyAlignment="1">
      <alignment horizontal="center" vertical="center"/>
    </xf>
    <xf numFmtId="10" fontId="4" fillId="6" borderId="9" xfId="2" applyNumberFormat="1" applyFont="1" applyFill="1" applyBorder="1" applyAlignment="1">
      <alignment horizontal="center" vertical="center"/>
    </xf>
    <xf numFmtId="10" fontId="4" fillId="6" borderId="13" xfId="2" applyNumberFormat="1" applyFont="1" applyFill="1" applyBorder="1" applyAlignment="1">
      <alignment horizontal="center" vertical="center"/>
    </xf>
    <xf numFmtId="10" fontId="4" fillId="6" borderId="14" xfId="2" applyNumberFormat="1" applyFont="1" applyFill="1" applyBorder="1" applyAlignment="1">
      <alignment horizontal="center" vertical="center"/>
    </xf>
    <xf numFmtId="10" fontId="4" fillId="7" borderId="8" xfId="2" applyNumberFormat="1" applyFont="1" applyFill="1" applyBorder="1" applyAlignment="1">
      <alignment horizontal="center" vertical="center"/>
    </xf>
    <xf numFmtId="10" fontId="4" fillId="7" borderId="9" xfId="2" applyNumberFormat="1" applyFont="1" applyFill="1" applyBorder="1" applyAlignment="1">
      <alignment horizontal="center" vertical="center"/>
    </xf>
    <xf numFmtId="10" fontId="4" fillId="7" borderId="1" xfId="2" applyNumberFormat="1" applyFont="1" applyFill="1" applyBorder="1" applyAlignment="1">
      <alignment horizontal="center" vertical="center"/>
    </xf>
    <xf numFmtId="10" fontId="4" fillId="7" borderId="11" xfId="2" applyNumberFormat="1" applyFont="1" applyFill="1" applyBorder="1" applyAlignment="1">
      <alignment horizontal="center" vertical="center"/>
    </xf>
    <xf numFmtId="10" fontId="4" fillId="7" borderId="13" xfId="2" applyNumberFormat="1" applyFont="1" applyFill="1" applyBorder="1" applyAlignment="1">
      <alignment horizontal="center" vertical="center"/>
    </xf>
    <xf numFmtId="10" fontId="4" fillId="7" borderId="14" xfId="2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164" fontId="4" fillId="7" borderId="9" xfId="1" applyNumberFormat="1" applyFont="1" applyFill="1" applyBorder="1" applyAlignment="1">
      <alignment horizontal="center" vertical="center"/>
    </xf>
    <xf numFmtId="164" fontId="4" fillId="7" borderId="11" xfId="1" applyNumberFormat="1" applyFont="1" applyFill="1" applyBorder="1" applyAlignment="1">
      <alignment horizontal="center" vertical="center"/>
    </xf>
    <xf numFmtId="164" fontId="4" fillId="7" borderId="14" xfId="1" applyNumberFormat="1" applyFont="1" applyFill="1" applyBorder="1" applyAlignment="1">
      <alignment horizontal="center" vertical="center"/>
    </xf>
    <xf numFmtId="164" fontId="4" fillId="8" borderId="9" xfId="1" applyNumberFormat="1" applyFont="1" applyFill="1" applyBorder="1" applyAlignment="1">
      <alignment horizontal="center" vertical="center"/>
    </xf>
    <xf numFmtId="164" fontId="4" fillId="8" borderId="11" xfId="1" applyNumberFormat="1" applyFont="1" applyFill="1" applyBorder="1" applyAlignment="1">
      <alignment horizontal="center" vertical="center"/>
    </xf>
    <xf numFmtId="164" fontId="4" fillId="8" borderId="14" xfId="1" applyNumberFormat="1" applyFont="1" applyFill="1" applyBorder="1" applyAlignment="1">
      <alignment horizontal="center" vertical="center"/>
    </xf>
    <xf numFmtId="10" fontId="4" fillId="10" borderId="1" xfId="2" applyNumberFormat="1" applyFont="1" applyFill="1" applyBorder="1" applyAlignment="1">
      <alignment horizontal="center" vertical="center"/>
    </xf>
    <xf numFmtId="10" fontId="4" fillId="10" borderId="11" xfId="2" applyNumberFormat="1" applyFont="1" applyFill="1" applyBorder="1" applyAlignment="1">
      <alignment horizontal="center" vertical="center"/>
    </xf>
    <xf numFmtId="10" fontId="4" fillId="10" borderId="13" xfId="2" applyNumberFormat="1" applyFont="1" applyFill="1" applyBorder="1" applyAlignment="1">
      <alignment horizontal="center" vertical="center"/>
    </xf>
    <xf numFmtId="10" fontId="4" fillId="10" borderId="14" xfId="2" applyNumberFormat="1" applyFont="1" applyFill="1" applyBorder="1" applyAlignment="1">
      <alignment horizontal="center" vertical="center"/>
    </xf>
    <xf numFmtId="10" fontId="4" fillId="10" borderId="8" xfId="2" applyNumberFormat="1" applyFont="1" applyFill="1" applyBorder="1" applyAlignment="1">
      <alignment horizontal="center" vertical="center"/>
    </xf>
    <xf numFmtId="10" fontId="4" fillId="10" borderId="9" xfId="2" applyNumberFormat="1" applyFont="1" applyFill="1" applyBorder="1" applyAlignment="1">
      <alignment horizontal="center" vertical="center"/>
    </xf>
    <xf numFmtId="10" fontId="3" fillId="6" borderId="1" xfId="2" applyNumberFormat="1" applyFont="1" applyFill="1" applyBorder="1" applyAlignment="1">
      <alignment horizontal="center" vertical="center"/>
    </xf>
    <xf numFmtId="10" fontId="3" fillId="7" borderId="1" xfId="2" applyNumberFormat="1" applyFont="1" applyFill="1" applyBorder="1" applyAlignment="1">
      <alignment horizontal="center" vertical="center"/>
    </xf>
    <xf numFmtId="10" fontId="3" fillId="8" borderId="1" xfId="2" applyNumberFormat="1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/>
    </xf>
    <xf numFmtId="0" fontId="4" fillId="13" borderId="19" xfId="0" applyFont="1" applyFill="1" applyBorder="1" applyAlignment="1">
      <alignment horizontal="center" vertical="center"/>
    </xf>
    <xf numFmtId="10" fontId="4" fillId="9" borderId="1" xfId="2" applyNumberFormat="1" applyFont="1" applyFill="1" applyBorder="1" applyAlignment="1">
      <alignment horizontal="center" vertical="center"/>
    </xf>
    <xf numFmtId="10" fontId="4" fillId="9" borderId="11" xfId="2" applyNumberFormat="1" applyFont="1" applyFill="1" applyBorder="1" applyAlignment="1">
      <alignment horizontal="center" vertical="center"/>
    </xf>
    <xf numFmtId="10" fontId="4" fillId="9" borderId="13" xfId="2" applyNumberFormat="1" applyFont="1" applyFill="1" applyBorder="1" applyAlignment="1">
      <alignment horizontal="center" vertical="center"/>
    </xf>
    <xf numFmtId="10" fontId="4" fillId="9" borderId="14" xfId="2" applyNumberFormat="1" applyFont="1" applyFill="1" applyBorder="1" applyAlignment="1">
      <alignment horizontal="center" vertical="center"/>
    </xf>
    <xf numFmtId="10" fontId="4" fillId="8" borderId="8" xfId="2" applyNumberFormat="1" applyFont="1" applyFill="1" applyBorder="1" applyAlignment="1">
      <alignment horizontal="center" vertical="center"/>
    </xf>
    <xf numFmtId="10" fontId="4" fillId="8" borderId="9" xfId="2" applyNumberFormat="1" applyFont="1" applyFill="1" applyBorder="1" applyAlignment="1">
      <alignment horizontal="center" vertical="center"/>
    </xf>
    <xf numFmtId="10" fontId="4" fillId="8" borderId="1" xfId="2" applyNumberFormat="1" applyFont="1" applyFill="1" applyBorder="1" applyAlignment="1">
      <alignment horizontal="center" vertical="center"/>
    </xf>
    <xf numFmtId="10" fontId="4" fillId="8" borderId="11" xfId="2" applyNumberFormat="1" applyFont="1" applyFill="1" applyBorder="1" applyAlignment="1">
      <alignment horizontal="center" vertical="center"/>
    </xf>
    <xf numFmtId="10" fontId="4" fillId="8" borderId="13" xfId="2" applyNumberFormat="1" applyFont="1" applyFill="1" applyBorder="1" applyAlignment="1">
      <alignment horizontal="center" vertical="center"/>
    </xf>
    <xf numFmtId="10" fontId="4" fillId="8" borderId="14" xfId="2" applyNumberFormat="1" applyFont="1" applyFill="1" applyBorder="1" applyAlignment="1">
      <alignment horizontal="center" vertical="center"/>
    </xf>
    <xf numFmtId="10" fontId="4" fillId="9" borderId="8" xfId="2" applyNumberFormat="1" applyFont="1" applyFill="1" applyBorder="1" applyAlignment="1">
      <alignment horizontal="center" vertical="center"/>
    </xf>
    <xf numFmtId="10" fontId="4" fillId="9" borderId="9" xfId="2" applyNumberFormat="1" applyFont="1" applyFill="1" applyBorder="1" applyAlignment="1">
      <alignment horizontal="center" vertical="center"/>
    </xf>
    <xf numFmtId="164" fontId="9" fillId="8" borderId="1" xfId="1" applyNumberFormat="1" applyFont="1" applyFill="1" applyBorder="1" applyAlignment="1">
      <alignment horizontal="center" vertical="center"/>
    </xf>
    <xf numFmtId="164" fontId="9" fillId="8" borderId="13" xfId="1" applyNumberFormat="1" applyFont="1" applyFill="1" applyBorder="1" applyAlignment="1">
      <alignment horizontal="center" vertical="center"/>
    </xf>
    <xf numFmtId="0" fontId="10" fillId="12" borderId="27" xfId="0" applyFont="1" applyFill="1" applyBorder="1" applyAlignment="1">
      <alignment horizontal="center" vertical="center"/>
    </xf>
    <xf numFmtId="164" fontId="9" fillId="6" borderId="8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164" fontId="9" fillId="6" borderId="13" xfId="1" applyNumberFormat="1" applyFont="1" applyFill="1" applyBorder="1" applyAlignment="1">
      <alignment horizontal="center" vertical="center"/>
    </xf>
    <xf numFmtId="164" fontId="9" fillId="7" borderId="8" xfId="1" applyNumberFormat="1" applyFont="1" applyFill="1" applyBorder="1" applyAlignment="1">
      <alignment horizontal="center" vertical="center"/>
    </xf>
    <xf numFmtId="164" fontId="9" fillId="7" borderId="1" xfId="1" applyNumberFormat="1" applyFont="1" applyFill="1" applyBorder="1" applyAlignment="1">
      <alignment horizontal="center" vertical="center"/>
    </xf>
    <xf numFmtId="10" fontId="9" fillId="7" borderId="8" xfId="2" applyNumberFormat="1" applyFont="1" applyFill="1" applyBorder="1" applyAlignment="1">
      <alignment horizontal="center" vertical="center"/>
    </xf>
    <xf numFmtId="10" fontId="9" fillId="7" borderId="1" xfId="2" applyNumberFormat="1" applyFont="1" applyFill="1" applyBorder="1" applyAlignment="1">
      <alignment horizontal="center" vertical="center"/>
    </xf>
    <xf numFmtId="164" fontId="9" fillId="7" borderId="13" xfId="1" applyNumberFormat="1" applyFont="1" applyFill="1" applyBorder="1" applyAlignment="1">
      <alignment horizontal="center" vertical="center"/>
    </xf>
    <xf numFmtId="10" fontId="9" fillId="8" borderId="8" xfId="2" applyNumberFormat="1" applyFont="1" applyFill="1" applyBorder="1" applyAlignment="1">
      <alignment horizontal="center" vertical="center"/>
    </xf>
    <xf numFmtId="10" fontId="9" fillId="8" borderId="1" xfId="2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10" fontId="9" fillId="6" borderId="8" xfId="2" applyNumberFormat="1" applyFont="1" applyFill="1" applyBorder="1" applyAlignment="1">
      <alignment horizontal="center" vertical="center"/>
    </xf>
    <xf numFmtId="10" fontId="9" fillId="6" borderId="1" xfId="2" applyNumberFormat="1" applyFont="1" applyFill="1" applyBorder="1" applyAlignment="1">
      <alignment horizontal="center" vertical="center"/>
    </xf>
    <xf numFmtId="0" fontId="7" fillId="15" borderId="12" xfId="0" applyFont="1" applyFill="1" applyBorder="1" applyAlignment="1">
      <alignment horizontal="center"/>
    </xf>
    <xf numFmtId="0" fontId="7" fillId="15" borderId="13" xfId="0" applyFont="1" applyFill="1" applyBorder="1" applyAlignment="1">
      <alignment horizontal="center"/>
    </xf>
    <xf numFmtId="8" fontId="7" fillId="15" borderId="13" xfId="0" applyNumberFormat="1" applyFont="1" applyFill="1" applyBorder="1" applyAlignment="1">
      <alignment horizontal="center"/>
    </xf>
    <xf numFmtId="0" fontId="7" fillId="15" borderId="14" xfId="0" applyFont="1" applyFill="1" applyBorder="1" applyAlignment="1">
      <alignment horizontal="center"/>
    </xf>
    <xf numFmtId="0" fontId="4" fillId="12" borderId="44" xfId="0" applyFont="1" applyFill="1" applyBorder="1" applyAlignment="1">
      <alignment horizontal="center" vertical="center"/>
    </xf>
    <xf numFmtId="0" fontId="4" fillId="12" borderId="4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10" fontId="7" fillId="5" borderId="1" xfId="2" applyNumberFormat="1" applyFont="1" applyFill="1" applyBorder="1" applyAlignment="1">
      <alignment horizontal="center" vertical="center"/>
    </xf>
    <xf numFmtId="9" fontId="2" fillId="3" borderId="1" xfId="2" applyFont="1" applyFill="1" applyBorder="1" applyAlignment="1">
      <alignment horizontal="center"/>
    </xf>
    <xf numFmtId="164" fontId="9" fillId="8" borderId="8" xfId="1" applyNumberFormat="1" applyFont="1" applyFill="1" applyBorder="1" applyAlignment="1">
      <alignment horizontal="center" vertical="center"/>
    </xf>
    <xf numFmtId="0" fontId="10" fillId="12" borderId="21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10" fontId="3" fillId="6" borderId="11" xfId="2" applyNumberFormat="1" applyFont="1" applyFill="1" applyBorder="1" applyAlignment="1">
      <alignment horizontal="center" vertical="center"/>
    </xf>
    <xf numFmtId="10" fontId="3" fillId="7" borderId="11" xfId="2" applyNumberFormat="1" applyFont="1" applyFill="1" applyBorder="1" applyAlignment="1">
      <alignment horizontal="center" vertical="center"/>
    </xf>
    <xf numFmtId="10" fontId="3" fillId="8" borderId="11" xfId="2" applyNumberFormat="1" applyFont="1" applyFill="1" applyBorder="1" applyAlignment="1">
      <alignment horizontal="center" vertical="center"/>
    </xf>
    <xf numFmtId="10" fontId="3" fillId="9" borderId="1" xfId="2" applyNumberFormat="1" applyFont="1" applyFill="1" applyBorder="1" applyAlignment="1">
      <alignment horizontal="center" vertical="center"/>
    </xf>
    <xf numFmtId="10" fontId="3" fillId="9" borderId="11" xfId="2" applyNumberFormat="1" applyFont="1" applyFill="1" applyBorder="1" applyAlignment="1">
      <alignment horizontal="center" vertical="center"/>
    </xf>
    <xf numFmtId="10" fontId="3" fillId="10" borderId="13" xfId="2" applyNumberFormat="1" applyFont="1" applyFill="1" applyBorder="1" applyAlignment="1">
      <alignment horizontal="center" vertical="center"/>
    </xf>
    <xf numFmtId="10" fontId="3" fillId="10" borderId="14" xfId="2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8" fontId="7" fillId="5" borderId="1" xfId="0" applyNumberFormat="1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8" fontId="7" fillId="5" borderId="11" xfId="0" applyNumberFormat="1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165" fontId="2" fillId="14" borderId="10" xfId="0" applyNumberFormat="1" applyFont="1" applyFill="1" applyBorder="1" applyAlignment="1">
      <alignment horizontal="center" vertical="center"/>
    </xf>
    <xf numFmtId="165" fontId="2" fillId="14" borderId="1" xfId="0" applyNumberFormat="1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164" fontId="4" fillId="9" borderId="9" xfId="1" applyNumberFormat="1" applyFont="1" applyFill="1" applyBorder="1" applyAlignment="1">
      <alignment horizontal="center" vertical="center"/>
    </xf>
    <xf numFmtId="164" fontId="4" fillId="9" borderId="11" xfId="1" applyNumberFormat="1" applyFont="1" applyFill="1" applyBorder="1" applyAlignment="1">
      <alignment horizontal="center" vertical="center"/>
    </xf>
    <xf numFmtId="164" fontId="4" fillId="9" borderId="14" xfId="1" applyNumberFormat="1" applyFont="1" applyFill="1" applyBorder="1" applyAlignment="1">
      <alignment horizontal="center" vertical="center"/>
    </xf>
    <xf numFmtId="164" fontId="4" fillId="10" borderId="9" xfId="1" applyNumberFormat="1" applyFont="1" applyFill="1" applyBorder="1" applyAlignment="1">
      <alignment horizontal="center" vertical="center"/>
    </xf>
    <xf numFmtId="164" fontId="4" fillId="10" borderId="11" xfId="1" applyNumberFormat="1" applyFont="1" applyFill="1" applyBorder="1" applyAlignment="1">
      <alignment horizontal="center" vertical="center"/>
    </xf>
    <xf numFmtId="164" fontId="4" fillId="10" borderId="14" xfId="1" applyNumberFormat="1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164" fontId="4" fillId="6" borderId="23" xfId="1" applyNumberFormat="1" applyFont="1" applyFill="1" applyBorder="1" applyAlignment="1">
      <alignment horizontal="center" vertical="center"/>
    </xf>
    <xf numFmtId="164" fontId="4" fillId="6" borderId="24" xfId="1" applyNumberFormat="1" applyFont="1" applyFill="1" applyBorder="1" applyAlignment="1">
      <alignment horizontal="center" vertical="center"/>
    </xf>
    <xf numFmtId="164" fontId="4" fillId="6" borderId="25" xfId="1" applyNumberFormat="1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/>
    </xf>
    <xf numFmtId="166" fontId="14" fillId="14" borderId="1" xfId="1" applyNumberFormat="1" applyFont="1" applyFill="1" applyBorder="1" applyAlignment="1">
      <alignment horizontal="center"/>
    </xf>
    <xf numFmtId="0" fontId="14" fillId="14" borderId="1" xfId="0" applyFont="1" applyFill="1" applyBorder="1" applyAlignment="1">
      <alignment horizontal="center"/>
    </xf>
    <xf numFmtId="0" fontId="14" fillId="16" borderId="16" xfId="0" applyFont="1" applyFill="1" applyBorder="1" applyAlignment="1">
      <alignment horizontal="center"/>
    </xf>
    <xf numFmtId="0" fontId="14" fillId="16" borderId="27" xfId="0" applyFont="1" applyFill="1" applyBorder="1" applyAlignment="1">
      <alignment horizontal="center"/>
    </xf>
    <xf numFmtId="0" fontId="14" fillId="16" borderId="28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2"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A92A-1972-4EF8-99CA-F6380678E3D2}">
  <sheetPr codeName="Sheet1"/>
  <dimension ref="A1:AA82"/>
  <sheetViews>
    <sheetView zoomScale="63" zoomScaleNormal="63" workbookViewId="0">
      <selection activeCell="E13" sqref="E13:O30"/>
    </sheetView>
  </sheetViews>
  <sheetFormatPr defaultColWidth="9.1796875" defaultRowHeight="17" x14ac:dyDescent="0.4"/>
  <cols>
    <col min="1" max="1" width="17.1796875" style="1" customWidth="1"/>
    <col min="2" max="2" width="12.7265625" style="1" customWidth="1"/>
    <col min="3" max="3" width="12" style="1" customWidth="1"/>
    <col min="4" max="4" width="11.26953125" style="1" customWidth="1"/>
    <col min="5" max="5" width="7.81640625" style="1" customWidth="1"/>
    <col min="6" max="6" width="7" style="1" customWidth="1"/>
    <col min="7" max="7" width="4.26953125" style="1" customWidth="1"/>
    <col min="8" max="8" width="7.453125" style="1" customWidth="1"/>
    <col min="9" max="9" width="11" style="1" customWidth="1"/>
    <col min="10" max="10" width="11.54296875" style="1" customWidth="1"/>
    <col min="11" max="11" width="10.453125" style="1" bestFit="1" customWidth="1"/>
    <col min="12" max="12" width="10" style="1" customWidth="1"/>
    <col min="13" max="13" width="14.1796875" style="1" customWidth="1"/>
    <col min="14" max="14" width="13.1796875" style="1" customWidth="1"/>
    <col min="15" max="15" width="11.54296875" style="1" customWidth="1"/>
    <col min="16" max="16" width="14" style="1" bestFit="1" customWidth="1"/>
    <col min="17" max="17" width="9.7265625" style="1" bestFit="1" customWidth="1"/>
    <col min="18" max="18" width="10.54296875" style="1" bestFit="1" customWidth="1"/>
    <col min="19" max="19" width="1.7265625" style="1" customWidth="1"/>
    <col min="20" max="21" width="14.7265625" style="1" customWidth="1"/>
    <col min="22" max="22" width="1.7265625" style="1" customWidth="1"/>
    <col min="23" max="23" width="14.7265625" style="1" customWidth="1"/>
    <col min="24" max="24" width="12.1796875" style="1" customWidth="1"/>
    <col min="25" max="25" width="1.7265625" style="1" customWidth="1"/>
    <col min="26" max="26" width="14" style="1" customWidth="1"/>
    <col min="27" max="27" width="12.54296875" style="1" customWidth="1"/>
    <col min="28" max="16384" width="9.1796875" style="1"/>
  </cols>
  <sheetData>
    <row r="1" spans="1:27" ht="22.5" customHeight="1" x14ac:dyDescent="0.4">
      <c r="A1" s="212" t="s">
        <v>0</v>
      </c>
      <c r="B1" s="212"/>
      <c r="C1" s="212"/>
      <c r="D1" s="213"/>
      <c r="E1" s="213"/>
      <c r="F1" s="213"/>
      <c r="G1" s="213"/>
      <c r="H1" s="213"/>
      <c r="I1" s="214" t="s">
        <v>1</v>
      </c>
      <c r="J1" s="214"/>
      <c r="K1" s="215"/>
      <c r="L1" s="215"/>
      <c r="M1" s="215"/>
      <c r="N1" s="215"/>
      <c r="O1" s="215"/>
      <c r="P1" s="216" t="s">
        <v>100</v>
      </c>
      <c r="Q1" s="216"/>
      <c r="R1" s="216"/>
      <c r="S1" s="203"/>
      <c r="T1" s="246" t="s">
        <v>33</v>
      </c>
      <c r="U1" s="247"/>
      <c r="V1" s="245"/>
      <c r="W1" s="223" t="s">
        <v>35</v>
      </c>
      <c r="X1" s="225"/>
      <c r="Y1" s="248"/>
      <c r="Z1" s="250" t="s">
        <v>36</v>
      </c>
      <c r="AA1" s="251"/>
    </row>
    <row r="2" spans="1:27" x14ac:dyDescent="0.4">
      <c r="A2" s="212"/>
      <c r="B2" s="212"/>
      <c r="C2" s="212"/>
      <c r="D2" s="213"/>
      <c r="E2" s="213"/>
      <c r="F2" s="213"/>
      <c r="G2" s="213"/>
      <c r="H2" s="213"/>
      <c r="I2" s="214"/>
      <c r="J2" s="214"/>
      <c r="K2" s="215"/>
      <c r="L2" s="215"/>
      <c r="M2" s="215"/>
      <c r="N2" s="215"/>
      <c r="O2" s="215"/>
      <c r="P2" s="216"/>
      <c r="Q2" s="216"/>
      <c r="R2" s="216"/>
      <c r="S2" s="203"/>
      <c r="T2" s="124" t="s">
        <v>6</v>
      </c>
      <c r="U2" s="125" t="s">
        <v>34</v>
      </c>
      <c r="V2" s="245"/>
      <c r="W2" s="130" t="s">
        <v>6</v>
      </c>
      <c r="X2" s="131" t="s">
        <v>34</v>
      </c>
      <c r="Y2" s="248"/>
      <c r="Z2" s="149" t="s">
        <v>2</v>
      </c>
      <c r="AA2" s="150" t="s">
        <v>34</v>
      </c>
    </row>
    <row r="3" spans="1:27" ht="25.5" customHeight="1" x14ac:dyDescent="0.4">
      <c r="A3" s="217" t="s">
        <v>37</v>
      </c>
      <c r="B3" s="217"/>
      <c r="C3" s="217"/>
      <c r="D3" s="217"/>
      <c r="E3" s="217"/>
      <c r="F3" s="217"/>
      <c r="G3" s="217"/>
      <c r="H3" s="217"/>
      <c r="I3" s="217"/>
      <c r="J3" s="210" t="s">
        <v>39</v>
      </c>
      <c r="K3" s="210" t="s">
        <v>40</v>
      </c>
      <c r="L3" s="210" t="s">
        <v>41</v>
      </c>
      <c r="M3" s="211" t="s">
        <v>42</v>
      </c>
      <c r="N3" s="211" t="s">
        <v>43</v>
      </c>
      <c r="O3" s="211" t="s">
        <v>44</v>
      </c>
      <c r="P3" s="218" t="s">
        <v>38</v>
      </c>
      <c r="Q3" s="218"/>
      <c r="R3" s="218"/>
      <c r="S3" s="203"/>
      <c r="T3" s="126">
        <v>36</v>
      </c>
      <c r="U3" s="127">
        <f>IF(K1&gt;=A35,D35,IF(K1&gt;=A40,D40,IF(K1&gt;=A45,D45,IF(K1&gt;=A50,D50,IF(K1&lt;=B55,D55)))))</f>
        <v>0.10589999999999999</v>
      </c>
      <c r="V3" s="245"/>
      <c r="W3" s="132">
        <v>36</v>
      </c>
      <c r="X3" s="133">
        <f>IF(K1&gt;=E35, H35, IF(K1&gt;=E40, H40, IF(K1&gt;=E45, H45, IF(K1&gt;=E50, H50, IF(K1&lt;=F55, H55)))))</f>
        <v>0.1229</v>
      </c>
      <c r="Y3" s="248"/>
      <c r="Z3" s="151" t="str">
        <f>Worksheet!Q34</f>
        <v>Platinum</v>
      </c>
      <c r="AA3" s="152">
        <f>IF(K1&gt;=O35, Q35, IF(K1&gt;=O36, Q36, IF(K1&gt;=O37, Q37, IF(K1&gt;=O38, Q38, IF(K1&lt;=P39, Q39)))))</f>
        <v>0.1575</v>
      </c>
    </row>
    <row r="4" spans="1:27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2</v>
      </c>
      <c r="F4" s="4" t="s">
        <v>6</v>
      </c>
      <c r="G4" s="209" t="s">
        <v>31</v>
      </c>
      <c r="H4" s="209"/>
      <c r="I4" s="4" t="s">
        <v>32</v>
      </c>
      <c r="J4" s="210"/>
      <c r="K4" s="210"/>
      <c r="L4" s="210"/>
      <c r="M4" s="211"/>
      <c r="N4" s="211"/>
      <c r="O4" s="211"/>
      <c r="P4" s="7" t="s">
        <v>2</v>
      </c>
      <c r="Q4" s="7" t="s">
        <v>3</v>
      </c>
      <c r="R4" s="7" t="s">
        <v>5</v>
      </c>
      <c r="S4" s="203"/>
      <c r="T4" s="126">
        <v>48</v>
      </c>
      <c r="U4" s="127">
        <f>IF(K1&gt;=A35, D36, IF(K1&gt;=A40, D41, IF(K1&gt;=A45, D46, IF(K1&gt;=A50, D51, IF(K1&lt;=B55, D56)))))</f>
        <v>0.10589999999999999</v>
      </c>
      <c r="V4" s="245"/>
      <c r="W4" s="132">
        <v>48</v>
      </c>
      <c r="X4" s="133">
        <f>IF(K1&gt;=E35, H36, IF(K1&gt;=E40, H41, IF(K1&gt;=E45, H46, IF(K1&gt;=E50, H51, IF(K1&lt;=F55, H56)))))</f>
        <v>0.1229</v>
      </c>
      <c r="Y4" s="248"/>
      <c r="Z4" s="151" t="str">
        <f>Worksheet!S34</f>
        <v>Rewards</v>
      </c>
      <c r="AA4" s="152">
        <f>IF(K1&gt;=O35, S35, IF(K1&gt;=O36, S36, IF(K1&gt;=O37, S37, IF(K1&gt;=O38, S38, IF(K1&lt;=P39, S39)))))</f>
        <v>0.16850000000000001</v>
      </c>
    </row>
    <row r="5" spans="1:27" x14ac:dyDescent="0.4">
      <c r="A5" s="3" t="s">
        <v>7</v>
      </c>
      <c r="B5" s="44"/>
      <c r="C5" s="44"/>
      <c r="D5" s="44"/>
      <c r="E5" s="204"/>
      <c r="F5" s="204"/>
      <c r="G5" s="204"/>
      <c r="H5" s="204"/>
      <c r="I5" s="204"/>
      <c r="J5" s="210"/>
      <c r="K5" s="210"/>
      <c r="L5" s="210"/>
      <c r="M5" s="211"/>
      <c r="N5" s="211"/>
      <c r="O5" s="211"/>
      <c r="P5" s="5" t="str">
        <f>A5</f>
        <v>1st Mtg/Rent</v>
      </c>
      <c r="Q5" s="5"/>
      <c r="R5" s="5"/>
      <c r="S5" s="203"/>
      <c r="T5" s="126">
        <v>60</v>
      </c>
      <c r="U5" s="127">
        <f>IF(K1&gt;=A35, D37, IF(K1&gt;=A40, D42, IF(K1&gt;=A45, D47, IF(K1&gt;=A50, D52, IF(K1&lt;=B55, D57)))))</f>
        <v>0.10589999999999999</v>
      </c>
      <c r="V5" s="245"/>
      <c r="W5" s="132">
        <v>60</v>
      </c>
      <c r="X5" s="133">
        <f>IF(K1&gt;=E35, H37, IF(K1&gt;=E40, H42, IF(K1&gt;=E45, H47, IF(K1&gt;=E50, H52, IF(K1&lt;=F55, H57)))))</f>
        <v>0.1229</v>
      </c>
      <c r="Y5" s="248"/>
      <c r="Z5" s="151" t="str">
        <f>Worksheet!U34</f>
        <v>Student</v>
      </c>
      <c r="AA5" s="152">
        <f>IF(K1&gt;=O35, U35, IF(K1&gt;=O36, U36, IF(K1&gt;=O37, U37, IF(K1&gt;=O38, U38, IF(K1&lt;=P39, U39)))))</f>
        <v>0.16850000000000001</v>
      </c>
    </row>
    <row r="6" spans="1:27" ht="17.25" customHeight="1" x14ac:dyDescent="0.4">
      <c r="A6" s="3" t="s">
        <v>8</v>
      </c>
      <c r="B6" s="44"/>
      <c r="C6" s="44"/>
      <c r="D6" s="44"/>
      <c r="E6" s="6"/>
      <c r="F6" s="2"/>
      <c r="G6" s="204"/>
      <c r="H6" s="204"/>
      <c r="I6" s="101" t="str">
        <f>IF(E6="","",IF(E6=B76,C76,IF(E6=B77,C77)))</f>
        <v/>
      </c>
      <c r="J6" s="210"/>
      <c r="K6" s="210"/>
      <c r="L6" s="210"/>
      <c r="M6" s="211"/>
      <c r="N6" s="211"/>
      <c r="O6" s="211"/>
      <c r="P6" s="45" t="str">
        <f t="shared" ref="P6:P10" si="0">A6</f>
        <v>2nd Mtg</v>
      </c>
      <c r="Q6" s="46"/>
      <c r="R6" s="46"/>
      <c r="S6" s="203"/>
      <c r="T6" s="126">
        <v>72</v>
      </c>
      <c r="U6" s="127">
        <f>IF(K1&gt;=A35, D38, IF(K1&gt;=A40, D43, IF(K1&gt;=A45, D48, IF(K1&gt;=A50, D53, IF(K1&lt;=B55, D58)))))</f>
        <v>0.1094</v>
      </c>
      <c r="V6" s="245"/>
      <c r="W6" s="132">
        <v>72</v>
      </c>
      <c r="X6" s="133">
        <f>IF(K1&gt;=E35, H38, IF(K1&gt;=E40, H43, IF(K1&gt;=E45, H48, IF(K1&gt;=E50, H53, IF(K1&lt;=F55, H58)))))</f>
        <v>0.12640000000000001</v>
      </c>
      <c r="Y6" s="248"/>
      <c r="Z6" s="151" t="str">
        <f>Worksheet!W34</f>
        <v>Cash Back</v>
      </c>
      <c r="AA6" s="152">
        <f>IF(K1&gt;=O35, W35, IF(K1&gt;=O36, W36, IF(K1&gt;=O37, W37, IF(K1&gt;=O38, W38, IF(K1&lt;=P39, W39)))))</f>
        <v>0.16850000000000001</v>
      </c>
    </row>
    <row r="7" spans="1:27" ht="17.5" thickBot="1" x14ac:dyDescent="0.45">
      <c r="A7" s="3" t="s">
        <v>9</v>
      </c>
      <c r="B7" s="44"/>
      <c r="C7" s="44"/>
      <c r="D7" s="44"/>
      <c r="E7" s="6"/>
      <c r="F7" s="2"/>
      <c r="G7" s="205"/>
      <c r="H7" s="205"/>
      <c r="I7" s="101" t="str">
        <f>IFERROR(RATE(F7, -D7, C7)*12, "")</f>
        <v/>
      </c>
      <c r="J7" s="102">
        <f>IF(E7=$D$32, (IF(L7&lt;=36.01, $U$3, IF(L7&lt;=48.01, $U$4, (IF(L7&lt;=60.01, $U$5, IF(L7&lt;=72.01, $U$6, IF(L7&lt;=84.01, $U$7))))))))+IF(E7=$D$33, IF(L7&lt;=36.01, $X$3, IF(L7&lt;=48.01, $X$4, (IF(L7&lt;=60.01, $X$5, IF(L7&lt;=72.01, $X$6, IF(L7&lt;=84.01, $X$7)))))))+IF(G7=$B$32, -$C$32)</f>
        <v>0</v>
      </c>
      <c r="K7" s="103" t="str">
        <f>IFERROR(PMT(J7/12, L7, -B7), "")</f>
        <v/>
      </c>
      <c r="L7" s="100" t="str">
        <f>'Savings Calculator'!B5</f>
        <v/>
      </c>
      <c r="M7" s="120" t="str">
        <f>IFERROR(((('Savings Calculator'!B6-((Worksheet!K7*Worksheet!L7)-Worksheet!B7)))), "")</f>
        <v/>
      </c>
      <c r="N7" s="5"/>
      <c r="O7" s="5"/>
      <c r="P7" s="45" t="str">
        <f t="shared" si="0"/>
        <v>Auto 1</v>
      </c>
      <c r="Q7" s="46"/>
      <c r="R7" s="46"/>
      <c r="S7" s="203"/>
      <c r="T7" s="128">
        <v>84</v>
      </c>
      <c r="U7" s="129">
        <f>IF(K1&gt;=A35, D39, IF(K1&gt;=A40, D44, IF(K1&gt;=A45, D49, IF(K1&gt;=A50, D54, IF(K1&lt;=B55, D59)))))</f>
        <v>0.1134</v>
      </c>
      <c r="V7" s="245"/>
      <c r="W7" s="138">
        <v>84</v>
      </c>
      <c r="X7" s="139">
        <f>IF(K1&gt;=E35, H39, IF(K1&gt;=E40, H44, IF(K1&gt;=E45, H49, IF(K1&gt;=E50, H54, IF(K1&lt;=F55, H59)))))</f>
        <v>0.13039999999999999</v>
      </c>
      <c r="Y7" s="249"/>
      <c r="Z7" s="153"/>
      <c r="AA7" s="154"/>
    </row>
    <row r="8" spans="1:27" x14ac:dyDescent="0.4">
      <c r="A8" s="3" t="s">
        <v>10</v>
      </c>
      <c r="B8" s="44"/>
      <c r="C8" s="44"/>
      <c r="D8" s="44"/>
      <c r="E8" s="6"/>
      <c r="F8" s="2"/>
      <c r="G8" s="205"/>
      <c r="H8" s="205"/>
      <c r="I8" s="101" t="str">
        <f t="shared" ref="I8:I10" si="1">IFERROR(RATE(F8, -D8, C8)*12, "")</f>
        <v/>
      </c>
      <c r="J8" s="102">
        <f>IF(E8=$D$32, (IF(L8&lt;=36.01, $U$3, IF(L8&lt;=48.01, $U$4, (IF(L8&lt;=60.01, $U$5, IF(L8&lt;=72.01, $U$6, IF(L8&lt;=84.01, $U$7))))))))+IF(E8=$D$33, IF(L8&lt;=36.01, $X$3, IF(L8&lt;=48.01, $X$4, (IF(L8&lt;=60.01, $X$5, IF(L8&lt;=72.01, $X$6, IF(L8&lt;=84.01, $X$7)))))))+IF(G8=$B$32, -$C$32)</f>
        <v>0</v>
      </c>
      <c r="K8" s="103" t="str">
        <f>IFERROR(PMT(J8/12, L8, -B8), "")</f>
        <v/>
      </c>
      <c r="L8" s="100" t="str">
        <f>'Savings Calculator'!H5</f>
        <v/>
      </c>
      <c r="M8" s="121" t="str">
        <f>IFERROR(((('Savings Calculator'!H6-((Worksheet!K8*Worksheet!L8)-Worksheet!B8)))), "")</f>
        <v/>
      </c>
      <c r="N8" s="5"/>
      <c r="O8" s="5"/>
      <c r="P8" s="45" t="str">
        <f t="shared" si="0"/>
        <v>Auto 2</v>
      </c>
      <c r="Q8" s="46"/>
      <c r="R8" s="46"/>
      <c r="S8" s="203"/>
      <c r="T8" s="229" t="s">
        <v>63</v>
      </c>
      <c r="U8" s="230"/>
      <c r="V8" s="245"/>
      <c r="W8" s="233" t="s">
        <v>64</v>
      </c>
      <c r="X8" s="234"/>
      <c r="Y8" s="234"/>
      <c r="Z8" s="234"/>
      <c r="AA8" s="235"/>
    </row>
    <row r="9" spans="1:27" x14ac:dyDescent="0.4">
      <c r="A9" s="3" t="s">
        <v>11</v>
      </c>
      <c r="B9" s="44"/>
      <c r="C9" s="44"/>
      <c r="D9" s="44"/>
      <c r="E9" s="6"/>
      <c r="F9" s="2"/>
      <c r="G9" s="205"/>
      <c r="H9" s="205"/>
      <c r="I9" s="101" t="str">
        <f t="shared" si="1"/>
        <v/>
      </c>
      <c r="J9" s="102">
        <f>IF(E9=$D$32, (IF(L9&lt;=36.01, $U$3, IF(L9&lt;=48.01, $U$4, (IF(L9&lt;=60.01, $U$5, IF(L9&lt;=72.01, $U$6, IF(L9&lt;=84.01, $U$7))))))))+IF(E9=$D$33, IF(L9&lt;=36.01, $X$3, IF(L9&lt;=48.01, $X$4, (IF(L9&lt;=60.01, $X$5, IF(L9&lt;=72.01, $X$6, IF(L9&lt;=84.01, $X$7)))))))+IF(G9=$B$32, -$C$32)</f>
        <v>0</v>
      </c>
      <c r="K9" s="103" t="str">
        <f>IFERROR(PMT(J9/12, L9, -B9), "")</f>
        <v/>
      </c>
      <c r="L9" s="100" t="str">
        <f>'Savings Calculator'!N5</f>
        <v/>
      </c>
      <c r="M9" s="5"/>
      <c r="N9" s="5"/>
      <c r="O9" s="5"/>
      <c r="P9" s="45" t="str">
        <f t="shared" si="0"/>
        <v>Auto 3</v>
      </c>
      <c r="Q9" s="46"/>
      <c r="R9" s="46"/>
      <c r="S9" s="203"/>
      <c r="T9" s="231"/>
      <c r="U9" s="232"/>
      <c r="V9" s="245"/>
      <c r="W9" s="236" t="s">
        <v>65</v>
      </c>
      <c r="X9" s="237"/>
      <c r="Y9" s="237"/>
      <c r="Z9" s="237"/>
      <c r="AA9" s="238"/>
    </row>
    <row r="10" spans="1:27" x14ac:dyDescent="0.4">
      <c r="A10" s="3" t="s">
        <v>12</v>
      </c>
      <c r="B10" s="44"/>
      <c r="C10" s="44"/>
      <c r="D10" s="44"/>
      <c r="E10" s="114"/>
      <c r="F10" s="115"/>
      <c r="G10" s="206"/>
      <c r="H10" s="206"/>
      <c r="I10" s="101" t="str">
        <f t="shared" si="1"/>
        <v/>
      </c>
      <c r="J10" s="116" t="b">
        <f ca="1">IF(L10&lt;=24.01, U11, IF(K10&lt;=36.01, U12, IF(L10&lt;=48.01, U13, IF(L10&lt;=60.01, U14))))</f>
        <v>0</v>
      </c>
      <c r="K10" s="117" t="str">
        <f ca="1">IFERROR(PMT(J10/12, L10, -B10), "")</f>
        <v/>
      </c>
      <c r="L10" s="118" t="str">
        <f>'Savings Calculator'!B13</f>
        <v/>
      </c>
      <c r="M10" s="119"/>
      <c r="N10" s="119"/>
      <c r="O10" s="119"/>
      <c r="P10" s="45" t="str">
        <f t="shared" si="0"/>
        <v>Uns IL</v>
      </c>
      <c r="Q10" s="46"/>
      <c r="R10" s="46"/>
      <c r="S10" s="203"/>
      <c r="T10" s="134" t="s">
        <v>6</v>
      </c>
      <c r="U10" s="135" t="s">
        <v>34</v>
      </c>
      <c r="V10" s="245"/>
      <c r="W10" s="239">
        <f>IF(K1&gt;=J35, N35, IF(K1&gt;=J40, N40, IF(K1&gt;=J45, N45, IF(K1&gt;=J50, N50, IF(K1&lt;=K55, N55)))))</f>
        <v>5000</v>
      </c>
      <c r="X10" s="240"/>
      <c r="Y10" s="240"/>
      <c r="Z10" s="240"/>
      <c r="AA10" s="241"/>
    </row>
    <row r="11" spans="1:27" ht="16.5" customHeight="1" x14ac:dyDescent="0.4">
      <c r="A11" s="3" t="s">
        <v>13</v>
      </c>
      <c r="B11" s="44"/>
      <c r="C11" s="204"/>
      <c r="D11" s="112"/>
      <c r="E11" s="368" t="s">
        <v>99</v>
      </c>
      <c r="F11" s="369"/>
      <c r="G11" s="369"/>
      <c r="H11" s="369"/>
      <c r="I11" s="369"/>
      <c r="J11" s="369"/>
      <c r="K11" s="369"/>
      <c r="L11" s="369"/>
      <c r="M11" s="369"/>
      <c r="N11" s="369"/>
      <c r="O11" s="370"/>
      <c r="P11" s="113"/>
      <c r="Q11" s="46"/>
      <c r="R11" s="46"/>
      <c r="S11" s="203"/>
      <c r="T11" s="136">
        <v>24</v>
      </c>
      <c r="U11" s="137">
        <f>IF(K1&gt;=J35, M36, IF(K1&gt;=J40, M41, IF(K1&gt;=J45, M46, IF(K1&gt;=J50, M51, IF(K1&lt;=K55, M56)))))</f>
        <v>0.17899999999999999</v>
      </c>
      <c r="V11" s="245"/>
      <c r="W11" s="236" t="s">
        <v>66</v>
      </c>
      <c r="X11" s="237"/>
      <c r="Y11" s="237"/>
      <c r="Z11" s="237" t="s">
        <v>67</v>
      </c>
      <c r="AA11" s="238"/>
    </row>
    <row r="12" spans="1:27" ht="16.5" customHeight="1" thickBot="1" x14ac:dyDescent="0.45">
      <c r="A12" s="3" t="s">
        <v>14</v>
      </c>
      <c r="B12" s="44"/>
      <c r="C12" s="204"/>
      <c r="D12" s="112"/>
      <c r="E12" s="371"/>
      <c r="F12" s="372"/>
      <c r="G12" s="372"/>
      <c r="H12" s="372"/>
      <c r="I12" s="372"/>
      <c r="J12" s="372"/>
      <c r="K12" s="372"/>
      <c r="L12" s="372"/>
      <c r="M12" s="372"/>
      <c r="N12" s="372"/>
      <c r="O12" s="373"/>
      <c r="P12" s="113"/>
      <c r="Q12" s="46"/>
      <c r="R12" s="46"/>
      <c r="S12" s="203"/>
      <c r="T12" s="136">
        <v>36</v>
      </c>
      <c r="U12" s="137">
        <f>IF(K1&gt;=J35, M37, IF(K1&gt;=J40, M42, IF(K1&gt;=J45, M47, IF(K1&gt;=J50, M52, IF(K1&lt;=K55, M57)))))</f>
        <v>0.17899999999999999</v>
      </c>
      <c r="V12" s="245"/>
      <c r="W12" s="378">
        <f>SUM(B10:B26)</f>
        <v>0</v>
      </c>
      <c r="X12" s="379"/>
      <c r="Y12" s="379"/>
      <c r="Z12" s="242" t="str">
        <f>IF(W12&lt;=W10, "Yes", IF(W12&gt;W10, "No"))</f>
        <v>Yes</v>
      </c>
      <c r="AA12" s="243"/>
    </row>
    <row r="13" spans="1:27" x14ac:dyDescent="0.4">
      <c r="A13" s="3" t="s">
        <v>15</v>
      </c>
      <c r="B13" s="44"/>
      <c r="C13" s="204"/>
      <c r="D13" s="112"/>
      <c r="E13" s="397"/>
      <c r="F13" s="398"/>
      <c r="G13" s="398"/>
      <c r="H13" s="398"/>
      <c r="I13" s="398"/>
      <c r="J13" s="398"/>
      <c r="K13" s="398"/>
      <c r="L13" s="398"/>
      <c r="M13" s="398"/>
      <c r="N13" s="398"/>
      <c r="O13" s="399"/>
      <c r="P13" s="113"/>
      <c r="Q13" s="46"/>
      <c r="R13" s="46"/>
      <c r="S13" s="203"/>
      <c r="T13" s="136">
        <v>48</v>
      </c>
      <c r="U13" s="137">
        <f>IF(K1&gt;=J35, M38, IF(K1&gt;=J40, M43, IF(K1&gt;=J45, M48, IF(K1&gt;=J50, M53, IF(K1&lt;=K55, M58)))))</f>
        <v>0.17899999999999999</v>
      </c>
      <c r="V13" s="245"/>
      <c r="W13" s="236" t="s">
        <v>68</v>
      </c>
      <c r="X13" s="237"/>
      <c r="Y13" s="237"/>
      <c r="Z13" s="237"/>
      <c r="AA13" s="238"/>
    </row>
    <row r="14" spans="1:27" ht="17.5" thickBot="1" x14ac:dyDescent="0.45">
      <c r="A14" s="3" t="s">
        <v>16</v>
      </c>
      <c r="B14" s="44"/>
      <c r="C14" s="204"/>
      <c r="D14" s="112"/>
      <c r="E14" s="400"/>
      <c r="F14" s="401"/>
      <c r="G14" s="401"/>
      <c r="H14" s="401"/>
      <c r="I14" s="401"/>
      <c r="J14" s="401"/>
      <c r="K14" s="401"/>
      <c r="L14" s="401"/>
      <c r="M14" s="401"/>
      <c r="N14" s="401"/>
      <c r="O14" s="402"/>
      <c r="P14" s="113"/>
      <c r="Q14" s="46"/>
      <c r="R14" s="46"/>
      <c r="S14" s="203"/>
      <c r="T14" s="140">
        <v>60</v>
      </c>
      <c r="U14" s="141">
        <f>IF(K1&gt;=J35, M39, IF(K1&gt;=J40, M44, IF(K1&gt;=J45, M49, IF(K1&gt;=J50, M54, IF(K1&lt;=K55, M59)))))</f>
        <v>0.17899999999999999</v>
      </c>
      <c r="V14" s="245"/>
      <c r="W14" s="219" t="str">
        <f>IFERROR(SUM((W12/(B28*12))), " ")</f>
        <v xml:space="preserve"> </v>
      </c>
      <c r="X14" s="220"/>
      <c r="Y14" s="99"/>
      <c r="Z14" s="221" t="str">
        <f>IF(W14=" ", " ", IF(W14&gt;0.3, "Highly Leveraged", IF(W14&gt;0.2, "Getting Close", IF(W14&lt;0.2, "Good to Go"))))</f>
        <v xml:space="preserve"> </v>
      </c>
      <c r="AA14" s="222"/>
    </row>
    <row r="15" spans="1:27" ht="18" x14ac:dyDescent="0.4">
      <c r="A15" s="3" t="s">
        <v>17</v>
      </c>
      <c r="B15" s="44"/>
      <c r="C15" s="204"/>
      <c r="D15" s="112"/>
      <c r="E15" s="400"/>
      <c r="F15" s="401"/>
      <c r="G15" s="401"/>
      <c r="H15" s="401"/>
      <c r="I15" s="401"/>
      <c r="J15" s="401"/>
      <c r="K15" s="401"/>
      <c r="L15" s="401"/>
      <c r="M15" s="401"/>
      <c r="N15" s="401"/>
      <c r="O15" s="402"/>
      <c r="P15" s="113"/>
      <c r="Q15" s="46"/>
      <c r="R15" s="46"/>
      <c r="S15" s="203"/>
      <c r="T15" s="223" t="s">
        <v>69</v>
      </c>
      <c r="U15" s="224"/>
      <c r="V15" s="224"/>
      <c r="W15" s="224"/>
      <c r="X15" s="224" t="s">
        <v>70</v>
      </c>
      <c r="Y15" s="224"/>
      <c r="Z15" s="224"/>
      <c r="AA15" s="225"/>
    </row>
    <row r="16" spans="1:27" x14ac:dyDescent="0.4">
      <c r="A16" s="3" t="s">
        <v>18</v>
      </c>
      <c r="B16" s="44"/>
      <c r="C16" s="204"/>
      <c r="D16" s="112"/>
      <c r="E16" s="400"/>
      <c r="F16" s="401"/>
      <c r="G16" s="401"/>
      <c r="H16" s="401"/>
      <c r="I16" s="401"/>
      <c r="J16" s="401"/>
      <c r="K16" s="401"/>
      <c r="L16" s="401"/>
      <c r="M16" s="401"/>
      <c r="N16" s="401"/>
      <c r="O16" s="402"/>
      <c r="P16" s="113"/>
      <c r="Q16" s="46"/>
      <c r="R16" s="46"/>
      <c r="S16" s="203"/>
      <c r="T16" s="142" t="s">
        <v>71</v>
      </c>
      <c r="U16" s="95" t="s">
        <v>72</v>
      </c>
      <c r="V16" s="226" t="s">
        <v>73</v>
      </c>
      <c r="W16" s="226"/>
      <c r="X16" s="226" t="s">
        <v>6</v>
      </c>
      <c r="Y16" s="226"/>
      <c r="Z16" s="226"/>
      <c r="AA16" s="244"/>
    </row>
    <row r="17" spans="1:27" x14ac:dyDescent="0.4">
      <c r="A17" s="3" t="s">
        <v>19</v>
      </c>
      <c r="B17" s="44"/>
      <c r="C17" s="204"/>
      <c r="D17" s="112"/>
      <c r="E17" s="400"/>
      <c r="F17" s="401"/>
      <c r="G17" s="401"/>
      <c r="H17" s="401"/>
      <c r="I17" s="401"/>
      <c r="J17" s="401"/>
      <c r="K17" s="401"/>
      <c r="L17" s="401"/>
      <c r="M17" s="401"/>
      <c r="N17" s="401"/>
      <c r="O17" s="402"/>
      <c r="P17" s="113"/>
      <c r="Q17" s="46"/>
      <c r="R17" s="46"/>
      <c r="S17" s="203"/>
      <c r="T17" s="143"/>
      <c r="U17" s="96">
        <f>B5</f>
        <v>0</v>
      </c>
      <c r="V17" s="227">
        <f>B6</f>
        <v>0</v>
      </c>
      <c r="W17" s="228"/>
      <c r="X17" s="95">
        <v>60</v>
      </c>
      <c r="Y17" s="226">
        <v>120</v>
      </c>
      <c r="Z17" s="226"/>
      <c r="AA17" s="144">
        <v>180</v>
      </c>
    </row>
    <row r="18" spans="1:27" x14ac:dyDescent="0.4">
      <c r="A18" s="3" t="s">
        <v>20</v>
      </c>
      <c r="B18" s="44"/>
      <c r="C18" s="204"/>
      <c r="D18" s="112"/>
      <c r="E18" s="400"/>
      <c r="F18" s="401"/>
      <c r="G18" s="401"/>
      <c r="H18" s="401"/>
      <c r="I18" s="401"/>
      <c r="J18" s="401"/>
      <c r="K18" s="401"/>
      <c r="L18" s="401"/>
      <c r="M18" s="401"/>
      <c r="N18" s="401"/>
      <c r="O18" s="402"/>
      <c r="P18" s="113"/>
      <c r="Q18" s="46"/>
      <c r="R18" s="46"/>
      <c r="S18" s="203"/>
      <c r="T18" s="145">
        <f>Worksheet!C63</f>
        <v>0.75</v>
      </c>
      <c r="U18" s="96">
        <f>SUM(($T$17*T18)-$B$5)</f>
        <v>0</v>
      </c>
      <c r="V18" s="197" t="str">
        <f>IF(K1&gt;=A63, J63, IF(K1&gt;=A67, J67, IF(K1&gt;=A71, J71, IF(K1&lt;A71, "N/A"))))</f>
        <v>N/A</v>
      </c>
      <c r="W18" s="197"/>
      <c r="X18" s="97" t="str">
        <f>IF(K1&gt;=A63, N63, IF(K1&gt;=A67, N67, IF(K1&gt;=A71, N71, IF(K1&lt;A71, "N/A"))))</f>
        <v>N/A</v>
      </c>
      <c r="Y18" s="197" t="str">
        <f>X18</f>
        <v>N/A</v>
      </c>
      <c r="Z18" s="197"/>
      <c r="AA18" s="146" t="str">
        <f>X18</f>
        <v>N/A</v>
      </c>
    </row>
    <row r="19" spans="1:27" x14ac:dyDescent="0.4">
      <c r="A19" s="3" t="s">
        <v>21</v>
      </c>
      <c r="B19" s="44"/>
      <c r="C19" s="204"/>
      <c r="D19" s="112"/>
      <c r="E19" s="400"/>
      <c r="F19" s="401"/>
      <c r="G19" s="401"/>
      <c r="H19" s="401"/>
      <c r="I19" s="401"/>
      <c r="J19" s="401"/>
      <c r="K19" s="401"/>
      <c r="L19" s="401"/>
      <c r="M19" s="401"/>
      <c r="N19" s="401"/>
      <c r="O19" s="402"/>
      <c r="P19" s="113"/>
      <c r="Q19" s="46"/>
      <c r="R19" s="46"/>
      <c r="S19" s="203"/>
      <c r="T19" s="145">
        <f>Worksheet!C64</f>
        <v>0.8</v>
      </c>
      <c r="U19" s="96">
        <f t="shared" ref="U19" si="2">SUM(($T$17*T19)-$B$5)</f>
        <v>0</v>
      </c>
      <c r="V19" s="197" t="str">
        <f>IF(K1&gt;=A64, J64, IF(K1&gt;=A68, J68, IF(K1&gt;=A72, J72, IF(K1&lt;A72, "N/A"))))</f>
        <v>N/A</v>
      </c>
      <c r="W19" s="197"/>
      <c r="X19" s="97" t="str">
        <f>IF(K1&gt;=A64, N64, IF(K1&gt;=A68, N68, IF(K1&gt;=A72, N72, IF(K1&lt;A72, "N/A"))))</f>
        <v>N/A</v>
      </c>
      <c r="Y19" s="197" t="str">
        <f t="shared" ref="Y19:Y21" si="3">X19</f>
        <v>N/A</v>
      </c>
      <c r="Z19" s="197"/>
      <c r="AA19" s="146" t="str">
        <f t="shared" ref="AA19:AA21" si="4">X19</f>
        <v>N/A</v>
      </c>
    </row>
    <row r="20" spans="1:27" x14ac:dyDescent="0.4">
      <c r="A20" s="3" t="s">
        <v>22</v>
      </c>
      <c r="B20" s="44"/>
      <c r="C20" s="204"/>
      <c r="D20" s="112"/>
      <c r="E20" s="400"/>
      <c r="F20" s="401"/>
      <c r="G20" s="401"/>
      <c r="H20" s="401"/>
      <c r="I20" s="401"/>
      <c r="J20" s="401"/>
      <c r="K20" s="401"/>
      <c r="L20" s="401"/>
      <c r="M20" s="401"/>
      <c r="N20" s="401"/>
      <c r="O20" s="402"/>
      <c r="P20" s="113"/>
      <c r="Q20" s="46"/>
      <c r="R20" s="46"/>
      <c r="S20" s="203"/>
      <c r="T20" s="145">
        <f>Worksheet!C65</f>
        <v>0.9</v>
      </c>
      <c r="U20" s="96">
        <f>SUM(($T$17*T20)-$B$5)</f>
        <v>0</v>
      </c>
      <c r="V20" s="197" t="str">
        <f>IF(K1&gt;=A65, J65, IF(K1&gt;=A69, J69, IF(K1&gt;=A73, J73, IF(K1&lt;A73, "N/A"))))</f>
        <v>N/A</v>
      </c>
      <c r="W20" s="197"/>
      <c r="X20" s="97" t="str">
        <f>IF(K1&gt;=A65, N65, IF(K1&gt;=A69, N69, IF(K1&gt;=A73, N73, IF(K1&lt;A73, "N/A"))))</f>
        <v>N/A</v>
      </c>
      <c r="Y20" s="197" t="str">
        <f t="shared" si="3"/>
        <v>N/A</v>
      </c>
      <c r="Z20" s="197"/>
      <c r="AA20" s="146" t="str">
        <f t="shared" si="4"/>
        <v>N/A</v>
      </c>
    </row>
    <row r="21" spans="1:27" x14ac:dyDescent="0.4">
      <c r="A21" s="3" t="s">
        <v>23</v>
      </c>
      <c r="B21" s="44"/>
      <c r="C21" s="204"/>
      <c r="D21" s="112"/>
      <c r="E21" s="400"/>
      <c r="F21" s="401"/>
      <c r="G21" s="401"/>
      <c r="H21" s="401"/>
      <c r="I21" s="401"/>
      <c r="J21" s="401"/>
      <c r="K21" s="401"/>
      <c r="L21" s="401"/>
      <c r="M21" s="401"/>
      <c r="N21" s="401"/>
      <c r="O21" s="402"/>
      <c r="P21" s="113"/>
      <c r="Q21" s="46"/>
      <c r="R21" s="46"/>
      <c r="S21" s="203"/>
      <c r="T21" s="145">
        <f>Worksheet!C66</f>
        <v>1</v>
      </c>
      <c r="U21" s="96">
        <f>SUM(($T$17*T21)-$B$5)</f>
        <v>0</v>
      </c>
      <c r="V21" s="197" t="str">
        <f>IF(K1&gt;=A66, J66, IF(K1&gt;=A70, J70, IF(K1&gt;=A74, J74, IF(K1&lt;A74, "N/A"))))</f>
        <v>N/A</v>
      </c>
      <c r="W21" s="197"/>
      <c r="X21" s="97" t="str">
        <f>IF(K1&gt;=A66, N66, IF(K1&gt;=A70, N70, IF(K1&gt;=A74, N74, IF(K1&lt;A74, "N/A"))))</f>
        <v>N/A</v>
      </c>
      <c r="Y21" s="197" t="str">
        <f t="shared" si="3"/>
        <v>N/A</v>
      </c>
      <c r="Z21" s="197"/>
      <c r="AA21" s="146" t="str">
        <f t="shared" si="4"/>
        <v>N/A</v>
      </c>
    </row>
    <row r="22" spans="1:27" ht="18" x14ac:dyDescent="0.4">
      <c r="A22" s="3" t="s">
        <v>24</v>
      </c>
      <c r="B22" s="44"/>
      <c r="C22" s="204"/>
      <c r="D22" s="112"/>
      <c r="E22" s="400"/>
      <c r="F22" s="401"/>
      <c r="G22" s="401"/>
      <c r="H22" s="401"/>
      <c r="I22" s="401"/>
      <c r="J22" s="401"/>
      <c r="K22" s="401"/>
      <c r="L22" s="401"/>
      <c r="M22" s="401"/>
      <c r="N22" s="401"/>
      <c r="O22" s="402"/>
      <c r="P22" s="113"/>
      <c r="Q22" s="46"/>
      <c r="R22" s="46"/>
      <c r="S22" s="203"/>
      <c r="T22" s="352" t="s">
        <v>77</v>
      </c>
      <c r="U22" s="353"/>
      <c r="V22" s="353"/>
      <c r="W22" s="353"/>
      <c r="X22" s="353"/>
      <c r="Y22" s="353"/>
      <c r="Z22" s="353"/>
      <c r="AA22" s="354"/>
    </row>
    <row r="23" spans="1:27" x14ac:dyDescent="0.4">
      <c r="A23" s="3" t="s">
        <v>25</v>
      </c>
      <c r="B23" s="44"/>
      <c r="C23" s="204"/>
      <c r="D23" s="112"/>
      <c r="E23" s="400"/>
      <c r="F23" s="401"/>
      <c r="G23" s="401"/>
      <c r="H23" s="401"/>
      <c r="I23" s="401"/>
      <c r="J23" s="401"/>
      <c r="K23" s="401"/>
      <c r="L23" s="401"/>
      <c r="M23" s="401"/>
      <c r="N23" s="401"/>
      <c r="O23" s="402"/>
      <c r="P23" s="113"/>
      <c r="Q23" s="46"/>
      <c r="R23" s="46"/>
      <c r="S23" s="203"/>
      <c r="T23" s="130" t="s">
        <v>78</v>
      </c>
      <c r="U23" s="356"/>
      <c r="V23" s="356"/>
      <c r="W23" s="356"/>
      <c r="X23" s="98" t="str">
        <f>IF(U23="", "", IF(U23=T18, X18, IF(U23=T19, X19, IF(U23=T20, X20, IF(U23=T21, X21)))))</f>
        <v/>
      </c>
      <c r="Y23" s="355" t="str">
        <f>X23</f>
        <v/>
      </c>
      <c r="Z23" s="355"/>
      <c r="AA23" s="147" t="str">
        <f>X23</f>
        <v/>
      </c>
    </row>
    <row r="24" spans="1:27" x14ac:dyDescent="0.4">
      <c r="A24" s="3" t="s">
        <v>26</v>
      </c>
      <c r="B24" s="44"/>
      <c r="C24" s="204"/>
      <c r="D24" s="112"/>
      <c r="E24" s="400"/>
      <c r="F24" s="401"/>
      <c r="G24" s="401"/>
      <c r="H24" s="401"/>
      <c r="I24" s="401"/>
      <c r="J24" s="401"/>
      <c r="K24" s="401"/>
      <c r="L24" s="401"/>
      <c r="M24" s="401"/>
      <c r="N24" s="401"/>
      <c r="O24" s="402"/>
      <c r="P24" s="113"/>
      <c r="Q24" s="46"/>
      <c r="R24" s="46"/>
      <c r="S24" s="203"/>
      <c r="T24" s="130" t="s">
        <v>79</v>
      </c>
      <c r="U24" s="198"/>
      <c r="V24" s="198"/>
      <c r="W24" s="198"/>
      <c r="X24" s="374" t="str">
        <f>IFERROR(PMT(X23/12, X17, -U24), "")</f>
        <v/>
      </c>
      <c r="Y24" s="374" t="str">
        <f>IFERROR(PMT(Y23/12, Y17, -U24), "")</f>
        <v/>
      </c>
      <c r="Z24" s="226"/>
      <c r="AA24" s="376" t="str">
        <f>IFERROR(PMT(AA23/12, AA17, -U24), "")</f>
        <v/>
      </c>
    </row>
    <row r="25" spans="1:27" ht="17.5" thickBot="1" x14ac:dyDescent="0.45">
      <c r="A25" s="3" t="s">
        <v>27</v>
      </c>
      <c r="B25" s="44"/>
      <c r="C25" s="204"/>
      <c r="D25" s="112"/>
      <c r="E25" s="400"/>
      <c r="F25" s="401"/>
      <c r="G25" s="401"/>
      <c r="H25" s="401"/>
      <c r="I25" s="401"/>
      <c r="J25" s="401"/>
      <c r="K25" s="401"/>
      <c r="L25" s="401"/>
      <c r="M25" s="401"/>
      <c r="N25" s="401"/>
      <c r="O25" s="402"/>
      <c r="P25" s="113"/>
      <c r="Q25" s="46"/>
      <c r="R25" s="46"/>
      <c r="S25" s="203"/>
      <c r="T25" s="148" t="s">
        <v>80</v>
      </c>
      <c r="U25" s="199" t="str">
        <f>IF(U23="", "", IF(U23=T18, (((U24*V18)/365)*30), IF(U23=T19, (((U24*V19)/365)*30), IF(U23=T20, (((U24*V20)/365)*30), IF(U23=T21, V21)))))</f>
        <v/>
      </c>
      <c r="V25" s="199"/>
      <c r="W25" s="199"/>
      <c r="X25" s="375"/>
      <c r="Y25" s="375"/>
      <c r="Z25" s="375"/>
      <c r="AA25" s="377"/>
    </row>
    <row r="26" spans="1:27" x14ac:dyDescent="0.4">
      <c r="A26" s="3" t="s">
        <v>28</v>
      </c>
      <c r="B26" s="44"/>
      <c r="C26" s="204"/>
      <c r="D26" s="112"/>
      <c r="E26" s="400"/>
      <c r="F26" s="401"/>
      <c r="G26" s="401"/>
      <c r="H26" s="401"/>
      <c r="I26" s="401"/>
      <c r="J26" s="401"/>
      <c r="K26" s="401"/>
      <c r="L26" s="401"/>
      <c r="M26" s="401"/>
      <c r="N26" s="401"/>
      <c r="O26" s="402"/>
      <c r="P26" s="113"/>
      <c r="Q26" s="46"/>
      <c r="R26" s="46"/>
      <c r="S26" s="203"/>
      <c r="T26" s="200" t="s">
        <v>81</v>
      </c>
      <c r="U26" s="201"/>
      <c r="V26" s="201"/>
      <c r="W26" s="202"/>
      <c r="X26" s="182" t="b">
        <f>IF(K1&gt;=660, "Student Loans")</f>
        <v>0</v>
      </c>
      <c r="Y26" s="183"/>
      <c r="Z26" s="183"/>
      <c r="AA26" s="184"/>
    </row>
    <row r="27" spans="1:27" ht="17.5" thickBot="1" x14ac:dyDescent="0.45">
      <c r="A27" s="4" t="s">
        <v>29</v>
      </c>
      <c r="B27" s="43">
        <f>SUM(B5:B26)</f>
        <v>0</v>
      </c>
      <c r="C27" s="204"/>
      <c r="D27" s="112">
        <f>SUM(D5:D26)</f>
        <v>0</v>
      </c>
      <c r="E27" s="400"/>
      <c r="F27" s="401"/>
      <c r="G27" s="401"/>
      <c r="H27" s="401"/>
      <c r="I27" s="401"/>
      <c r="J27" s="401"/>
      <c r="K27" s="401"/>
      <c r="L27" s="401"/>
      <c r="M27" s="401"/>
      <c r="N27" s="401"/>
      <c r="O27" s="402"/>
      <c r="P27" s="155" t="s">
        <v>29</v>
      </c>
      <c r="Q27" s="156"/>
      <c r="R27" s="156"/>
      <c r="S27" s="203"/>
      <c r="T27" s="169" t="s">
        <v>3</v>
      </c>
      <c r="U27" s="170"/>
      <c r="V27" s="171"/>
      <c r="W27" s="172"/>
      <c r="X27" s="189" t="s">
        <v>34</v>
      </c>
      <c r="Y27" s="185" t="str">
        <f>IF(K1&gt;=A81, E81, IF(K1&gt;=A82, E82, IF(K1&lt;A82, "")))</f>
        <v/>
      </c>
      <c r="Z27" s="185"/>
      <c r="AA27" s="186"/>
    </row>
    <row r="28" spans="1:27" ht="17.5" thickBot="1" x14ac:dyDescent="0.45">
      <c r="A28" s="3" t="s">
        <v>30</v>
      </c>
      <c r="B28" s="207">
        <v>0</v>
      </c>
      <c r="C28" s="207"/>
      <c r="D28" s="208"/>
      <c r="E28" s="400"/>
      <c r="F28" s="401"/>
      <c r="G28" s="401"/>
      <c r="H28" s="401"/>
      <c r="I28" s="401"/>
      <c r="J28" s="401"/>
      <c r="K28" s="401"/>
      <c r="L28" s="401"/>
      <c r="M28" s="401"/>
      <c r="N28" s="401"/>
      <c r="O28" s="402"/>
      <c r="P28" s="191"/>
      <c r="Q28" s="191"/>
      <c r="R28" s="192"/>
      <c r="S28" s="203"/>
      <c r="T28" s="169" t="s">
        <v>6</v>
      </c>
      <c r="U28" s="170"/>
      <c r="V28" s="173"/>
      <c r="W28" s="174"/>
      <c r="X28" s="190"/>
      <c r="Y28" s="187"/>
      <c r="Z28" s="187"/>
      <c r="AA28" s="188"/>
    </row>
    <row r="29" spans="1:27" ht="17.5" thickBot="1" x14ac:dyDescent="0.45">
      <c r="A29" s="168" t="s">
        <v>75</v>
      </c>
      <c r="B29" s="252" t="str">
        <f>IFERROR(D27/B28, "")</f>
        <v/>
      </c>
      <c r="C29" s="252"/>
      <c r="D29" s="253"/>
      <c r="E29" s="400"/>
      <c r="F29" s="401"/>
      <c r="G29" s="401"/>
      <c r="H29" s="401"/>
      <c r="I29" s="401"/>
      <c r="J29" s="401"/>
      <c r="K29" s="401"/>
      <c r="L29" s="401"/>
      <c r="M29" s="401"/>
      <c r="N29" s="401"/>
      <c r="O29" s="402"/>
      <c r="P29" s="193"/>
      <c r="Q29" s="193"/>
      <c r="R29" s="194"/>
      <c r="S29" s="203"/>
      <c r="T29" s="169" t="s">
        <v>53</v>
      </c>
      <c r="U29" s="170"/>
      <c r="V29" s="175"/>
      <c r="W29" s="176"/>
    </row>
    <row r="30" spans="1:27" ht="17.5" thickBot="1" x14ac:dyDescent="0.45">
      <c r="A30" s="168" t="s">
        <v>76</v>
      </c>
      <c r="B30" s="252" t="str">
        <f>IFERROR(R27/B28, "")</f>
        <v/>
      </c>
      <c r="C30" s="252"/>
      <c r="D30" s="253"/>
      <c r="E30" s="403"/>
      <c r="F30" s="404"/>
      <c r="G30" s="404"/>
      <c r="H30" s="404"/>
      <c r="I30" s="404"/>
      <c r="J30" s="404"/>
      <c r="K30" s="404"/>
      <c r="L30" s="404"/>
      <c r="M30" s="404"/>
      <c r="N30" s="404"/>
      <c r="O30" s="405"/>
      <c r="P30" s="195"/>
      <c r="Q30" s="195"/>
      <c r="R30" s="196"/>
      <c r="S30" s="203"/>
      <c r="T30" s="346" t="s">
        <v>82</v>
      </c>
      <c r="U30" s="347"/>
      <c r="V30" s="348" t="str">
        <f>IFERROR(PMT(V29/12, V28, -V27), "")</f>
        <v/>
      </c>
      <c r="W30" s="349"/>
    </row>
    <row r="32" spans="1:27" x14ac:dyDescent="0.4">
      <c r="A32" s="5" t="s">
        <v>92</v>
      </c>
      <c r="B32" s="5" t="s">
        <v>93</v>
      </c>
      <c r="C32" s="5">
        <v>5.0000000000000001E-3</v>
      </c>
      <c r="D32" s="5" t="s">
        <v>95</v>
      </c>
    </row>
    <row r="33" spans="1:24" ht="17.5" thickBot="1" x14ac:dyDescent="0.45">
      <c r="A33" s="5"/>
      <c r="B33" s="5" t="s">
        <v>94</v>
      </c>
      <c r="C33" s="5"/>
      <c r="D33" s="5" t="s">
        <v>96</v>
      </c>
    </row>
    <row r="34" spans="1:24" ht="18.5" thickBot="1" x14ac:dyDescent="0.45">
      <c r="A34" s="274" t="s">
        <v>33</v>
      </c>
      <c r="B34" s="275"/>
      <c r="C34" s="275"/>
      <c r="D34" s="275"/>
      <c r="E34" s="276" t="s">
        <v>35</v>
      </c>
      <c r="F34" s="276"/>
      <c r="G34" s="276"/>
      <c r="H34" s="276"/>
      <c r="I34" s="277"/>
      <c r="J34" s="315" t="s">
        <v>45</v>
      </c>
      <c r="K34" s="316"/>
      <c r="L34" s="316"/>
      <c r="M34" s="316"/>
      <c r="N34" s="47" t="s">
        <v>62</v>
      </c>
      <c r="O34" s="387" t="s">
        <v>1</v>
      </c>
      <c r="P34" s="359"/>
      <c r="Q34" s="359" t="s">
        <v>59</v>
      </c>
      <c r="R34" s="359"/>
      <c r="S34" s="359" t="s">
        <v>60</v>
      </c>
      <c r="T34" s="359"/>
      <c r="U34" s="359" t="s">
        <v>61</v>
      </c>
      <c r="V34" s="359"/>
      <c r="W34" s="359" t="s">
        <v>74</v>
      </c>
      <c r="X34" s="360"/>
    </row>
    <row r="35" spans="1:24" ht="18" x14ac:dyDescent="0.4">
      <c r="A35" s="254">
        <v>760</v>
      </c>
      <c r="B35" s="263"/>
      <c r="C35" s="20">
        <v>36</v>
      </c>
      <c r="D35" s="21">
        <v>1.9900000000000001E-2</v>
      </c>
      <c r="E35" s="263">
        <v>760</v>
      </c>
      <c r="F35" s="263"/>
      <c r="G35" s="20">
        <v>36</v>
      </c>
      <c r="H35" s="278">
        <v>2.3400000000000001E-2</v>
      </c>
      <c r="I35" s="279"/>
      <c r="J35" s="254">
        <v>760</v>
      </c>
      <c r="K35" s="263"/>
      <c r="L35" s="20">
        <v>12</v>
      </c>
      <c r="M35" s="21">
        <v>6.9000000000000006E-2</v>
      </c>
      <c r="N35" s="388">
        <v>25000</v>
      </c>
      <c r="O35" s="38">
        <v>760</v>
      </c>
      <c r="P35" s="8"/>
      <c r="Q35" s="312">
        <v>8.7499999999999994E-2</v>
      </c>
      <c r="R35" s="312"/>
      <c r="S35" s="312">
        <v>9.8500000000000004E-2</v>
      </c>
      <c r="T35" s="312"/>
      <c r="U35" s="312">
        <v>0.10100000000000001</v>
      </c>
      <c r="V35" s="312"/>
      <c r="W35" s="312">
        <v>0.10100000000000001</v>
      </c>
      <c r="X35" s="361"/>
    </row>
    <row r="36" spans="1:24" ht="18" x14ac:dyDescent="0.4">
      <c r="A36" s="255"/>
      <c r="B36" s="264"/>
      <c r="C36" s="8">
        <v>48</v>
      </c>
      <c r="D36" s="9">
        <v>1.9900000000000001E-2</v>
      </c>
      <c r="E36" s="264"/>
      <c r="F36" s="264"/>
      <c r="G36" s="8">
        <v>48</v>
      </c>
      <c r="H36" s="272">
        <v>2.3400000000000001E-2</v>
      </c>
      <c r="I36" s="273"/>
      <c r="J36" s="255"/>
      <c r="K36" s="264"/>
      <c r="L36" s="8">
        <v>24</v>
      </c>
      <c r="M36" s="9">
        <v>6.9000000000000006E-2</v>
      </c>
      <c r="N36" s="389"/>
      <c r="O36" s="39">
        <v>700</v>
      </c>
      <c r="P36" s="10">
        <v>759</v>
      </c>
      <c r="Q36" s="313">
        <v>9.5000000000000001E-2</v>
      </c>
      <c r="R36" s="313"/>
      <c r="S36" s="313">
        <v>0.106</v>
      </c>
      <c r="T36" s="313"/>
      <c r="U36" s="313">
        <v>0.106</v>
      </c>
      <c r="V36" s="313"/>
      <c r="W36" s="313">
        <v>0.106</v>
      </c>
      <c r="X36" s="362"/>
    </row>
    <row r="37" spans="1:24" ht="18" x14ac:dyDescent="0.4">
      <c r="A37" s="255"/>
      <c r="B37" s="264"/>
      <c r="C37" s="8">
        <v>60</v>
      </c>
      <c r="D37" s="9">
        <v>1.9900000000000001E-2</v>
      </c>
      <c r="E37" s="264"/>
      <c r="F37" s="264"/>
      <c r="G37" s="8">
        <v>60</v>
      </c>
      <c r="H37" s="272">
        <v>2.3400000000000001E-2</v>
      </c>
      <c r="I37" s="273"/>
      <c r="J37" s="255"/>
      <c r="K37" s="264"/>
      <c r="L37" s="8">
        <v>36</v>
      </c>
      <c r="M37" s="9">
        <v>6.9000000000000006E-2</v>
      </c>
      <c r="N37" s="389"/>
      <c r="O37" s="40">
        <v>660</v>
      </c>
      <c r="P37" s="12">
        <v>699</v>
      </c>
      <c r="Q37" s="314">
        <v>0.1075</v>
      </c>
      <c r="R37" s="314"/>
      <c r="S37" s="314">
        <v>0.11849999999999999</v>
      </c>
      <c r="T37" s="314"/>
      <c r="U37" s="314">
        <v>0.11849999999999999</v>
      </c>
      <c r="V37" s="314"/>
      <c r="W37" s="314">
        <v>0.11849999999999999</v>
      </c>
      <c r="X37" s="363"/>
    </row>
    <row r="38" spans="1:24" ht="18" x14ac:dyDescent="0.4">
      <c r="A38" s="255"/>
      <c r="B38" s="264"/>
      <c r="C38" s="8">
        <v>72</v>
      </c>
      <c r="D38" s="9">
        <v>2.3400000000000001E-2</v>
      </c>
      <c r="E38" s="264"/>
      <c r="F38" s="264"/>
      <c r="G38" s="8">
        <v>72</v>
      </c>
      <c r="H38" s="272">
        <v>2.69E-2</v>
      </c>
      <c r="I38" s="273"/>
      <c r="J38" s="255"/>
      <c r="K38" s="264"/>
      <c r="L38" s="8">
        <v>48</v>
      </c>
      <c r="M38" s="9">
        <v>6.9000000000000006E-2</v>
      </c>
      <c r="N38" s="389"/>
      <c r="O38" s="41">
        <v>630</v>
      </c>
      <c r="P38" s="14">
        <v>659</v>
      </c>
      <c r="Q38" s="364">
        <v>0.115</v>
      </c>
      <c r="R38" s="364"/>
      <c r="S38" s="364">
        <v>0.126</v>
      </c>
      <c r="T38" s="364"/>
      <c r="U38" s="364">
        <v>0.126</v>
      </c>
      <c r="V38" s="364"/>
      <c r="W38" s="364">
        <v>0.126</v>
      </c>
      <c r="X38" s="365"/>
    </row>
    <row r="39" spans="1:24" ht="18.5" thickBot="1" x14ac:dyDescent="0.45">
      <c r="A39" s="256"/>
      <c r="B39" s="265"/>
      <c r="C39" s="22">
        <v>84</v>
      </c>
      <c r="D39" s="23">
        <v>2.7400000000000001E-2</v>
      </c>
      <c r="E39" s="265"/>
      <c r="F39" s="265"/>
      <c r="G39" s="22">
        <v>84</v>
      </c>
      <c r="H39" s="280">
        <v>3.09E-2</v>
      </c>
      <c r="I39" s="281"/>
      <c r="J39" s="256"/>
      <c r="K39" s="265"/>
      <c r="L39" s="22">
        <v>60</v>
      </c>
      <c r="M39" s="23">
        <v>6.9000000000000006E-2</v>
      </c>
      <c r="N39" s="390"/>
      <c r="O39" s="42"/>
      <c r="P39" s="18">
        <v>629</v>
      </c>
      <c r="Q39" s="366">
        <v>0.1575</v>
      </c>
      <c r="R39" s="366"/>
      <c r="S39" s="366">
        <v>0.16850000000000001</v>
      </c>
      <c r="T39" s="366"/>
      <c r="U39" s="366">
        <v>0.16850000000000001</v>
      </c>
      <c r="V39" s="366"/>
      <c r="W39" s="366">
        <v>0.16850000000000001</v>
      </c>
      <c r="X39" s="367"/>
    </row>
    <row r="40" spans="1:24" ht="18" x14ac:dyDescent="0.4">
      <c r="A40" s="257">
        <v>700</v>
      </c>
      <c r="B40" s="266">
        <v>759</v>
      </c>
      <c r="C40" s="24">
        <v>36</v>
      </c>
      <c r="D40" s="25">
        <v>2.3900000000000001E-2</v>
      </c>
      <c r="E40" s="266">
        <v>700</v>
      </c>
      <c r="F40" s="266">
        <v>759</v>
      </c>
      <c r="G40" s="24">
        <v>36</v>
      </c>
      <c r="H40" s="282">
        <v>2.7400000000000001E-2</v>
      </c>
      <c r="I40" s="283"/>
      <c r="J40" s="257">
        <v>700</v>
      </c>
      <c r="K40" s="266">
        <v>759</v>
      </c>
      <c r="L40" s="24">
        <v>12</v>
      </c>
      <c r="M40" s="25">
        <v>7.9000000000000001E-2</v>
      </c>
      <c r="N40" s="300">
        <v>25000</v>
      </c>
    </row>
    <row r="41" spans="1:24" ht="18" x14ac:dyDescent="0.4">
      <c r="A41" s="258"/>
      <c r="B41" s="267"/>
      <c r="C41" s="10">
        <v>48</v>
      </c>
      <c r="D41" s="11">
        <v>2.3900000000000001E-2</v>
      </c>
      <c r="E41" s="267"/>
      <c r="F41" s="267"/>
      <c r="G41" s="10">
        <v>48</v>
      </c>
      <c r="H41" s="284">
        <v>2.7400000000000001E-2</v>
      </c>
      <c r="I41" s="285"/>
      <c r="J41" s="258"/>
      <c r="K41" s="267"/>
      <c r="L41" s="10">
        <v>24</v>
      </c>
      <c r="M41" s="11">
        <v>7.9000000000000001E-2</v>
      </c>
      <c r="N41" s="301"/>
    </row>
    <row r="42" spans="1:24" ht="18" x14ac:dyDescent="0.4">
      <c r="A42" s="258"/>
      <c r="B42" s="267"/>
      <c r="C42" s="10">
        <v>60</v>
      </c>
      <c r="D42" s="11">
        <v>2.3900000000000001E-2</v>
      </c>
      <c r="E42" s="267"/>
      <c r="F42" s="267"/>
      <c r="G42" s="10">
        <v>60</v>
      </c>
      <c r="H42" s="284">
        <v>2.7400000000000001E-2</v>
      </c>
      <c r="I42" s="285"/>
      <c r="J42" s="258"/>
      <c r="K42" s="267"/>
      <c r="L42" s="10">
        <v>36</v>
      </c>
      <c r="M42" s="11">
        <v>7.9000000000000001E-2</v>
      </c>
      <c r="N42" s="301"/>
    </row>
    <row r="43" spans="1:24" ht="18" x14ac:dyDescent="0.4">
      <c r="A43" s="258"/>
      <c r="B43" s="267"/>
      <c r="C43" s="10">
        <v>72</v>
      </c>
      <c r="D43" s="11">
        <v>2.7400000000000001E-2</v>
      </c>
      <c r="E43" s="267"/>
      <c r="F43" s="267"/>
      <c r="G43" s="10">
        <v>72</v>
      </c>
      <c r="H43" s="284">
        <v>3.09E-2</v>
      </c>
      <c r="I43" s="285"/>
      <c r="J43" s="258"/>
      <c r="K43" s="267"/>
      <c r="L43" s="10">
        <v>48</v>
      </c>
      <c r="M43" s="11">
        <v>7.9000000000000001E-2</v>
      </c>
      <c r="N43" s="301"/>
    </row>
    <row r="44" spans="1:24" ht="18.5" thickBot="1" x14ac:dyDescent="0.45">
      <c r="A44" s="259"/>
      <c r="B44" s="268"/>
      <c r="C44" s="26">
        <v>84</v>
      </c>
      <c r="D44" s="27">
        <v>3.1399999999999997E-2</v>
      </c>
      <c r="E44" s="268"/>
      <c r="F44" s="268"/>
      <c r="G44" s="26">
        <v>84</v>
      </c>
      <c r="H44" s="286">
        <v>3.49E-2</v>
      </c>
      <c r="I44" s="287"/>
      <c r="J44" s="259"/>
      <c r="K44" s="268"/>
      <c r="L44" s="26">
        <v>60</v>
      </c>
      <c r="M44" s="27">
        <v>7.9000000000000001E-2</v>
      </c>
      <c r="N44" s="302"/>
    </row>
    <row r="45" spans="1:24" ht="18" x14ac:dyDescent="0.4">
      <c r="A45" s="260">
        <v>660</v>
      </c>
      <c r="B45" s="269">
        <v>699</v>
      </c>
      <c r="C45" s="28">
        <v>36</v>
      </c>
      <c r="D45" s="29">
        <v>4.99E-2</v>
      </c>
      <c r="E45" s="269">
        <v>660</v>
      </c>
      <c r="F45" s="269">
        <v>699</v>
      </c>
      <c r="G45" s="28">
        <v>36</v>
      </c>
      <c r="H45" s="321">
        <v>5.3400000000000003E-2</v>
      </c>
      <c r="I45" s="322"/>
      <c r="J45" s="260">
        <v>660</v>
      </c>
      <c r="K45" s="269">
        <v>699</v>
      </c>
      <c r="L45" s="28">
        <v>12</v>
      </c>
      <c r="M45" s="29">
        <v>0.129</v>
      </c>
      <c r="N45" s="303">
        <v>20000</v>
      </c>
    </row>
    <row r="46" spans="1:24" ht="18" x14ac:dyDescent="0.4">
      <c r="A46" s="261"/>
      <c r="B46" s="270"/>
      <c r="C46" s="12">
        <v>48</v>
      </c>
      <c r="D46" s="13">
        <v>4.99E-2</v>
      </c>
      <c r="E46" s="270"/>
      <c r="F46" s="270"/>
      <c r="G46" s="12">
        <v>48</v>
      </c>
      <c r="H46" s="323">
        <v>5.3400000000000003E-2</v>
      </c>
      <c r="I46" s="324"/>
      <c r="J46" s="261"/>
      <c r="K46" s="270"/>
      <c r="L46" s="12">
        <v>24</v>
      </c>
      <c r="M46" s="13">
        <v>0.129</v>
      </c>
      <c r="N46" s="304"/>
    </row>
    <row r="47" spans="1:24" ht="18" x14ac:dyDescent="0.4">
      <c r="A47" s="261"/>
      <c r="B47" s="270"/>
      <c r="C47" s="12">
        <v>60</v>
      </c>
      <c r="D47" s="13">
        <v>4.99E-2</v>
      </c>
      <c r="E47" s="270"/>
      <c r="F47" s="270"/>
      <c r="G47" s="12">
        <v>60</v>
      </c>
      <c r="H47" s="323">
        <v>5.3400000000000003E-2</v>
      </c>
      <c r="I47" s="324"/>
      <c r="J47" s="261"/>
      <c r="K47" s="270"/>
      <c r="L47" s="12">
        <v>36</v>
      </c>
      <c r="M47" s="13">
        <v>0.129</v>
      </c>
      <c r="N47" s="304"/>
    </row>
    <row r="48" spans="1:24" ht="18" x14ac:dyDescent="0.4">
      <c r="A48" s="261"/>
      <c r="B48" s="270"/>
      <c r="C48" s="12">
        <v>72</v>
      </c>
      <c r="D48" s="13">
        <v>5.3400000000000003E-2</v>
      </c>
      <c r="E48" s="270"/>
      <c r="F48" s="270"/>
      <c r="G48" s="12">
        <v>72</v>
      </c>
      <c r="H48" s="323">
        <v>5.6899999999999999E-2</v>
      </c>
      <c r="I48" s="324"/>
      <c r="J48" s="261"/>
      <c r="K48" s="270"/>
      <c r="L48" s="12">
        <v>48</v>
      </c>
      <c r="M48" s="13">
        <v>0.129</v>
      </c>
      <c r="N48" s="304"/>
    </row>
    <row r="49" spans="1:14" ht="18.5" thickBot="1" x14ac:dyDescent="0.45">
      <c r="A49" s="262"/>
      <c r="B49" s="271"/>
      <c r="C49" s="30">
        <v>84</v>
      </c>
      <c r="D49" s="31">
        <v>5.74E-2</v>
      </c>
      <c r="E49" s="271"/>
      <c r="F49" s="271"/>
      <c r="G49" s="30">
        <v>84</v>
      </c>
      <c r="H49" s="325">
        <v>6.0900000000000003E-2</v>
      </c>
      <c r="I49" s="326"/>
      <c r="J49" s="262"/>
      <c r="K49" s="271"/>
      <c r="L49" s="30">
        <v>60</v>
      </c>
      <c r="M49" s="31">
        <v>0.129</v>
      </c>
      <c r="N49" s="305"/>
    </row>
    <row r="50" spans="1:14" ht="18" x14ac:dyDescent="0.4">
      <c r="A50" s="288">
        <v>630</v>
      </c>
      <c r="B50" s="294">
        <v>659</v>
      </c>
      <c r="C50" s="32">
        <v>36</v>
      </c>
      <c r="D50" s="33">
        <v>7.2900000000000006E-2</v>
      </c>
      <c r="E50" s="294">
        <v>630</v>
      </c>
      <c r="F50" s="294">
        <v>659</v>
      </c>
      <c r="G50" s="32">
        <v>36</v>
      </c>
      <c r="H50" s="327">
        <v>7.6399999999999996E-2</v>
      </c>
      <c r="I50" s="328"/>
      <c r="J50" s="288">
        <v>630</v>
      </c>
      <c r="K50" s="294">
        <v>659</v>
      </c>
      <c r="L50" s="32">
        <v>12</v>
      </c>
      <c r="M50" s="33">
        <v>0.14899999999999999</v>
      </c>
      <c r="N50" s="381">
        <v>10000</v>
      </c>
    </row>
    <row r="51" spans="1:14" ht="18" x14ac:dyDescent="0.4">
      <c r="A51" s="289"/>
      <c r="B51" s="295"/>
      <c r="C51" s="14">
        <v>48</v>
      </c>
      <c r="D51" s="15">
        <v>7.2900000000000006E-2</v>
      </c>
      <c r="E51" s="295"/>
      <c r="F51" s="295"/>
      <c r="G51" s="14">
        <v>48</v>
      </c>
      <c r="H51" s="317">
        <v>7.6399999999999996E-2</v>
      </c>
      <c r="I51" s="318"/>
      <c r="J51" s="289"/>
      <c r="K51" s="295"/>
      <c r="L51" s="14">
        <v>24</v>
      </c>
      <c r="M51" s="15">
        <v>0.14899999999999999</v>
      </c>
      <c r="N51" s="382"/>
    </row>
    <row r="52" spans="1:14" ht="18" x14ac:dyDescent="0.4">
      <c r="A52" s="289"/>
      <c r="B52" s="295"/>
      <c r="C52" s="14">
        <v>60</v>
      </c>
      <c r="D52" s="15">
        <v>7.2900000000000006E-2</v>
      </c>
      <c r="E52" s="295"/>
      <c r="F52" s="295"/>
      <c r="G52" s="14">
        <v>60</v>
      </c>
      <c r="H52" s="317">
        <v>7.6399999999999996E-2</v>
      </c>
      <c r="I52" s="318"/>
      <c r="J52" s="289"/>
      <c r="K52" s="295"/>
      <c r="L52" s="14">
        <v>36</v>
      </c>
      <c r="M52" s="15">
        <v>0.14899999999999999</v>
      </c>
      <c r="N52" s="382"/>
    </row>
    <row r="53" spans="1:14" ht="18" x14ac:dyDescent="0.4">
      <c r="A53" s="289"/>
      <c r="B53" s="295"/>
      <c r="C53" s="14">
        <v>72</v>
      </c>
      <c r="D53" s="15">
        <v>7.6399999999999996E-2</v>
      </c>
      <c r="E53" s="295"/>
      <c r="F53" s="295"/>
      <c r="G53" s="14">
        <v>72</v>
      </c>
      <c r="H53" s="317">
        <v>7.9899999999999999E-2</v>
      </c>
      <c r="I53" s="318"/>
      <c r="J53" s="289"/>
      <c r="K53" s="295"/>
      <c r="L53" s="14">
        <v>48</v>
      </c>
      <c r="M53" s="15">
        <v>0.14899999999999999</v>
      </c>
      <c r="N53" s="382"/>
    </row>
    <row r="54" spans="1:14" ht="18.5" thickBot="1" x14ac:dyDescent="0.45">
      <c r="A54" s="290"/>
      <c r="B54" s="296"/>
      <c r="C54" s="34">
        <v>84</v>
      </c>
      <c r="D54" s="35">
        <v>8.0399999999999999E-2</v>
      </c>
      <c r="E54" s="296"/>
      <c r="F54" s="296"/>
      <c r="G54" s="34">
        <v>84</v>
      </c>
      <c r="H54" s="319">
        <v>8.6389999999999995E-2</v>
      </c>
      <c r="I54" s="320"/>
      <c r="J54" s="290"/>
      <c r="K54" s="296"/>
      <c r="L54" s="34">
        <v>60</v>
      </c>
      <c r="M54" s="35">
        <v>0.14899999999999999</v>
      </c>
      <c r="N54" s="383"/>
    </row>
    <row r="55" spans="1:14" ht="18" x14ac:dyDescent="0.4">
      <c r="A55" s="291"/>
      <c r="B55" s="297">
        <v>629</v>
      </c>
      <c r="C55" s="36">
        <v>36</v>
      </c>
      <c r="D55" s="37">
        <v>0.10589999999999999</v>
      </c>
      <c r="E55" s="297"/>
      <c r="F55" s="297">
        <v>629</v>
      </c>
      <c r="G55" s="36">
        <v>36</v>
      </c>
      <c r="H55" s="310">
        <v>0.1229</v>
      </c>
      <c r="I55" s="311"/>
      <c r="J55" s="291"/>
      <c r="K55" s="297">
        <v>629</v>
      </c>
      <c r="L55" s="36">
        <v>12</v>
      </c>
      <c r="M55" s="37">
        <v>0.17899999999999999</v>
      </c>
      <c r="N55" s="384">
        <v>5000</v>
      </c>
    </row>
    <row r="56" spans="1:14" ht="18" x14ac:dyDescent="0.4">
      <c r="A56" s="292"/>
      <c r="B56" s="298"/>
      <c r="C56" s="16">
        <v>48</v>
      </c>
      <c r="D56" s="17">
        <v>0.10589999999999999</v>
      </c>
      <c r="E56" s="298"/>
      <c r="F56" s="298"/>
      <c r="G56" s="16">
        <v>48</v>
      </c>
      <c r="H56" s="306">
        <v>0.1229</v>
      </c>
      <c r="I56" s="307"/>
      <c r="J56" s="292"/>
      <c r="K56" s="298"/>
      <c r="L56" s="16">
        <v>24</v>
      </c>
      <c r="M56" s="17">
        <v>0.17899999999999999</v>
      </c>
      <c r="N56" s="385"/>
    </row>
    <row r="57" spans="1:14" ht="18" x14ac:dyDescent="0.4">
      <c r="A57" s="292"/>
      <c r="B57" s="298"/>
      <c r="C57" s="16">
        <v>60</v>
      </c>
      <c r="D57" s="17">
        <v>0.10589999999999999</v>
      </c>
      <c r="E57" s="298"/>
      <c r="F57" s="298"/>
      <c r="G57" s="16">
        <v>60</v>
      </c>
      <c r="H57" s="306">
        <v>0.1229</v>
      </c>
      <c r="I57" s="307"/>
      <c r="J57" s="292"/>
      <c r="K57" s="298"/>
      <c r="L57" s="16">
        <v>36</v>
      </c>
      <c r="M57" s="17">
        <v>0.17899999999999999</v>
      </c>
      <c r="N57" s="385"/>
    </row>
    <row r="58" spans="1:14" ht="18" x14ac:dyDescent="0.4">
      <c r="A58" s="292"/>
      <c r="B58" s="298"/>
      <c r="C58" s="16">
        <v>72</v>
      </c>
      <c r="D58" s="17">
        <v>0.1094</v>
      </c>
      <c r="E58" s="298"/>
      <c r="F58" s="298"/>
      <c r="G58" s="16">
        <v>72</v>
      </c>
      <c r="H58" s="306">
        <v>0.12640000000000001</v>
      </c>
      <c r="I58" s="307"/>
      <c r="J58" s="292"/>
      <c r="K58" s="298"/>
      <c r="L58" s="16">
        <v>48</v>
      </c>
      <c r="M58" s="17">
        <v>0.17899999999999999</v>
      </c>
      <c r="N58" s="385"/>
    </row>
    <row r="59" spans="1:14" ht="18.5" thickBot="1" x14ac:dyDescent="0.45">
      <c r="A59" s="293"/>
      <c r="B59" s="299"/>
      <c r="C59" s="18">
        <v>84</v>
      </c>
      <c r="D59" s="19">
        <v>0.1134</v>
      </c>
      <c r="E59" s="299"/>
      <c r="F59" s="299"/>
      <c r="G59" s="18">
        <v>84</v>
      </c>
      <c r="H59" s="308">
        <v>0.13039999999999999</v>
      </c>
      <c r="I59" s="309"/>
      <c r="J59" s="293"/>
      <c r="K59" s="299"/>
      <c r="L59" s="18">
        <v>60</v>
      </c>
      <c r="M59" s="19">
        <v>0.17899999999999999</v>
      </c>
      <c r="N59" s="386"/>
    </row>
    <row r="60" spans="1:14" ht="17.5" thickBot="1" x14ac:dyDescent="0.45"/>
    <row r="61" spans="1:14" ht="18.5" thickBot="1" x14ac:dyDescent="0.45">
      <c r="A61" s="350" t="s">
        <v>46</v>
      </c>
      <c r="B61" s="351"/>
      <c r="C61" s="351"/>
      <c r="D61" s="351"/>
      <c r="E61" s="351"/>
      <c r="F61" s="351" t="s">
        <v>49</v>
      </c>
      <c r="G61" s="351"/>
      <c r="H61" s="351"/>
      <c r="I61" s="351"/>
      <c r="J61" s="351"/>
      <c r="K61" s="351" t="s">
        <v>54</v>
      </c>
      <c r="L61" s="351"/>
      <c r="M61" s="351"/>
      <c r="N61" s="380"/>
    </row>
    <row r="62" spans="1:14" ht="35.25" customHeight="1" thickBot="1" x14ac:dyDescent="0.45">
      <c r="A62" s="358" t="s">
        <v>47</v>
      </c>
      <c r="B62" s="331"/>
      <c r="C62" s="165" t="s">
        <v>48</v>
      </c>
      <c r="D62" s="331" t="s">
        <v>55</v>
      </c>
      <c r="E62" s="331"/>
      <c r="F62" s="165" t="s">
        <v>50</v>
      </c>
      <c r="G62" s="342" t="s">
        <v>51</v>
      </c>
      <c r="H62" s="343"/>
      <c r="I62" s="165" t="s">
        <v>52</v>
      </c>
      <c r="J62" s="165" t="s">
        <v>53</v>
      </c>
      <c r="K62" s="165" t="s">
        <v>50</v>
      </c>
      <c r="L62" s="166" t="s">
        <v>51</v>
      </c>
      <c r="M62" s="165" t="s">
        <v>52</v>
      </c>
      <c r="N62" s="167" t="s">
        <v>53</v>
      </c>
    </row>
    <row r="63" spans="1:14" x14ac:dyDescent="0.4">
      <c r="A63" s="70">
        <v>720</v>
      </c>
      <c r="B63" s="71"/>
      <c r="C63" s="72">
        <v>0.75</v>
      </c>
      <c r="D63" s="332">
        <v>350000</v>
      </c>
      <c r="E63" s="332"/>
      <c r="F63" s="71" t="s">
        <v>56</v>
      </c>
      <c r="G63" s="344">
        <v>3.2500000000000001E-2</v>
      </c>
      <c r="H63" s="344"/>
      <c r="I63" s="73">
        <v>7.4999999999999997E-3</v>
      </c>
      <c r="J63" s="73">
        <f>SUM(G63:I63)</f>
        <v>0.04</v>
      </c>
      <c r="K63" s="71" t="s">
        <v>57</v>
      </c>
      <c r="L63" s="73">
        <v>2.5000000000000001E-2</v>
      </c>
      <c r="M63" s="73">
        <v>1.4999999999999999E-2</v>
      </c>
      <c r="N63" s="74">
        <f>SUM(K63:M63)</f>
        <v>0.04</v>
      </c>
    </row>
    <row r="64" spans="1:14" x14ac:dyDescent="0.4">
      <c r="A64" s="58">
        <v>720</v>
      </c>
      <c r="B64" s="48"/>
      <c r="C64" s="49">
        <v>0.8</v>
      </c>
      <c r="D64" s="333">
        <v>150000</v>
      </c>
      <c r="E64" s="333"/>
      <c r="F64" s="48" t="s">
        <v>56</v>
      </c>
      <c r="G64" s="345">
        <v>3.2500000000000001E-2</v>
      </c>
      <c r="H64" s="345"/>
      <c r="I64" s="50">
        <v>7.4999999999999997E-3</v>
      </c>
      <c r="J64" s="50">
        <f>SUM(G64:I64)</f>
        <v>0.04</v>
      </c>
      <c r="K64" s="48" t="s">
        <v>57</v>
      </c>
      <c r="L64" s="50">
        <v>2.5000000000000001E-2</v>
      </c>
      <c r="M64" s="50">
        <v>1.4999999999999999E-2</v>
      </c>
      <c r="N64" s="59">
        <f>SUM(K64:M64)</f>
        <v>0.04</v>
      </c>
    </row>
    <row r="65" spans="1:14" x14ac:dyDescent="0.4">
      <c r="A65" s="58">
        <v>720</v>
      </c>
      <c r="B65" s="48"/>
      <c r="C65" s="49">
        <v>0.9</v>
      </c>
      <c r="D65" s="333">
        <v>100000</v>
      </c>
      <c r="E65" s="333"/>
      <c r="F65" s="48" t="s">
        <v>56</v>
      </c>
      <c r="G65" s="345">
        <v>3.2500000000000001E-2</v>
      </c>
      <c r="H65" s="345"/>
      <c r="I65" s="50">
        <v>1.4999999999999999E-2</v>
      </c>
      <c r="J65" s="50">
        <f>SUM(G65:I65)</f>
        <v>4.7500000000000001E-2</v>
      </c>
      <c r="K65" s="48" t="s">
        <v>57</v>
      </c>
      <c r="L65" s="50">
        <v>2.5000000000000001E-2</v>
      </c>
      <c r="M65" s="50">
        <v>0.02</v>
      </c>
      <c r="N65" s="59">
        <f>SUM(K65:M65)</f>
        <v>4.4999999999999998E-2</v>
      </c>
    </row>
    <row r="66" spans="1:14" ht="17.5" thickBot="1" x14ac:dyDescent="0.45">
      <c r="A66" s="75">
        <v>720</v>
      </c>
      <c r="B66" s="76"/>
      <c r="C66" s="77">
        <v>1</v>
      </c>
      <c r="D66" s="334" t="s">
        <v>58</v>
      </c>
      <c r="E66" s="334"/>
      <c r="F66" s="78" t="s">
        <v>58</v>
      </c>
      <c r="G66" s="334" t="s">
        <v>58</v>
      </c>
      <c r="H66" s="334"/>
      <c r="I66" s="78" t="s">
        <v>58</v>
      </c>
      <c r="J66" s="78" t="s">
        <v>58</v>
      </c>
      <c r="K66" s="78" t="s">
        <v>58</v>
      </c>
      <c r="L66" s="78" t="s">
        <v>58</v>
      </c>
      <c r="M66" s="78" t="s">
        <v>58</v>
      </c>
      <c r="N66" s="79" t="s">
        <v>58</v>
      </c>
    </row>
    <row r="67" spans="1:14" x14ac:dyDescent="0.4">
      <c r="A67" s="80">
        <v>680</v>
      </c>
      <c r="B67" s="81">
        <v>719</v>
      </c>
      <c r="C67" s="82">
        <v>0.75</v>
      </c>
      <c r="D67" s="335">
        <v>350000</v>
      </c>
      <c r="E67" s="335"/>
      <c r="F67" s="81" t="s">
        <v>56</v>
      </c>
      <c r="G67" s="337">
        <v>3.2500000000000001E-2</v>
      </c>
      <c r="H67" s="337"/>
      <c r="I67" s="83">
        <v>7.4999999999999997E-3</v>
      </c>
      <c r="J67" s="83">
        <f>SUM(G67:I67)</f>
        <v>0.04</v>
      </c>
      <c r="K67" s="81" t="s">
        <v>57</v>
      </c>
      <c r="L67" s="83">
        <v>2.5000000000000001E-2</v>
      </c>
      <c r="M67" s="83">
        <v>1.4999999999999999E-2</v>
      </c>
      <c r="N67" s="84">
        <f>SUM(K67:M67)</f>
        <v>0.04</v>
      </c>
    </row>
    <row r="68" spans="1:14" x14ac:dyDescent="0.4">
      <c r="A68" s="60">
        <v>680</v>
      </c>
      <c r="B68" s="51">
        <v>719</v>
      </c>
      <c r="C68" s="52">
        <v>0.8</v>
      </c>
      <c r="D68" s="336">
        <v>150000</v>
      </c>
      <c r="E68" s="336"/>
      <c r="F68" s="51" t="s">
        <v>56</v>
      </c>
      <c r="G68" s="338">
        <v>3.2500000000000001E-2</v>
      </c>
      <c r="H68" s="338"/>
      <c r="I68" s="53">
        <v>7.4999999999999997E-3</v>
      </c>
      <c r="J68" s="53">
        <f>SUM(G68:I68)</f>
        <v>0.04</v>
      </c>
      <c r="K68" s="51" t="s">
        <v>57</v>
      </c>
      <c r="L68" s="53">
        <v>2.5000000000000001E-2</v>
      </c>
      <c r="M68" s="53">
        <v>1.4999999999999999E-2</v>
      </c>
      <c r="N68" s="61">
        <f>SUM(K68:M68)</f>
        <v>0.04</v>
      </c>
    </row>
    <row r="69" spans="1:14" x14ac:dyDescent="0.4">
      <c r="A69" s="60">
        <v>680</v>
      </c>
      <c r="B69" s="51">
        <v>719</v>
      </c>
      <c r="C69" s="52">
        <v>0.9</v>
      </c>
      <c r="D69" s="336">
        <v>100000</v>
      </c>
      <c r="E69" s="336"/>
      <c r="F69" s="51" t="s">
        <v>56</v>
      </c>
      <c r="G69" s="338">
        <v>3.2500000000000001E-2</v>
      </c>
      <c r="H69" s="338"/>
      <c r="I69" s="53">
        <v>1.4999999999999999E-2</v>
      </c>
      <c r="J69" s="53">
        <f>SUM(G69:I69)</f>
        <v>4.7500000000000001E-2</v>
      </c>
      <c r="K69" s="51" t="s">
        <v>57</v>
      </c>
      <c r="L69" s="53">
        <v>2.5000000000000001E-2</v>
      </c>
      <c r="M69" s="53">
        <v>0.02</v>
      </c>
      <c r="N69" s="61">
        <f>SUM(K69:M69)</f>
        <v>4.4999999999999998E-2</v>
      </c>
    </row>
    <row r="70" spans="1:14" ht="17.5" thickBot="1" x14ac:dyDescent="0.45">
      <c r="A70" s="85">
        <v>680</v>
      </c>
      <c r="B70" s="86">
        <v>719</v>
      </c>
      <c r="C70" s="87">
        <v>1</v>
      </c>
      <c r="D70" s="339" t="s">
        <v>58</v>
      </c>
      <c r="E70" s="339"/>
      <c r="F70" s="88" t="s">
        <v>58</v>
      </c>
      <c r="G70" s="339" t="s">
        <v>58</v>
      </c>
      <c r="H70" s="339"/>
      <c r="I70" s="88" t="s">
        <v>58</v>
      </c>
      <c r="J70" s="88" t="s">
        <v>58</v>
      </c>
      <c r="K70" s="88" t="s">
        <v>58</v>
      </c>
      <c r="L70" s="88" t="s">
        <v>58</v>
      </c>
      <c r="M70" s="88" t="s">
        <v>58</v>
      </c>
      <c r="N70" s="89" t="s">
        <v>58</v>
      </c>
    </row>
    <row r="71" spans="1:14" x14ac:dyDescent="0.4">
      <c r="A71" s="90">
        <v>660</v>
      </c>
      <c r="B71" s="91">
        <v>679</v>
      </c>
      <c r="C71" s="92">
        <v>0.75</v>
      </c>
      <c r="D71" s="357">
        <v>350000</v>
      </c>
      <c r="E71" s="357"/>
      <c r="F71" s="91" t="s">
        <v>56</v>
      </c>
      <c r="G71" s="340">
        <v>3.2500000000000001E-2</v>
      </c>
      <c r="H71" s="340"/>
      <c r="I71" s="93">
        <v>7.4999999999999997E-3</v>
      </c>
      <c r="J71" s="93">
        <f>SUM(G71:I71)</f>
        <v>0.04</v>
      </c>
      <c r="K71" s="91" t="s">
        <v>57</v>
      </c>
      <c r="L71" s="93">
        <v>2.5000000000000001E-2</v>
      </c>
      <c r="M71" s="93">
        <v>1.4999999999999999E-2</v>
      </c>
      <c r="N71" s="94">
        <f>SUM(K71:M71)</f>
        <v>0.04</v>
      </c>
    </row>
    <row r="72" spans="1:14" x14ac:dyDescent="0.4">
      <c r="A72" s="62">
        <v>660</v>
      </c>
      <c r="B72" s="54">
        <v>679</v>
      </c>
      <c r="C72" s="55">
        <v>0.8</v>
      </c>
      <c r="D72" s="329">
        <v>150000</v>
      </c>
      <c r="E72" s="329"/>
      <c r="F72" s="54" t="s">
        <v>56</v>
      </c>
      <c r="G72" s="341">
        <v>3.2500000000000001E-2</v>
      </c>
      <c r="H72" s="341"/>
      <c r="I72" s="56">
        <v>7.4999999999999997E-3</v>
      </c>
      <c r="J72" s="56">
        <f>SUM(G72:I72)</f>
        <v>0.04</v>
      </c>
      <c r="K72" s="54" t="s">
        <v>57</v>
      </c>
      <c r="L72" s="56">
        <v>2.5000000000000001E-2</v>
      </c>
      <c r="M72" s="56">
        <v>1.4999999999999999E-2</v>
      </c>
      <c r="N72" s="63">
        <f>SUM(K72:M72)</f>
        <v>0.04</v>
      </c>
    </row>
    <row r="73" spans="1:14" x14ac:dyDescent="0.4">
      <c r="A73" s="62">
        <v>660</v>
      </c>
      <c r="B73" s="54">
        <v>679</v>
      </c>
      <c r="C73" s="55">
        <v>0.9</v>
      </c>
      <c r="D73" s="329" t="s">
        <v>58</v>
      </c>
      <c r="E73" s="329"/>
      <c r="F73" s="57" t="s">
        <v>58</v>
      </c>
      <c r="G73" s="329" t="s">
        <v>58</v>
      </c>
      <c r="H73" s="329"/>
      <c r="I73" s="57" t="s">
        <v>58</v>
      </c>
      <c r="J73" s="57" t="s">
        <v>58</v>
      </c>
      <c r="K73" s="57" t="s">
        <v>58</v>
      </c>
      <c r="L73" s="57" t="s">
        <v>58</v>
      </c>
      <c r="M73" s="57" t="s">
        <v>58</v>
      </c>
      <c r="N73" s="64" t="s">
        <v>58</v>
      </c>
    </row>
    <row r="74" spans="1:14" ht="17.5" thickBot="1" x14ac:dyDescent="0.45">
      <c r="A74" s="65">
        <v>660</v>
      </c>
      <c r="B74" s="66">
        <v>679</v>
      </c>
      <c r="C74" s="67">
        <v>1</v>
      </c>
      <c r="D74" s="330" t="s">
        <v>58</v>
      </c>
      <c r="E74" s="330"/>
      <c r="F74" s="68" t="s">
        <v>58</v>
      </c>
      <c r="G74" s="330" t="s">
        <v>58</v>
      </c>
      <c r="H74" s="330"/>
      <c r="I74" s="68" t="s">
        <v>58</v>
      </c>
      <c r="J74" s="68" t="s">
        <v>58</v>
      </c>
      <c r="K74" s="68" t="s">
        <v>58</v>
      </c>
      <c r="L74" s="68" t="s">
        <v>58</v>
      </c>
      <c r="M74" s="68" t="s">
        <v>58</v>
      </c>
      <c r="N74" s="69" t="s">
        <v>58</v>
      </c>
    </row>
    <row r="75" spans="1:14" hidden="1" x14ac:dyDescent="0.4"/>
    <row r="76" spans="1:14" hidden="1" x14ac:dyDescent="0.4">
      <c r="A76" s="5" t="s">
        <v>49</v>
      </c>
      <c r="B76" s="5" t="s">
        <v>93</v>
      </c>
      <c r="C76" s="101" t="str">
        <f>IFERROR((D6/30)*365/B6, "")</f>
        <v/>
      </c>
    </row>
    <row r="77" spans="1:14" hidden="1" x14ac:dyDescent="0.4">
      <c r="A77" s="5"/>
      <c r="B77" s="5" t="s">
        <v>94</v>
      </c>
      <c r="C77" s="101" t="str">
        <f>IFERROR(RATE(F6, -D6, C6)*12, "")</f>
        <v/>
      </c>
    </row>
    <row r="78" spans="1:14" ht="17.5" thickBot="1" x14ac:dyDescent="0.45"/>
    <row r="79" spans="1:14" ht="17.5" thickBot="1" x14ac:dyDescent="0.45">
      <c r="A79" s="177" t="s">
        <v>97</v>
      </c>
      <c r="B79" s="178"/>
      <c r="C79" s="178"/>
      <c r="D79" s="178"/>
      <c r="E79" s="179"/>
    </row>
    <row r="80" spans="1:14" x14ac:dyDescent="0.4">
      <c r="A80" s="180" t="s">
        <v>98</v>
      </c>
      <c r="B80" s="181"/>
      <c r="C80" s="163" t="s">
        <v>56</v>
      </c>
      <c r="D80" s="163" t="s">
        <v>52</v>
      </c>
      <c r="E80" s="164" t="s">
        <v>53</v>
      </c>
    </row>
    <row r="81" spans="1:5" x14ac:dyDescent="0.4">
      <c r="A81" s="157">
        <v>700</v>
      </c>
      <c r="B81" s="122"/>
      <c r="C81" s="123">
        <v>3.2500000000000001E-2</v>
      </c>
      <c r="D81" s="123">
        <v>3.2500000000000001E-2</v>
      </c>
      <c r="E81" s="158">
        <f>SUM(C81:D81)</f>
        <v>6.5000000000000002E-2</v>
      </c>
    </row>
    <row r="82" spans="1:5" ht="17.5" thickBot="1" x14ac:dyDescent="0.45">
      <c r="A82" s="159">
        <v>600</v>
      </c>
      <c r="B82" s="160">
        <v>699</v>
      </c>
      <c r="C82" s="161">
        <v>3.2500000000000001E-2</v>
      </c>
      <c r="D82" s="161">
        <v>0.05</v>
      </c>
      <c r="E82" s="162">
        <f>SUM(C82:D82)</f>
        <v>8.2500000000000004E-2</v>
      </c>
    </row>
  </sheetData>
  <mergeCells count="199">
    <mergeCell ref="E13:O30"/>
    <mergeCell ref="E11:O12"/>
    <mergeCell ref="X24:X25"/>
    <mergeCell ref="Y24:Z25"/>
    <mergeCell ref="AA24:AA25"/>
    <mergeCell ref="W11:Y11"/>
    <mergeCell ref="W12:Y12"/>
    <mergeCell ref="K61:N61"/>
    <mergeCell ref="F61:J61"/>
    <mergeCell ref="Q38:R38"/>
    <mergeCell ref="Q39:R39"/>
    <mergeCell ref="N50:N54"/>
    <mergeCell ref="J55:J59"/>
    <mergeCell ref="K55:K59"/>
    <mergeCell ref="N55:N59"/>
    <mergeCell ref="O34:P34"/>
    <mergeCell ref="S34:T34"/>
    <mergeCell ref="S35:T35"/>
    <mergeCell ref="S36:T36"/>
    <mergeCell ref="S37:T37"/>
    <mergeCell ref="S38:T38"/>
    <mergeCell ref="N35:N39"/>
    <mergeCell ref="J40:J44"/>
    <mergeCell ref="K40:K44"/>
    <mergeCell ref="T30:U30"/>
    <mergeCell ref="V30:W30"/>
    <mergeCell ref="A61:E61"/>
    <mergeCell ref="T22:AA22"/>
    <mergeCell ref="Y23:Z23"/>
    <mergeCell ref="U23:W23"/>
    <mergeCell ref="D70:E70"/>
    <mergeCell ref="D71:E71"/>
    <mergeCell ref="D72:E72"/>
    <mergeCell ref="A62:B62"/>
    <mergeCell ref="W34:X34"/>
    <mergeCell ref="W35:X35"/>
    <mergeCell ref="W36:X36"/>
    <mergeCell ref="W37:X37"/>
    <mergeCell ref="W38:X38"/>
    <mergeCell ref="W39:X39"/>
    <mergeCell ref="U34:V34"/>
    <mergeCell ref="U35:V35"/>
    <mergeCell ref="U36:V36"/>
    <mergeCell ref="U37:V37"/>
    <mergeCell ref="U38:V38"/>
    <mergeCell ref="U39:V39"/>
    <mergeCell ref="S39:T39"/>
    <mergeCell ref="Q34:R34"/>
    <mergeCell ref="D73:E73"/>
    <mergeCell ref="D74:E74"/>
    <mergeCell ref="G73:H73"/>
    <mergeCell ref="G74:H74"/>
    <mergeCell ref="D62:E62"/>
    <mergeCell ref="D63:E63"/>
    <mergeCell ref="D64:E64"/>
    <mergeCell ref="D65:E65"/>
    <mergeCell ref="D66:E66"/>
    <mergeCell ref="D67:E67"/>
    <mergeCell ref="D68:E68"/>
    <mergeCell ref="D69:E69"/>
    <mergeCell ref="G67:H67"/>
    <mergeCell ref="G68:H68"/>
    <mergeCell ref="G69:H69"/>
    <mergeCell ref="G70:H70"/>
    <mergeCell ref="G71:H71"/>
    <mergeCell ref="G72:H72"/>
    <mergeCell ref="G62:H62"/>
    <mergeCell ref="G63:H63"/>
    <mergeCell ref="G64:H64"/>
    <mergeCell ref="G65:H65"/>
    <mergeCell ref="G66:H66"/>
    <mergeCell ref="Q35:R35"/>
    <mergeCell ref="Q36:R36"/>
    <mergeCell ref="Q37:R37"/>
    <mergeCell ref="J34:M34"/>
    <mergeCell ref="J35:J39"/>
    <mergeCell ref="K35:K39"/>
    <mergeCell ref="J50:J54"/>
    <mergeCell ref="K50:K54"/>
    <mergeCell ref="H51:I51"/>
    <mergeCell ref="H52:I52"/>
    <mergeCell ref="H53:I53"/>
    <mergeCell ref="H54:I54"/>
    <mergeCell ref="H45:I45"/>
    <mergeCell ref="H46:I46"/>
    <mergeCell ref="H47:I47"/>
    <mergeCell ref="H48:I48"/>
    <mergeCell ref="H49:I49"/>
    <mergeCell ref="H50:I50"/>
    <mergeCell ref="F50:F54"/>
    <mergeCell ref="F55:F59"/>
    <mergeCell ref="B35:B39"/>
    <mergeCell ref="B40:B44"/>
    <mergeCell ref="B45:B49"/>
    <mergeCell ref="N40:N44"/>
    <mergeCell ref="J45:J49"/>
    <mergeCell ref="K45:K49"/>
    <mergeCell ref="N45:N49"/>
    <mergeCell ref="H57:I57"/>
    <mergeCell ref="H58:I58"/>
    <mergeCell ref="H59:I59"/>
    <mergeCell ref="H55:I55"/>
    <mergeCell ref="H56:I56"/>
    <mergeCell ref="A50:A54"/>
    <mergeCell ref="A55:A59"/>
    <mergeCell ref="E35:E39"/>
    <mergeCell ref="E40:E44"/>
    <mergeCell ref="E45:E49"/>
    <mergeCell ref="E50:E54"/>
    <mergeCell ref="E55:E59"/>
    <mergeCell ref="B50:B54"/>
    <mergeCell ref="B55:B59"/>
    <mergeCell ref="Y18:Z18"/>
    <mergeCell ref="Y19:Z19"/>
    <mergeCell ref="Y20:Z20"/>
    <mergeCell ref="Y21:Z21"/>
    <mergeCell ref="B29:D29"/>
    <mergeCell ref="B30:D30"/>
    <mergeCell ref="A35:A39"/>
    <mergeCell ref="A40:A44"/>
    <mergeCell ref="A45:A49"/>
    <mergeCell ref="F35:F39"/>
    <mergeCell ref="F40:F44"/>
    <mergeCell ref="F45:F49"/>
    <mergeCell ref="H38:I38"/>
    <mergeCell ref="A34:D34"/>
    <mergeCell ref="E34:I34"/>
    <mergeCell ref="H35:I35"/>
    <mergeCell ref="H36:I36"/>
    <mergeCell ref="H37:I37"/>
    <mergeCell ref="H39:I39"/>
    <mergeCell ref="H40:I40"/>
    <mergeCell ref="H41:I41"/>
    <mergeCell ref="H42:I42"/>
    <mergeCell ref="H43:I43"/>
    <mergeCell ref="H44:I44"/>
    <mergeCell ref="W14:X14"/>
    <mergeCell ref="Z14:AA14"/>
    <mergeCell ref="T15:W15"/>
    <mergeCell ref="X15:AA15"/>
    <mergeCell ref="V16:W16"/>
    <mergeCell ref="V17:W17"/>
    <mergeCell ref="T8:U9"/>
    <mergeCell ref="W8:AA8"/>
    <mergeCell ref="W9:AA9"/>
    <mergeCell ref="W10:AA10"/>
    <mergeCell ref="Z11:AA11"/>
    <mergeCell ref="Z12:AA12"/>
    <mergeCell ref="W13:AA13"/>
    <mergeCell ref="X16:AA16"/>
    <mergeCell ref="Y17:Z17"/>
    <mergeCell ref="V1:V14"/>
    <mergeCell ref="T1:U1"/>
    <mergeCell ref="Y1:Y7"/>
    <mergeCell ref="W1:X1"/>
    <mergeCell ref="Z1:AA1"/>
    <mergeCell ref="M3:M6"/>
    <mergeCell ref="A1:C2"/>
    <mergeCell ref="D1:H2"/>
    <mergeCell ref="I1:J2"/>
    <mergeCell ref="K1:O2"/>
    <mergeCell ref="P1:R2"/>
    <mergeCell ref="A3:I3"/>
    <mergeCell ref="N3:N6"/>
    <mergeCell ref="O3:O6"/>
    <mergeCell ref="P3:R3"/>
    <mergeCell ref="V18:W18"/>
    <mergeCell ref="V19:W19"/>
    <mergeCell ref="V20:W20"/>
    <mergeCell ref="V21:W21"/>
    <mergeCell ref="U24:W24"/>
    <mergeCell ref="U25:W25"/>
    <mergeCell ref="T26:W26"/>
    <mergeCell ref="T27:U27"/>
    <mergeCell ref="T28:U28"/>
    <mergeCell ref="T29:U29"/>
    <mergeCell ref="V27:W27"/>
    <mergeCell ref="V28:W28"/>
    <mergeCell ref="V29:W29"/>
    <mergeCell ref="A79:E79"/>
    <mergeCell ref="A80:B80"/>
    <mergeCell ref="X26:AA26"/>
    <mergeCell ref="Y27:AA28"/>
    <mergeCell ref="X27:X28"/>
    <mergeCell ref="P28:R29"/>
    <mergeCell ref="P30:R30"/>
    <mergeCell ref="S1:S30"/>
    <mergeCell ref="G6:H6"/>
    <mergeCell ref="G7:H7"/>
    <mergeCell ref="G8:H8"/>
    <mergeCell ref="G9:H9"/>
    <mergeCell ref="G10:H10"/>
    <mergeCell ref="E5:I5"/>
    <mergeCell ref="B28:D28"/>
    <mergeCell ref="C11:C27"/>
    <mergeCell ref="G4:H4"/>
    <mergeCell ref="J3:J6"/>
    <mergeCell ref="K3:K6"/>
    <mergeCell ref="L3:L6"/>
  </mergeCells>
  <conditionalFormatting sqref="I7:I9">
    <cfRule type="cellIs" dxfId="11" priority="11" operator="greaterThan">
      <formula>$J$7</formula>
    </cfRule>
    <cfRule type="cellIs" dxfId="10" priority="12" operator="lessThan">
      <formula>$J$7</formula>
    </cfRule>
  </conditionalFormatting>
  <conditionalFormatting sqref="I10">
    <cfRule type="cellIs" dxfId="9" priority="1" operator="greaterThan">
      <formula>$J$10</formula>
    </cfRule>
    <cfRule type="cellIs" dxfId="8" priority="2" operator="lessThan">
      <formula>$J$10</formula>
    </cfRule>
  </conditionalFormatting>
  <conditionalFormatting sqref="J7">
    <cfRule type="cellIs" dxfId="7" priority="9" operator="greaterThan">
      <formula>$I$7</formula>
    </cfRule>
    <cfRule type="cellIs" dxfId="6" priority="10" operator="lessThan">
      <formula>$I$7</formula>
    </cfRule>
  </conditionalFormatting>
  <conditionalFormatting sqref="J8">
    <cfRule type="cellIs" dxfId="5" priority="3" operator="greaterThan">
      <formula>$I$8</formula>
    </cfRule>
    <cfRule type="cellIs" dxfId="4" priority="4" operator="lessThan">
      <formula>$I$8</formula>
    </cfRule>
  </conditionalFormatting>
  <conditionalFormatting sqref="J9">
    <cfRule type="cellIs" dxfId="3" priority="5" operator="greaterThan">
      <formula>$I$9</formula>
    </cfRule>
    <cfRule type="cellIs" dxfId="2" priority="6" operator="lessThan">
      <formula>$I$9</formula>
    </cfRule>
  </conditionalFormatting>
  <conditionalFormatting sqref="J10">
    <cfRule type="cellIs" dxfId="1" priority="7" operator="greaterThan">
      <formula>$I$10</formula>
    </cfRule>
    <cfRule type="cellIs" dxfId="0" priority="8" operator="lessThan">
      <formula>$I$10</formula>
    </cfRule>
  </conditionalFormatting>
  <dataValidations count="4">
    <dataValidation type="list" allowBlank="1" showInputMessage="1" showErrorMessage="1" sqref="U23:W23" xr:uid="{72665695-9034-4431-BC37-468AFD68A7CB}">
      <formula1>$T$18:$T$21</formula1>
    </dataValidation>
    <dataValidation type="list" allowBlank="1" showInputMessage="1" showErrorMessage="1" sqref="E7:E9" xr:uid="{85A766B5-F006-4C7A-B138-E30C4A40003A}">
      <formula1>$D$32:$D$33</formula1>
    </dataValidation>
    <dataValidation type="list" allowBlank="1" showInputMessage="1" showErrorMessage="1" sqref="G7:H9" xr:uid="{A9E0A838-378F-4FC4-B6CA-C5E57FE5D5E7}">
      <formula1>$B$32:$B$33</formula1>
    </dataValidation>
    <dataValidation type="list" allowBlank="1" showInputMessage="1" showErrorMessage="1" sqref="E6" xr:uid="{85CD775B-EFE7-47CE-9164-4DD445654B98}">
      <formula1>$B$76:$B$77</formula1>
    </dataValidation>
  </dataValidations>
  <pageMargins left="0.7" right="0.7" top="0.75" bottom="0.75" header="0.3" footer="0.3"/>
  <pageSetup orientation="portrait" horizontalDpi="4294967293" verticalDpi="0" r:id="rId1"/>
  <ignoredErrors>
    <ignoredError sqref="P9:P10 D27 P6:P8" unlockedFormula="1"/>
    <ignoredError sqref="W12 E8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C66C-958D-4D12-BBC1-82272FCF6157}">
  <dimension ref="A1:Q15"/>
  <sheetViews>
    <sheetView zoomScale="89" zoomScaleNormal="89" workbookViewId="0">
      <selection activeCell="G12" sqref="G12"/>
    </sheetView>
  </sheetViews>
  <sheetFormatPr defaultColWidth="9.1796875" defaultRowHeight="20.5" x14ac:dyDescent="0.45"/>
  <cols>
    <col min="1" max="1" width="33.7265625" style="104" customWidth="1"/>
    <col min="2" max="2" width="13.54296875" style="104" customWidth="1"/>
    <col min="3" max="3" width="2.1796875" style="104" customWidth="1"/>
    <col min="4" max="4" width="33.7265625" style="104" bestFit="1" customWidth="1"/>
    <col min="5" max="5" width="13.54296875" style="104" customWidth="1"/>
    <col min="6" max="6" width="2.1796875" style="104" customWidth="1"/>
    <col min="7" max="7" width="33.7265625" style="104" bestFit="1" customWidth="1"/>
    <col min="8" max="8" width="13.54296875" style="104" customWidth="1"/>
    <col min="9" max="9" width="2" style="104" customWidth="1"/>
    <col min="10" max="10" width="33.7265625" style="104" bestFit="1" customWidth="1"/>
    <col min="11" max="11" width="13.54296875" style="104" customWidth="1"/>
    <col min="12" max="12" width="2.1796875" style="104" customWidth="1"/>
    <col min="13" max="13" width="33.7265625" style="104" bestFit="1" customWidth="1"/>
    <col min="14" max="14" width="13.54296875" style="104" customWidth="1"/>
    <col min="15" max="15" width="2.1796875" style="104" customWidth="1"/>
    <col min="16" max="16" width="33.7265625" style="104" bestFit="1" customWidth="1"/>
    <col min="17" max="17" width="13.54296875" style="104" customWidth="1"/>
    <col min="18" max="16384" width="9.1796875" style="104"/>
  </cols>
  <sheetData>
    <row r="1" spans="1:17" x14ac:dyDescent="0.45">
      <c r="A1" s="393" t="str">
        <f>Worksheet!A7</f>
        <v>Auto 1</v>
      </c>
      <c r="B1" s="393"/>
      <c r="C1" s="394"/>
      <c r="D1" s="393" t="s">
        <v>83</v>
      </c>
      <c r="E1" s="393"/>
      <c r="F1" s="394"/>
      <c r="G1" s="393" t="str">
        <f>Worksheet!A8</f>
        <v>Auto 2</v>
      </c>
      <c r="H1" s="393"/>
      <c r="I1" s="394"/>
      <c r="J1" s="393" t="s">
        <v>83</v>
      </c>
      <c r="K1" s="393"/>
      <c r="L1" s="394"/>
      <c r="M1" s="393" t="str">
        <f>Worksheet!A9</f>
        <v>Auto 3</v>
      </c>
      <c r="N1" s="393"/>
      <c r="O1" s="394"/>
      <c r="P1" s="393" t="s">
        <v>83</v>
      </c>
      <c r="Q1" s="393"/>
    </row>
    <row r="2" spans="1:17" x14ac:dyDescent="0.45">
      <c r="A2" s="105" t="s">
        <v>84</v>
      </c>
      <c r="B2" s="107">
        <f>Worksheet!B7</f>
        <v>0</v>
      </c>
      <c r="C2" s="395"/>
      <c r="D2" s="105" t="s">
        <v>89</v>
      </c>
      <c r="E2" s="107">
        <f>B2</f>
        <v>0</v>
      </c>
      <c r="F2" s="395"/>
      <c r="G2" s="105" t="s">
        <v>84</v>
      </c>
      <c r="H2" s="111">
        <f>Worksheet!B8</f>
        <v>0</v>
      </c>
      <c r="I2" s="395"/>
      <c r="J2" s="105" t="s">
        <v>89</v>
      </c>
      <c r="K2" s="107">
        <f>H2</f>
        <v>0</v>
      </c>
      <c r="L2" s="395"/>
      <c r="M2" s="105" t="s">
        <v>84</v>
      </c>
      <c r="N2" s="107">
        <f>Worksheet!B9</f>
        <v>0</v>
      </c>
      <c r="O2" s="395"/>
      <c r="P2" s="105" t="s">
        <v>89</v>
      </c>
      <c r="Q2" s="107">
        <f>N2</f>
        <v>0</v>
      </c>
    </row>
    <row r="3" spans="1:17" x14ac:dyDescent="0.45">
      <c r="A3" s="105" t="s">
        <v>85</v>
      </c>
      <c r="B3" s="108" t="str">
        <f>Worksheet!I7</f>
        <v/>
      </c>
      <c r="C3" s="395"/>
      <c r="D3" s="105" t="s">
        <v>90</v>
      </c>
      <c r="E3" s="108">
        <f>Worksheet!J7</f>
        <v>0</v>
      </c>
      <c r="F3" s="395"/>
      <c r="G3" s="105" t="s">
        <v>85</v>
      </c>
      <c r="H3" s="108" t="str">
        <f>Worksheet!I8</f>
        <v/>
      </c>
      <c r="I3" s="395"/>
      <c r="J3" s="105" t="s">
        <v>90</v>
      </c>
      <c r="K3" s="108">
        <f>Worksheet!J8</f>
        <v>0</v>
      </c>
      <c r="L3" s="395"/>
      <c r="M3" s="105" t="s">
        <v>85</v>
      </c>
      <c r="N3" s="108" t="str">
        <f>Worksheet!I9</f>
        <v/>
      </c>
      <c r="O3" s="395"/>
      <c r="P3" s="105" t="s">
        <v>90</v>
      </c>
      <c r="Q3" s="108">
        <f>Worksheet!J9</f>
        <v>0</v>
      </c>
    </row>
    <row r="4" spans="1:17" x14ac:dyDescent="0.45">
      <c r="A4" s="105" t="s">
        <v>86</v>
      </c>
      <c r="B4" s="107">
        <f>Worksheet!D7</f>
        <v>0</v>
      </c>
      <c r="C4" s="395"/>
      <c r="D4" s="105" t="s">
        <v>86</v>
      </c>
      <c r="E4" s="107">
        <f>B4</f>
        <v>0</v>
      </c>
      <c r="F4" s="395"/>
      <c r="G4" s="105" t="s">
        <v>86</v>
      </c>
      <c r="H4" s="107">
        <f>Worksheet!D8</f>
        <v>0</v>
      </c>
      <c r="I4" s="395"/>
      <c r="J4" s="105" t="s">
        <v>86</v>
      </c>
      <c r="K4" s="107">
        <f>H4</f>
        <v>0</v>
      </c>
      <c r="L4" s="395"/>
      <c r="M4" s="105" t="s">
        <v>86</v>
      </c>
      <c r="N4" s="107">
        <f>Worksheet!D9</f>
        <v>0</v>
      </c>
      <c r="O4" s="395"/>
      <c r="P4" s="105" t="s">
        <v>86</v>
      </c>
      <c r="Q4" s="107">
        <f>N4</f>
        <v>0</v>
      </c>
    </row>
    <row r="5" spans="1:17" x14ac:dyDescent="0.45">
      <c r="A5" s="105" t="s">
        <v>87</v>
      </c>
      <c r="B5" s="109" t="str">
        <f>IF(B4=0, "", NPER(B3/12, B4, -B2))</f>
        <v/>
      </c>
      <c r="C5" s="395"/>
      <c r="D5" s="105" t="s">
        <v>87</v>
      </c>
      <c r="E5" s="109" t="str">
        <f>IF(E4=0, "", NPER(E3/12, E4, -E2))</f>
        <v/>
      </c>
      <c r="F5" s="395"/>
      <c r="G5" s="105" t="s">
        <v>87</v>
      </c>
      <c r="H5" s="109" t="str">
        <f>IF(H4=0, "", NPER(H3/12, H4, -H2))</f>
        <v/>
      </c>
      <c r="I5" s="395"/>
      <c r="J5" s="105" t="s">
        <v>87</v>
      </c>
      <c r="K5" s="109" t="str">
        <f>IF(K4=0, "", NPER(K3/12, K4, -K2))</f>
        <v/>
      </c>
      <c r="L5" s="395"/>
      <c r="M5" s="105" t="s">
        <v>87</v>
      </c>
      <c r="N5" s="109" t="str">
        <f>IF(N4=0, "", NPER(N3/12, N4, -N2))</f>
        <v/>
      </c>
      <c r="O5" s="395"/>
      <c r="P5" s="105" t="s">
        <v>87</v>
      </c>
      <c r="Q5" s="109" t="str">
        <f>IF(Q4=0, "", NPER(Q3/12, Q4, -Q2))</f>
        <v/>
      </c>
    </row>
    <row r="6" spans="1:17" x14ac:dyDescent="0.45">
      <c r="A6" s="106" t="s">
        <v>88</v>
      </c>
      <c r="B6" s="110" t="str">
        <f>IFERROR(B5*B4-B2, "")</f>
        <v/>
      </c>
      <c r="C6" s="396"/>
      <c r="D6" s="106" t="s">
        <v>88</v>
      </c>
      <c r="E6" s="110" t="str">
        <f>IFERROR(E5*E4-E2, "")</f>
        <v/>
      </c>
      <c r="F6" s="395"/>
      <c r="G6" s="106" t="s">
        <v>88</v>
      </c>
      <c r="H6" s="110" t="str">
        <f>IFERROR(H5*H4-H2, "")</f>
        <v/>
      </c>
      <c r="I6" s="396"/>
      <c r="J6" s="106" t="s">
        <v>88</v>
      </c>
      <c r="K6" s="110" t="str">
        <f>IFERROR(K5*K4-K2, "")</f>
        <v/>
      </c>
      <c r="L6" s="395"/>
      <c r="M6" s="106" t="s">
        <v>88</v>
      </c>
      <c r="N6" s="110" t="str">
        <f>IFERROR(N5*N4-N2, "")</f>
        <v/>
      </c>
      <c r="O6" s="396"/>
      <c r="P6" s="106" t="s">
        <v>88</v>
      </c>
      <c r="Q6" s="110" t="str">
        <f>IFERROR(Q5*Q4-Q2, "")</f>
        <v/>
      </c>
    </row>
    <row r="7" spans="1:17" x14ac:dyDescent="0.45">
      <c r="A7" s="391" t="s">
        <v>91</v>
      </c>
      <c r="B7" s="391"/>
      <c r="C7" s="391"/>
      <c r="D7" s="392" t="str">
        <f>IFERROR(B6-E6, "")</f>
        <v/>
      </c>
      <c r="E7" s="392"/>
      <c r="F7" s="395"/>
      <c r="G7" s="391" t="s">
        <v>91</v>
      </c>
      <c r="H7" s="391"/>
      <c r="I7" s="391"/>
      <c r="J7" s="392" t="str">
        <f>IFERROR(H6-K6, "")</f>
        <v/>
      </c>
      <c r="K7" s="392"/>
      <c r="L7" s="395"/>
      <c r="M7" s="391" t="s">
        <v>91</v>
      </c>
      <c r="N7" s="391"/>
      <c r="O7" s="391"/>
      <c r="P7" s="392" t="str">
        <f>IFERROR(N6-Q6, "")</f>
        <v/>
      </c>
      <c r="Q7" s="392"/>
    </row>
    <row r="9" spans="1:17" x14ac:dyDescent="0.45">
      <c r="A9" s="393" t="str">
        <f>Worksheet!A10</f>
        <v>Uns IL</v>
      </c>
      <c r="B9" s="393"/>
      <c r="C9" s="394"/>
      <c r="D9" s="393" t="s">
        <v>83</v>
      </c>
      <c r="E9" s="393"/>
    </row>
    <row r="10" spans="1:17" x14ac:dyDescent="0.45">
      <c r="A10" s="105" t="s">
        <v>84</v>
      </c>
      <c r="B10" s="107">
        <f>Worksheet!B10</f>
        <v>0</v>
      </c>
      <c r="C10" s="395"/>
      <c r="D10" s="105" t="s">
        <v>89</v>
      </c>
      <c r="E10" s="107">
        <f>B10</f>
        <v>0</v>
      </c>
    </row>
    <row r="11" spans="1:17" x14ac:dyDescent="0.45">
      <c r="A11" s="105" t="s">
        <v>85</v>
      </c>
      <c r="B11" s="108" t="str">
        <f>Worksheet!I10</f>
        <v/>
      </c>
      <c r="C11" s="395"/>
      <c r="D11" s="105" t="s">
        <v>90</v>
      </c>
      <c r="E11" s="108" t="b">
        <f ca="1">Worksheet!J10</f>
        <v>0</v>
      </c>
    </row>
    <row r="12" spans="1:17" x14ac:dyDescent="0.45">
      <c r="A12" s="105" t="s">
        <v>86</v>
      </c>
      <c r="B12" s="107">
        <f>Worksheet!D10</f>
        <v>0</v>
      </c>
      <c r="C12" s="395"/>
      <c r="D12" s="105" t="s">
        <v>86</v>
      </c>
      <c r="E12" s="107">
        <f>B12</f>
        <v>0</v>
      </c>
    </row>
    <row r="13" spans="1:17" x14ac:dyDescent="0.45">
      <c r="A13" s="105" t="s">
        <v>87</v>
      </c>
      <c r="B13" s="109" t="str">
        <f>IF(B12=0, "", NPER(B11/12, B12, -B10))</f>
        <v/>
      </c>
      <c r="C13" s="395"/>
      <c r="D13" s="105" t="s">
        <v>87</v>
      </c>
      <c r="E13" s="109" t="str">
        <f>IF(E12=0, "", NPER(E11/12, E12, -E10))</f>
        <v/>
      </c>
    </row>
    <row r="14" spans="1:17" x14ac:dyDescent="0.45">
      <c r="A14" s="106" t="s">
        <v>88</v>
      </c>
      <c r="B14" s="110" t="str">
        <f>IFERROR(B13*B12-B10, "")</f>
        <v/>
      </c>
      <c r="C14" s="396"/>
      <c r="D14" s="106" t="s">
        <v>88</v>
      </c>
      <c r="E14" s="110" t="str">
        <f>IFERROR(E13*E12-E10, "")</f>
        <v/>
      </c>
    </row>
    <row r="15" spans="1:17" x14ac:dyDescent="0.45">
      <c r="A15" s="391" t="s">
        <v>91</v>
      </c>
      <c r="B15" s="391"/>
      <c r="C15" s="391"/>
      <c r="D15" s="392" t="str">
        <f>IFERROR(B14-E14, "")</f>
        <v/>
      </c>
      <c r="E15" s="392"/>
    </row>
  </sheetData>
  <mergeCells count="22">
    <mergeCell ref="A9:B9"/>
    <mergeCell ref="D9:E9"/>
    <mergeCell ref="A15:C15"/>
    <mergeCell ref="D15:E15"/>
    <mergeCell ref="A7:C7"/>
    <mergeCell ref="D7:E7"/>
    <mergeCell ref="C9:C14"/>
    <mergeCell ref="G7:I7"/>
    <mergeCell ref="J7:K7"/>
    <mergeCell ref="M7:O7"/>
    <mergeCell ref="P7:Q7"/>
    <mergeCell ref="A1:B1"/>
    <mergeCell ref="D1:E1"/>
    <mergeCell ref="G1:H1"/>
    <mergeCell ref="J1:K1"/>
    <mergeCell ref="M1:N1"/>
    <mergeCell ref="P1:Q1"/>
    <mergeCell ref="C1:C6"/>
    <mergeCell ref="F1:F7"/>
    <mergeCell ref="I1:I6"/>
    <mergeCell ref="L1:L7"/>
    <mergeCell ref="O1:O6"/>
  </mergeCells>
  <pageMargins left="0.7" right="0.7" top="0.75" bottom="0.75" header="0.3" footer="0.3"/>
  <ignoredErrors>
    <ignoredError sqref="E3 K3 Q3 E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B53B-0420-4131-9EF1-CAE60152953F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Savings Calculator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David J.</dc:creator>
  <cp:lastModifiedBy>David Olson</cp:lastModifiedBy>
  <dcterms:created xsi:type="dcterms:W3CDTF">2021-12-06T14:48:47Z</dcterms:created>
  <dcterms:modified xsi:type="dcterms:W3CDTF">2024-04-27T13:49:33Z</dcterms:modified>
</cp:coreProperties>
</file>