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Shirley\Desktop\Older Desktop Icons\OLD D DRIVE\401RT 2015\401RT Doc\"/>
    </mc:Choice>
  </mc:AlternateContent>
  <xr:revisionPtr revIDLastSave="0" documentId="13_ncr:1_{FB9C5E2A-E9B1-4436-85D2-44EC36496E37}" xr6:coauthVersionLast="47" xr6:coauthVersionMax="47" xr10:uidLastSave="{00000000-0000-0000-0000-000000000000}"/>
  <bookViews>
    <workbookView xWindow="-120" yWindow="-120" windowWidth="20730" windowHeight="11160" xr2:uid="{C7F45620-3BEB-406E-B24A-EDF2A7EF6FD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5" i="1" l="1"/>
  <c r="M59" i="1"/>
  <c r="J59" i="1"/>
  <c r="L61" i="1"/>
  <c r="L67" i="1" s="1"/>
  <c r="K61" i="1"/>
  <c r="I61" i="1"/>
  <c r="H61" i="1"/>
  <c r="P26" i="1"/>
  <c r="P19" i="1"/>
  <c r="N67" i="1"/>
  <c r="K67" i="1"/>
  <c r="I67" i="1"/>
  <c r="J67" i="1" s="1"/>
  <c r="H67" i="1"/>
  <c r="M61" i="1"/>
  <c r="J61" i="1"/>
  <c r="N11" i="1"/>
  <c r="M11" i="1"/>
  <c r="M12" i="1" s="1"/>
  <c r="L11" i="1"/>
  <c r="K11" i="1"/>
  <c r="J11" i="1"/>
  <c r="J12" i="1" s="1"/>
  <c r="I11" i="1"/>
  <c r="H11" i="1"/>
  <c r="L13" i="1"/>
  <c r="I13" i="1"/>
  <c r="N10" i="1"/>
  <c r="K9" i="1"/>
  <c r="K10" i="1" s="1"/>
  <c r="H9" i="1"/>
  <c r="H10" i="1" s="1"/>
  <c r="N40" i="1"/>
  <c r="M40" i="1"/>
  <c r="L40" i="1"/>
  <c r="K40" i="1"/>
  <c r="J40" i="1"/>
  <c r="I40" i="1"/>
  <c r="H40" i="1"/>
  <c r="O77" i="1"/>
  <c r="P51" i="1"/>
  <c r="P48" i="1"/>
  <c r="M42" i="1"/>
  <c r="L42" i="1"/>
  <c r="J42" i="1"/>
  <c r="I42" i="1"/>
  <c r="P36" i="1"/>
  <c r="N36" i="1"/>
  <c r="O36" i="1" s="1"/>
  <c r="K35" i="1"/>
  <c r="L35" i="1" s="1"/>
  <c r="H35" i="1"/>
  <c r="I35" i="1" s="1"/>
  <c r="I36" i="1" s="1"/>
  <c r="M67" i="1" l="1"/>
  <c r="P67" i="1" s="1"/>
  <c r="O61" i="1"/>
  <c r="N12" i="1"/>
  <c r="N16" i="1" s="1"/>
  <c r="O10" i="1"/>
  <c r="N9" i="1" s="1"/>
  <c r="L9" i="1"/>
  <c r="L10" i="1" s="1"/>
  <c r="K12" i="1"/>
  <c r="H12" i="1"/>
  <c r="L12" i="1"/>
  <c r="K16" i="1"/>
  <c r="I9" i="1"/>
  <c r="H36" i="1"/>
  <c r="H39" i="1" s="1"/>
  <c r="H41" i="1" s="1"/>
  <c r="H45" i="1" s="1"/>
  <c r="H47" i="1" s="1"/>
  <c r="K36" i="1"/>
  <c r="K39" i="1" s="1"/>
  <c r="K41" i="1" s="1"/>
  <c r="L36" i="1"/>
  <c r="M35" i="1"/>
  <c r="O39" i="1"/>
  <c r="N35" i="1"/>
  <c r="J35" i="1"/>
  <c r="N39" i="1"/>
  <c r="M9" i="1" l="1"/>
  <c r="K22" i="1"/>
  <c r="N17" i="1"/>
  <c r="N19" i="1" s="1"/>
  <c r="O12" i="1"/>
  <c r="O11" i="1" s="1"/>
  <c r="H16" i="1"/>
  <c r="I10" i="1"/>
  <c r="I12" i="1" s="1"/>
  <c r="J9" i="1"/>
  <c r="L16" i="1"/>
  <c r="H46" i="1"/>
  <c r="H49" i="1" s="1"/>
  <c r="J39" i="1"/>
  <c r="J41" i="1" s="1"/>
  <c r="I39" i="1"/>
  <c r="I41" i="1" s="1"/>
  <c r="K45" i="1"/>
  <c r="K47" i="1" s="1"/>
  <c r="N41" i="1"/>
  <c r="L39" i="1"/>
  <c r="L41" i="1" s="1"/>
  <c r="H22" i="1" l="1"/>
  <c r="M16" i="1"/>
  <c r="L22" i="1"/>
  <c r="N20" i="1"/>
  <c r="O20" i="1" s="1"/>
  <c r="I16" i="1"/>
  <c r="M13" i="1"/>
  <c r="H52" i="1"/>
  <c r="H54" i="1" s="1"/>
  <c r="N45" i="1"/>
  <c r="N47" i="1" s="1"/>
  <c r="J45" i="1"/>
  <c r="J47" i="1" s="1"/>
  <c r="L45" i="1"/>
  <c r="L47" i="1" s="1"/>
  <c r="K46" i="1"/>
  <c r="K49" i="1" s="1"/>
  <c r="K52" i="1" s="1"/>
  <c r="I45" i="1"/>
  <c r="I47" i="1" s="1"/>
  <c r="P37" i="1"/>
  <c r="M39" i="1"/>
  <c r="N26" i="1" l="1"/>
  <c r="J16" i="1"/>
  <c r="O16" i="1" s="1"/>
  <c r="I22" i="1"/>
  <c r="M22" i="1"/>
  <c r="M17" i="1"/>
  <c r="J13" i="1"/>
  <c r="H59" i="1"/>
  <c r="H55" i="1"/>
  <c r="H56" i="1" s="1"/>
  <c r="J46" i="1"/>
  <c r="J49" i="1" s="1"/>
  <c r="K54" i="1"/>
  <c r="K59" i="1" s="1"/>
  <c r="N46" i="1"/>
  <c r="M41" i="1"/>
  <c r="P39" i="1"/>
  <c r="I46" i="1"/>
  <c r="I49" i="1" s="1"/>
  <c r="I52" i="1" s="1"/>
  <c r="L46" i="1"/>
  <c r="L49" i="1" s="1"/>
  <c r="L52" i="1" s="1"/>
  <c r="K17" i="1" l="1"/>
  <c r="K19" i="1" s="1"/>
  <c r="L17" i="1"/>
  <c r="L19" i="1" s="1"/>
  <c r="M19" i="1"/>
  <c r="J22" i="1"/>
  <c r="J17" i="1"/>
  <c r="N27" i="1"/>
  <c r="J52" i="1"/>
  <c r="J54" i="1" s="1"/>
  <c r="H57" i="1"/>
  <c r="H58" i="1" s="1"/>
  <c r="K55" i="1"/>
  <c r="K56" i="1" s="1"/>
  <c r="I54" i="1"/>
  <c r="I59" i="1" s="1"/>
  <c r="M45" i="1"/>
  <c r="M47" i="1" s="1"/>
  <c r="P41" i="1"/>
  <c r="O41" i="1"/>
  <c r="O40" i="1" s="1"/>
  <c r="L54" i="1"/>
  <c r="L59" i="1" s="1"/>
  <c r="N49" i="1"/>
  <c r="M26" i="1" l="1"/>
  <c r="M27" i="1" s="1"/>
  <c r="L26" i="1"/>
  <c r="L27" i="1" s="1"/>
  <c r="K26" i="1"/>
  <c r="K27" i="1" s="1"/>
  <c r="O17" i="1"/>
  <c r="I17" i="1"/>
  <c r="I19" i="1" s="1"/>
  <c r="I26" i="1" s="1"/>
  <c r="H17" i="1"/>
  <c r="H19" i="1" s="1"/>
  <c r="J55" i="1"/>
  <c r="J56" i="1" s="1"/>
  <c r="K57" i="1"/>
  <c r="L55" i="1"/>
  <c r="L56" i="1" s="1"/>
  <c r="I55" i="1"/>
  <c r="I56" i="1" s="1"/>
  <c r="N50" i="1"/>
  <c r="N54" i="1" s="1"/>
  <c r="O45" i="1"/>
  <c r="O42" i="1" s="1"/>
  <c r="M46" i="1"/>
  <c r="P46" i="1" s="1"/>
  <c r="H26" i="1" l="1"/>
  <c r="H27" i="1" s="1"/>
  <c r="J19" i="1"/>
  <c r="J26" i="1" s="1"/>
  <c r="O22" i="1"/>
  <c r="K58" i="1"/>
  <c r="I57" i="1"/>
  <c r="I58" i="1" s="1"/>
  <c r="J57" i="1"/>
  <c r="L57" i="1"/>
  <c r="P50" i="1"/>
  <c r="O50" i="1"/>
  <c r="P47" i="1"/>
  <c r="M49" i="1"/>
  <c r="M52" i="1" s="1"/>
  <c r="O46" i="1"/>
  <c r="O47" i="1" s="1"/>
  <c r="N63" i="1"/>
  <c r="O19" i="1" l="1"/>
  <c r="L58" i="1"/>
  <c r="J58" i="1"/>
  <c r="O49" i="1"/>
  <c r="M54" i="1"/>
  <c r="P49" i="1"/>
  <c r="O63" i="1"/>
  <c r="O26" i="1" l="1"/>
  <c r="J27" i="1"/>
  <c r="O59" i="1"/>
  <c r="M55" i="1"/>
  <c r="M56" i="1" s="1"/>
  <c r="O56" i="1" s="1"/>
  <c r="O54" i="1"/>
  <c r="P52" i="1"/>
  <c r="O52" i="1"/>
  <c r="P54" i="1" s="1"/>
  <c r="O67" i="1" l="1"/>
  <c r="O28" i="1"/>
  <c r="O27" i="1"/>
  <c r="N76" i="1"/>
  <c r="O76" i="1" s="1"/>
  <c r="N75" i="1"/>
  <c r="O75" i="1" s="1"/>
  <c r="N81" i="1"/>
  <c r="O81" i="1" s="1"/>
  <c r="N74" i="1"/>
  <c r="O74" i="1" s="1"/>
  <c r="N80" i="1"/>
  <c r="O80" i="1" s="1"/>
  <c r="N73" i="1"/>
  <c r="O73" i="1" s="1"/>
  <c r="M57" i="1"/>
  <c r="M58" i="1" s="1"/>
  <c r="O55" i="1"/>
  <c r="O58" i="1" l="1"/>
  <c r="O57" i="1"/>
  <c r="D68" i="1" l="1"/>
  <c r="O70" i="1"/>
  <c r="N70" i="1" l="1"/>
  <c r="N78" i="1" s="1"/>
  <c r="N82" i="1" l="1"/>
  <c r="P82" i="1" s="1"/>
  <c r="O78" i="1"/>
  <c r="O82" i="1" s="1"/>
  <c r="I2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Shirley</author>
  </authors>
  <commentList>
    <comment ref="P72" authorId="0" shapeId="0" xr:uid="{EB2F019B-BA72-485E-B592-B18486600014}">
      <text>
        <r>
          <rPr>
            <sz val="9"/>
            <color indexed="81"/>
            <rFont val="Tahoma"/>
            <family val="2"/>
          </rPr>
          <t>Reflects the full-scale 401RT Express impact when not affected by AI.</t>
        </r>
      </text>
    </comment>
  </commentList>
</comments>
</file>

<file path=xl/sharedStrings.xml><?xml version="1.0" encoding="utf-8"?>
<sst xmlns="http://schemas.openxmlformats.org/spreadsheetml/2006/main" count="95" uniqueCount="75">
  <si>
    <t>Non-Commercial Vehicles (Daily)</t>
  </si>
  <si>
    <t>Commercial Vehicles</t>
  </si>
  <si>
    <t>TOTALS   (Daily)</t>
  </si>
  <si>
    <t>Office</t>
  </si>
  <si>
    <t>Non-Ofice</t>
  </si>
  <si>
    <t>Peak Hrs</t>
  </si>
  <si>
    <t>Off-Peak Hrs</t>
  </si>
  <si>
    <r>
      <t xml:space="preserve">Percent of daily trip volumes </t>
    </r>
    <r>
      <rPr>
        <sz val="9"/>
        <color theme="1"/>
        <rFont val="Aptos Narrow"/>
        <family val="2"/>
        <scheme val="minor"/>
      </rPr>
      <t>(per MTO  TTS</t>
    </r>
    <r>
      <rPr>
        <sz val="11"/>
        <color theme="1"/>
        <rFont val="Aptos Narrow"/>
        <family val="2"/>
        <scheme val="minor"/>
      </rPr>
      <t>)</t>
    </r>
  </si>
  <si>
    <r>
      <rPr>
        <sz val="11"/>
        <color theme="1"/>
        <rFont val="Aptos Narrow"/>
        <family val="2"/>
      </rPr>
      <t xml:space="preserve">−MTO </t>
    </r>
    <r>
      <rPr>
        <sz val="16.3"/>
        <color theme="1"/>
        <rFont val="Aptos Narrow"/>
        <family val="2"/>
      </rPr>
      <t xml:space="preserve"> </t>
    </r>
    <r>
      <rPr>
        <sz val="11"/>
        <color theme="1"/>
        <rFont val="Aptos Narrow"/>
        <family val="2"/>
        <scheme val="minor"/>
      </rPr>
      <t>AADT for Highway 401 adjusted to 2024</t>
    </r>
  </si>
  <si>
    <r>
      <rPr>
        <sz val="11"/>
        <color theme="1"/>
        <rFont val="Aptos Narrow"/>
        <family val="2"/>
      </rPr>
      <t>−</t>
    </r>
    <r>
      <rPr>
        <sz val="16.3"/>
        <color theme="1"/>
        <rFont val="Aptos Narrow"/>
        <family val="2"/>
      </rPr>
      <t xml:space="preserve"> </t>
    </r>
    <r>
      <rPr>
        <sz val="11"/>
        <color theme="1"/>
        <rFont val="Aptos Narrow"/>
        <family val="2"/>
        <scheme val="minor"/>
      </rPr>
      <t xml:space="preserve">Islington-Pearson-Erindale GO Miss'ga </t>
    </r>
  </si>
  <si>
    <t>This includes the off-401 catchment area of the Islington-to-Erindale GO segment of the 401RT Express, which includes significant/critical destinations in the region.</t>
  </si>
  <si>
    <t>Estimated trip totals for 2024</t>
  </si>
  <si>
    <t>Toronto Population (3.1m in 2024)</t>
  </si>
  <si>
    <t>million</t>
  </si>
  <si>
    <t>Pre-AI trip volume increases - 2024 to 2055.</t>
  </si>
  <si>
    <t>Assuming net % AI job losses of</t>
  </si>
  <si>
    <t>Job loss percentages are highly variable and conceptual only, and assume that  job losses will be partially offset by new employment (unresearched).  New employment is likely to be technology industry work, or personal, health, recreational, environmental, public security and other non-AI related jobs.</t>
  </si>
  <si>
    <t>Job losses, based on the job loss %s above</t>
  </si>
  <si>
    <t>Remaing trips by persons unaffected by AI</t>
  </si>
  <si>
    <t>401RTX trips by persons having lost jobs  @</t>
  </si>
  <si>
    <t>Assumes that there will be trips related to educational, medical, social, job search and other needs.  Exclude non-401RTX trips on municipal transit.</t>
  </si>
  <si>
    <t>Remaining daily trips in 401RTX area</t>
  </si>
  <si>
    <t>Spatial adjustment - trucks @</t>
  </si>
  <si>
    <t xml:space="preserve">The average truck takes up approx. 1.5 times the space of autmobiles.  This affects efforts to contain overall traffic congestion. </t>
  </si>
  <si>
    <t>GO Enhancement Effect @</t>
  </si>
  <si>
    <t>GO Transit takes a minor share of all trips in the Toronto area, but has a disproportionately positive effect on road congestion because most of its users are longer distance travelers.</t>
  </si>
  <si>
    <t>Total 2055 Spatial Volumes (Daily)</t>
  </si>
  <si>
    <t>Incr/(Decr) in automobile volumes over 2024</t>
  </si>
  <si>
    <t>Add'l shifts to 401RTX re high costs of driving @</t>
  </si>
  <si>
    <t>Add'l shifts to 401RTX re frustrations of congestion</t>
  </si>
  <si>
    <t>Others, who do not wish to drive, or prefer transit</t>
  </si>
  <si>
    <t>Trip diversions to 401RTX caused by increasses in trucking</t>
  </si>
  <si>
    <t>Increases in space taken up by trucks will add to congestion and to diversions from driving by automobile to using the 401RT Express.</t>
  </si>
  <si>
    <t xml:space="preserve">The Total                                        represents the potential modal shift to transit that needs to be made in the 401RT Express  to keep </t>
  </si>
  <si>
    <t>represents the degree to which average daily congestion increases, and the potential modal shift to transit per day that needs to be made to keep traffic to 2024 levels by 2055.</t>
  </si>
  <si>
    <t>Annual 2055</t>
  </si>
  <si>
    <t>Other Factors that increase 401RT Express ridership:</t>
  </si>
  <si>
    <t>• Urban development at/near potential 401RT Express stations (higher transit modal share due to close proximity to Highway 401)</t>
  </si>
  <si>
    <t>Original</t>
  </si>
  <si>
    <t>• Potential 401RT Express ridership increase from new GO Transit intersects</t>
  </si>
  <si>
    <t>• Higher transit share of trips to Pearson (air travelers only)</t>
  </si>
  <si>
    <t>• Shifts to transit − Worker commutes to Pearson and adjacent employent areas</t>
  </si>
  <si>
    <t>• Trip transfers from Eglinton E LRT &amp; extended Sheppard Subway to a 401RT Express</t>
  </si>
  <si>
    <t>Estimated 401RT Express ridership in 2055</t>
  </si>
  <si>
    <t>Additional ridership effects of a 401RT Express:</t>
  </si>
  <si>
    <r>
      <t>•</t>
    </r>
    <r>
      <rPr>
        <sz val="13.65"/>
        <rFont val="Aptos Narrow"/>
        <family val="2"/>
      </rPr>
      <t xml:space="preserve"> </t>
    </r>
    <r>
      <rPr>
        <sz val="11"/>
        <rFont val="Aptos Narrow"/>
        <family val="2"/>
      </rPr>
      <t>Increase in GO Transit ridership resulting from intersects with 401RT Express</t>
    </r>
  </si>
  <si>
    <t>• Non-401RT Express trips generated by additional buses on intersecting routes</t>
  </si>
  <si>
    <t>Estimated transit ridership effect of the 401RT Express</t>
  </si>
  <si>
    <t>INSERT CHANGES IN RED-HIGHLIGHTED CELLS.</t>
  </si>
  <si>
    <t>(CHECK)</t>
  </si>
  <si>
    <t xml:space="preserve">Close to 20% of adults do not drive.  It is assumed that the 401RT Express's improvements to  transit systemsencourages and increases their opportunities for travel. </t>
  </si>
  <si>
    <t>This file enable a user to identify outcomes of various secenarios, as may be selected.  Care should be taken not to delete formulas in cells, and to minimize inputs to the red-coloured numbers.</t>
  </si>
  <si>
    <t>Potential 401RT Express - Subtotals</t>
  </si>
  <si>
    <t>TOTALS (DAILY TRIPS)</t>
  </si>
  <si>
    <t>AADT for Highway 401 adjusted to 2024</t>
  </si>
  <si>
    <t>Pre-AI increase 2055 volumes</t>
  </si>
  <si>
    <t>Remaining travelers</t>
  </si>
  <si>
    <t>Highway 401 trips by persons having lost jobs  @</t>
  </si>
  <si>
    <t>Incr/(Decr) in Spatial Volumes Over 2024</t>
  </si>
  <si>
    <t>This is the increase (decrease) in Highway 401 traffic to be managed, based on the inputs entered.</t>
  </si>
  <si>
    <t>Total Volumes on Highway 401 in 2055</t>
  </si>
  <si>
    <t>Assumes that these will be non-work Highway 401 trips, such as for educational, medical, social, job search, or for other reasons.  More trips are off-peak.</t>
  </si>
  <si>
    <t>Other factor(s)</t>
  </si>
  <si>
    <t>Percent of daily volumes (per MTO AADT)</t>
  </si>
  <si>
    <t xml:space="preserve">Increase Toronto popularion to   </t>
  </si>
  <si>
    <t>Insert</t>
  </si>
  <si>
    <r>
      <rPr>
        <b/>
        <u/>
        <sz val="16"/>
        <color rgb="FF0070C0"/>
        <rFont val="Aptos Narrow"/>
        <family val="2"/>
        <scheme val="minor"/>
      </rPr>
      <t>Hwy. 401:</t>
    </r>
    <r>
      <rPr>
        <b/>
        <sz val="16"/>
        <rFont val="Aptos Narrow"/>
        <family val="2"/>
        <scheme val="minor"/>
      </rPr>
      <t xml:space="preserve">  Effect of A.I. Job Losses on  Traffic Volumes: A Scenario</t>
    </r>
  </si>
  <si>
    <r>
      <rPr>
        <b/>
        <u/>
        <sz val="16"/>
        <color rgb="FF0070C0"/>
        <rFont val="Aptos Narrow"/>
        <family val="2"/>
        <scheme val="minor"/>
      </rPr>
      <t>401RT Express</t>
    </r>
    <r>
      <rPr>
        <b/>
        <sz val="14"/>
        <rFont val="Aptos Narrow"/>
        <family val="2"/>
        <scheme val="minor"/>
      </rPr>
      <t>:  Estimated Potential Demand  (Including AI Job Loss Effects)</t>
    </r>
  </si>
  <si>
    <r>
      <t xml:space="preserve">Potential 401RT Express ridership in 2055 </t>
    </r>
    <r>
      <rPr>
        <sz val="12"/>
        <color theme="1"/>
        <rFont val="Aptos Narrow"/>
        <family val="2"/>
      </rPr>
      <t>−</t>
    </r>
    <r>
      <rPr>
        <sz val="12"/>
        <color theme="1"/>
        <rFont val="Aptos Narrow"/>
        <family val="2"/>
        <scheme val="minor"/>
      </rPr>
      <t xml:space="preserve"> Subtotal</t>
    </r>
  </si>
  <si>
    <t>Other factor as may be desired, + description.</t>
  </si>
  <si>
    <t>Shifts of automobile passengers to transit</t>
  </si>
  <si>
    <t>Total</t>
  </si>
  <si>
    <t>Non-Commercial Vehicles</t>
  </si>
  <si>
    <t>Subtotal - Highway 401 trips</t>
  </si>
  <si>
    <t>For travelers who no longer have acess to a driver and switch to transit; Set to 10% for Peak periods, 30% for Off-Peak periods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</si>
</sst>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_-;\-* #,##0.0_-;_-* &quot;-&quot;??_-;_-@_-"/>
    <numFmt numFmtId="166" formatCode="_(* #,##0_);_(* \(#,##0\);_(* &quot;-&quot;??_);_(@_)"/>
    <numFmt numFmtId="167" formatCode="0.0%"/>
  </numFmts>
  <fonts count="25"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Aptos Narrow"/>
      <family val="2"/>
      <scheme val="minor"/>
    </font>
    <font>
      <sz val="11"/>
      <color theme="1"/>
      <name val="Aptos Narrow"/>
      <family val="2"/>
    </font>
    <font>
      <sz val="16.3"/>
      <color theme="1"/>
      <name val="Aptos Narrow"/>
      <family val="2"/>
    </font>
    <font>
      <b/>
      <sz val="11"/>
      <color rgb="FFFF0000"/>
      <name val="Aptos Narrow"/>
      <family val="2"/>
      <scheme val="minor"/>
    </font>
    <font>
      <sz val="11"/>
      <color rgb="FF0070C0"/>
      <name val="Aptos Narrow"/>
      <family val="2"/>
      <scheme val="minor"/>
    </font>
    <font>
      <sz val="12"/>
      <color theme="1"/>
      <name val="Aptos Narrow"/>
      <family val="2"/>
      <scheme val="minor"/>
    </font>
    <font>
      <b/>
      <sz val="12"/>
      <color theme="1"/>
      <name val="Aptos Narrow"/>
      <family val="2"/>
      <scheme val="minor"/>
    </font>
    <font>
      <b/>
      <u/>
      <sz val="11"/>
      <color theme="1"/>
      <name val="Aptos Narrow"/>
      <family val="2"/>
      <scheme val="minor"/>
    </font>
    <font>
      <u/>
      <sz val="11"/>
      <color theme="1"/>
      <name val="Aptos Narrow"/>
      <family val="2"/>
      <scheme val="minor"/>
    </font>
    <font>
      <sz val="8"/>
      <color theme="1"/>
      <name val="Aptos Narrow"/>
      <family val="2"/>
      <scheme val="minor"/>
    </font>
    <font>
      <sz val="11"/>
      <name val="Aptos Narrow"/>
      <family val="2"/>
    </font>
    <font>
      <b/>
      <sz val="11"/>
      <color theme="1"/>
      <name val="Aptos Narrow"/>
      <family val="2"/>
    </font>
    <font>
      <sz val="13.65"/>
      <name val="Aptos Narrow"/>
      <family val="2"/>
    </font>
    <font>
      <sz val="11"/>
      <name val="Aptos Narrow"/>
      <family val="2"/>
      <scheme val="minor"/>
    </font>
    <font>
      <sz val="9"/>
      <color indexed="81"/>
      <name val="Tahoma"/>
      <family val="2"/>
    </font>
    <font>
      <b/>
      <sz val="14"/>
      <name val="Aptos Narrow"/>
      <family val="2"/>
      <scheme val="minor"/>
    </font>
    <font>
      <sz val="14"/>
      <color theme="1"/>
      <name val="Aptos Narrow"/>
      <family val="2"/>
      <scheme val="minor"/>
    </font>
    <font>
      <b/>
      <sz val="14"/>
      <color rgb="FFFF0000"/>
      <name val="Aptos Narrow"/>
      <family val="2"/>
      <scheme val="minor"/>
    </font>
    <font>
      <b/>
      <sz val="16"/>
      <name val="Aptos Narrow"/>
      <family val="2"/>
      <scheme val="minor"/>
    </font>
    <font>
      <sz val="16"/>
      <name val="Aptos Narrow"/>
      <family val="2"/>
      <scheme val="minor"/>
    </font>
    <font>
      <b/>
      <u/>
      <sz val="16"/>
      <color rgb="FF0070C0"/>
      <name val="Aptos Narrow"/>
      <family val="2"/>
      <scheme val="minor"/>
    </font>
    <font>
      <sz val="12"/>
      <color theme="1"/>
      <name val="Aptos Narrow"/>
      <family val="2"/>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15">
    <xf numFmtId="0" fontId="0" fillId="0" borderId="0" xfId="0"/>
    <xf numFmtId="0" fontId="0" fillId="0" borderId="8" xfId="0" applyBorder="1" applyAlignment="1">
      <alignment horizontal="center" vertical="center"/>
    </xf>
    <xf numFmtId="0" fontId="0" fillId="0" borderId="8" xfId="0" applyBorder="1" applyAlignment="1">
      <alignment horizontal="center"/>
    </xf>
    <xf numFmtId="0" fontId="0" fillId="0" borderId="6" xfId="0" applyBorder="1" applyAlignment="1">
      <alignment horizontal="left" indent="1"/>
    </xf>
    <xf numFmtId="0" fontId="0" fillId="0" borderId="0" xfId="0" applyAlignment="1">
      <alignment horizontal="left" indent="1"/>
    </xf>
    <xf numFmtId="9" fontId="0" fillId="0" borderId="14" xfId="2" applyFont="1" applyFill="1" applyBorder="1"/>
    <xf numFmtId="9" fontId="0" fillId="0" borderId="0" xfId="0" applyNumberFormat="1"/>
    <xf numFmtId="164" fontId="0" fillId="0" borderId="14" xfId="1" applyNumberFormat="1" applyFont="1" applyFill="1" applyBorder="1"/>
    <xf numFmtId="164" fontId="0" fillId="0" borderId="0" xfId="1" applyNumberFormat="1" applyFont="1" applyFill="1" applyBorder="1"/>
    <xf numFmtId="164" fontId="0" fillId="0" borderId="0" xfId="0" applyNumberFormat="1"/>
    <xf numFmtId="0" fontId="0" fillId="2" borderId="6" xfId="0" applyFill="1" applyBorder="1" applyAlignment="1">
      <alignment horizontal="left" indent="1"/>
    </xf>
    <xf numFmtId="0" fontId="0" fillId="2" borderId="0" xfId="0" applyFill="1" applyAlignment="1">
      <alignment horizontal="left" indent="1"/>
    </xf>
    <xf numFmtId="0" fontId="0" fillId="2" borderId="17" xfId="0" applyFill="1" applyBorder="1" applyAlignment="1">
      <alignment horizontal="left" indent="1"/>
    </xf>
    <xf numFmtId="164" fontId="0" fillId="0" borderId="18" xfId="0" applyNumberFormat="1" applyBorder="1"/>
    <xf numFmtId="164" fontId="0" fillId="0" borderId="19" xfId="0" applyNumberFormat="1" applyBorder="1"/>
    <xf numFmtId="165" fontId="6" fillId="0" borderId="0" xfId="1" applyNumberFormat="1" applyFont="1" applyFill="1" applyBorder="1" applyAlignment="1">
      <alignment horizontal="left" indent="1"/>
    </xf>
    <xf numFmtId="0" fontId="0" fillId="0" borderId="0" xfId="0" applyAlignment="1">
      <alignment horizontal="left"/>
    </xf>
    <xf numFmtId="43" fontId="0" fillId="0" borderId="14" xfId="1" applyFont="1" applyFill="1" applyBorder="1"/>
    <xf numFmtId="43" fontId="0" fillId="0" borderId="0" xfId="1" applyFont="1" applyFill="1" applyBorder="1"/>
    <xf numFmtId="164" fontId="0" fillId="0" borderId="18" xfId="1" applyNumberFormat="1" applyFont="1" applyFill="1" applyBorder="1"/>
    <xf numFmtId="164" fontId="0" fillId="0" borderId="19" xfId="1" applyNumberFormat="1" applyFont="1" applyFill="1" applyBorder="1"/>
    <xf numFmtId="0" fontId="7" fillId="0" borderId="0" xfId="0" applyFont="1" applyAlignment="1">
      <alignment horizontal="left"/>
    </xf>
    <xf numFmtId="9" fontId="6" fillId="0" borderId="14" xfId="0" applyNumberFormat="1" applyFont="1" applyBorder="1"/>
    <xf numFmtId="9" fontId="2" fillId="0" borderId="0" xfId="0" applyNumberFormat="1" applyFont="1"/>
    <xf numFmtId="9" fontId="6" fillId="0" borderId="14" xfId="2" applyFont="1" applyFill="1" applyBorder="1"/>
    <xf numFmtId="9" fontId="2" fillId="0" borderId="0" xfId="2" applyFont="1" applyFill="1" applyBorder="1"/>
    <xf numFmtId="0" fontId="0" fillId="0" borderId="6" xfId="0" applyBorder="1" applyAlignment="1">
      <alignment horizontal="left" vertical="center" indent="1"/>
    </xf>
    <xf numFmtId="0" fontId="0" fillId="0" borderId="0" xfId="0" applyAlignment="1">
      <alignment horizontal="left" vertical="center" indent="1"/>
    </xf>
    <xf numFmtId="166" fontId="0" fillId="0" borderId="14" xfId="0" applyNumberFormat="1" applyBorder="1" applyAlignment="1">
      <alignment horizontal="left" vertical="center" wrapText="1" indent="1"/>
    </xf>
    <xf numFmtId="166" fontId="0" fillId="0" borderId="0" xfId="0" applyNumberFormat="1" applyAlignment="1">
      <alignment horizontal="left" vertical="center" wrapText="1" indent="1"/>
    </xf>
    <xf numFmtId="9" fontId="6" fillId="0" borderId="0" xfId="0" applyNumberFormat="1" applyFont="1" applyAlignment="1">
      <alignment horizontal="left" indent="1"/>
    </xf>
    <xf numFmtId="0" fontId="6" fillId="0" borderId="0" xfId="0" applyFont="1" applyAlignment="1">
      <alignment horizontal="left" indent="1"/>
    </xf>
    <xf numFmtId="0" fontId="0" fillId="0" borderId="14" xfId="0" applyBorder="1"/>
    <xf numFmtId="166" fontId="0" fillId="0" borderId="14" xfId="1" applyNumberFormat="1" applyFont="1" applyFill="1" applyBorder="1"/>
    <xf numFmtId="166" fontId="0" fillId="0" borderId="0" xfId="1" applyNumberFormat="1" applyFont="1" applyFill="1" applyBorder="1"/>
    <xf numFmtId="0" fontId="2" fillId="0" borderId="6" xfId="0" applyFont="1" applyBorder="1" applyAlignment="1">
      <alignment horizontal="left" indent="1"/>
    </xf>
    <xf numFmtId="0" fontId="2" fillId="0" borderId="0" xfId="0" applyFont="1" applyAlignment="1">
      <alignment horizontal="left" indent="1"/>
    </xf>
    <xf numFmtId="166" fontId="0" fillId="0" borderId="18" xfId="0" applyNumberFormat="1" applyBorder="1"/>
    <xf numFmtId="166" fontId="0" fillId="0" borderId="19" xfId="0" applyNumberFormat="1" applyBorder="1"/>
    <xf numFmtId="166" fontId="0" fillId="0" borderId="24" xfId="0" applyNumberFormat="1" applyBorder="1"/>
    <xf numFmtId="166" fontId="0" fillId="0" borderId="25" xfId="0" applyNumberFormat="1" applyBorder="1"/>
    <xf numFmtId="164" fontId="0" fillId="0" borderId="14" xfId="0" applyNumberFormat="1" applyBorder="1"/>
    <xf numFmtId="164" fontId="0" fillId="0" borderId="0" xfId="1" applyNumberFormat="1" applyFont="1" applyBorder="1"/>
    <xf numFmtId="164" fontId="0" fillId="0" borderId="14" xfId="1" applyNumberFormat="1" applyFont="1" applyBorder="1"/>
    <xf numFmtId="0" fontId="8" fillId="0" borderId="27" xfId="0" applyFont="1" applyBorder="1" applyAlignment="1">
      <alignment horizontal="left" indent="1"/>
    </xf>
    <xf numFmtId="0" fontId="8" fillId="0" borderId="25" xfId="0" applyFont="1" applyBorder="1" applyAlignment="1">
      <alignment horizontal="left" indent="1"/>
    </xf>
    <xf numFmtId="0" fontId="8" fillId="0" borderId="25" xfId="0" applyFont="1" applyBorder="1"/>
    <xf numFmtId="9" fontId="8" fillId="0" borderId="25" xfId="0" applyNumberFormat="1" applyFont="1" applyBorder="1"/>
    <xf numFmtId="166" fontId="8" fillId="0" borderId="24" xfId="0" applyNumberFormat="1" applyFont="1" applyBorder="1"/>
    <xf numFmtId="166" fontId="8" fillId="0" borderId="25" xfId="0" applyNumberFormat="1" applyFont="1" applyBorder="1"/>
    <xf numFmtId="0" fontId="9" fillId="0" borderId="6" xfId="0" applyFont="1" applyBorder="1" applyAlignment="1">
      <alignment horizontal="left" indent="1"/>
    </xf>
    <xf numFmtId="0" fontId="0" fillId="0" borderId="0" xfId="0" applyAlignment="1">
      <alignment wrapText="1"/>
    </xf>
    <xf numFmtId="0" fontId="0" fillId="0" borderId="17" xfId="0" applyBorder="1"/>
    <xf numFmtId="0" fontId="8" fillId="0" borderId="6" xfId="0" applyFont="1" applyBorder="1" applyAlignment="1">
      <alignment horizontal="left" indent="1"/>
    </xf>
    <xf numFmtId="0" fontId="11" fillId="0" borderId="17" xfId="0" applyFont="1" applyBorder="1" applyAlignment="1">
      <alignment horizontal="center"/>
    </xf>
    <xf numFmtId="0" fontId="8" fillId="0" borderId="0" xfId="0" applyFont="1" applyAlignment="1">
      <alignment horizontal="left" indent="1"/>
    </xf>
    <xf numFmtId="0" fontId="8" fillId="0" borderId="0" xfId="0" applyFont="1" applyAlignment="1">
      <alignment horizontal="left" indent="4"/>
    </xf>
    <xf numFmtId="166" fontId="9" fillId="0" borderId="0" xfId="0" applyNumberFormat="1" applyFont="1"/>
    <xf numFmtId="3" fontId="0" fillId="0" borderId="17" xfId="0" applyNumberFormat="1" applyBorder="1" applyAlignment="1">
      <alignment horizontal="right" vertical="top" indent="1"/>
    </xf>
    <xf numFmtId="164" fontId="12" fillId="0" borderId="0" xfId="1" applyNumberFormat="1" applyFont="1" applyFill="1" applyBorder="1" applyAlignment="1">
      <alignment horizontal="left" indent="1"/>
    </xf>
    <xf numFmtId="0" fontId="9" fillId="0" borderId="0" xfId="0" applyFont="1" applyAlignment="1">
      <alignment horizontal="left" indent="4"/>
    </xf>
    <xf numFmtId="0" fontId="0" fillId="0" borderId="6" xfId="0" applyBorder="1"/>
    <xf numFmtId="0" fontId="11" fillId="0" borderId="0" xfId="0" applyFont="1" applyAlignment="1">
      <alignment horizontal="center"/>
    </xf>
    <xf numFmtId="3" fontId="0" fillId="0" borderId="17" xfId="1" applyNumberFormat="1" applyFont="1" applyFill="1" applyBorder="1" applyAlignment="1">
      <alignment horizontal="right" vertical="top" indent="1"/>
    </xf>
    <xf numFmtId="164" fontId="0" fillId="0" borderId="0" xfId="1" applyNumberFormat="1" applyFont="1"/>
    <xf numFmtId="0" fontId="13" fillId="0" borderId="0" xfId="0" applyFont="1" applyAlignment="1">
      <alignment horizontal="left" indent="2"/>
    </xf>
    <xf numFmtId="0" fontId="4" fillId="0" borderId="0" xfId="0" applyFont="1"/>
    <xf numFmtId="0" fontId="13" fillId="0" borderId="0" xfId="0" applyFont="1" applyAlignment="1">
      <alignment horizontal="left" vertical="center" indent="2"/>
    </xf>
    <xf numFmtId="0" fontId="4" fillId="0" borderId="0" xfId="0" applyFont="1" applyAlignment="1">
      <alignment vertical="center"/>
    </xf>
    <xf numFmtId="0" fontId="13" fillId="0" borderId="0" xfId="0" applyFont="1" applyAlignment="1">
      <alignment horizontal="left" vertical="center"/>
    </xf>
    <xf numFmtId="0" fontId="14" fillId="0" borderId="0" xfId="0" applyFont="1"/>
    <xf numFmtId="166" fontId="9" fillId="0" borderId="19" xfId="0" applyNumberFormat="1" applyFont="1" applyBorder="1"/>
    <xf numFmtId="3" fontId="0" fillId="0" borderId="23" xfId="1" applyNumberFormat="1" applyFont="1" applyFill="1" applyBorder="1" applyAlignment="1">
      <alignment horizontal="right" vertical="top" indent="1"/>
    </xf>
    <xf numFmtId="0" fontId="13" fillId="0" borderId="0" xfId="0" applyFont="1" applyAlignment="1">
      <alignment horizontal="left" vertical="center" wrapText="1"/>
    </xf>
    <xf numFmtId="0" fontId="9" fillId="0" borderId="0" xfId="0" applyFont="1" applyAlignment="1">
      <alignment horizontal="left"/>
    </xf>
    <xf numFmtId="166" fontId="9" fillId="0" borderId="25" xfId="0" applyNumberFormat="1" applyFont="1" applyBorder="1"/>
    <xf numFmtId="164" fontId="0" fillId="0" borderId="0" xfId="0" applyNumberFormat="1" applyAlignment="1">
      <alignment horizontal="left" indent="1"/>
    </xf>
    <xf numFmtId="0" fontId="0" fillId="0" borderId="28" xfId="0" applyBorder="1"/>
    <xf numFmtId="0" fontId="0" fillId="0" borderId="29" xfId="0" applyBorder="1"/>
    <xf numFmtId="0" fontId="13" fillId="0" borderId="29" xfId="0" applyFont="1" applyBorder="1" applyAlignment="1">
      <alignment horizontal="left" vertical="center" wrapText="1"/>
    </xf>
    <xf numFmtId="0" fontId="0" fillId="0" borderId="29" xfId="0" applyBorder="1" applyAlignment="1">
      <alignment wrapText="1"/>
    </xf>
    <xf numFmtId="0" fontId="9" fillId="0" borderId="29" xfId="0" applyFont="1" applyBorder="1" applyAlignment="1">
      <alignment horizontal="right"/>
    </xf>
    <xf numFmtId="3" fontId="0" fillId="0" borderId="29" xfId="1" applyNumberFormat="1" applyFont="1" applyFill="1" applyBorder="1" applyAlignment="1">
      <alignment horizontal="right" vertical="top" indent="1"/>
    </xf>
    <xf numFmtId="166" fontId="9" fillId="0" borderId="30" xfId="0" applyNumberFormat="1" applyFont="1" applyBorder="1"/>
    <xf numFmtId="164" fontId="0" fillId="0" borderId="0" xfId="0" applyNumberFormat="1" applyAlignment="1">
      <alignment horizontal="left"/>
    </xf>
    <xf numFmtId="9" fontId="1" fillId="0" borderId="0" xfId="2" applyFont="1" applyFill="1" applyBorder="1"/>
    <xf numFmtId="166" fontId="9" fillId="0" borderId="0" xfId="0" applyNumberFormat="1" applyFont="1" applyAlignment="1">
      <alignment horizontal="right"/>
    </xf>
    <xf numFmtId="0" fontId="10" fillId="0" borderId="0" xfId="0" applyFont="1" applyAlignment="1">
      <alignment horizontal="center"/>
    </xf>
    <xf numFmtId="43" fontId="0" fillId="0" borderId="32" xfId="1" applyFont="1" applyFill="1" applyBorder="1"/>
    <xf numFmtId="43" fontId="0" fillId="0" borderId="12" xfId="1" applyFont="1" applyFill="1" applyBorder="1"/>
    <xf numFmtId="0" fontId="0" fillId="0" borderId="0" xfId="0" applyAlignment="1">
      <alignment horizontal="right"/>
    </xf>
    <xf numFmtId="164" fontId="0" fillId="0" borderId="24" xfId="0" applyNumberFormat="1" applyBorder="1"/>
    <xf numFmtId="164" fontId="0" fillId="0" borderId="25" xfId="0" applyNumberFormat="1" applyBorder="1"/>
    <xf numFmtId="166" fontId="0" fillId="0" borderId="32" xfId="0" applyNumberFormat="1" applyBorder="1"/>
    <xf numFmtId="166" fontId="0" fillId="0" borderId="12" xfId="0" applyNumberFormat="1" applyBorder="1"/>
    <xf numFmtId="0" fontId="19" fillId="0" borderId="0" xfId="0" applyFont="1"/>
    <xf numFmtId="0" fontId="9" fillId="0" borderId="29" xfId="0" applyFont="1" applyBorder="1" applyAlignment="1">
      <alignment horizontal="right" vertical="center"/>
    </xf>
    <xf numFmtId="167" fontId="9" fillId="0" borderId="30" xfId="0" applyNumberFormat="1" applyFont="1" applyBorder="1" applyAlignment="1">
      <alignment horizontal="right" vertical="center" indent="1"/>
    </xf>
    <xf numFmtId="0" fontId="20" fillId="0" borderId="0" xfId="0" applyFont="1"/>
    <xf numFmtId="0" fontId="0" fillId="2" borderId="11" xfId="0" applyFill="1" applyBorder="1" applyAlignment="1">
      <alignment horizontal="left" indent="1"/>
    </xf>
    <xf numFmtId="0" fontId="0" fillId="2" borderId="12" xfId="0" applyFill="1" applyBorder="1" applyAlignment="1">
      <alignment horizontal="left" indent="1"/>
    </xf>
    <xf numFmtId="0" fontId="0" fillId="2" borderId="6" xfId="0" applyFill="1" applyBorder="1" applyAlignment="1">
      <alignment horizontal="left" vertical="center" indent="1"/>
    </xf>
    <xf numFmtId="0" fontId="0" fillId="0" borderId="0" xfId="0" applyAlignment="1">
      <alignment wrapText="1"/>
    </xf>
    <xf numFmtId="0" fontId="0" fillId="0" borderId="17" xfId="0" applyBorder="1" applyAlignment="1">
      <alignment wrapText="1"/>
    </xf>
    <xf numFmtId="0" fontId="18" fillId="0" borderId="1" xfId="0" applyFont="1" applyBorder="1" applyAlignment="1">
      <alignment horizontal="left" vertical="center" wrapText="1" indent="1"/>
    </xf>
    <xf numFmtId="0" fontId="18" fillId="0" borderId="2" xfId="0" applyFont="1" applyBorder="1" applyAlignment="1">
      <alignment horizontal="left" vertical="center" wrapText="1" indent="1"/>
    </xf>
    <xf numFmtId="0" fontId="16" fillId="0" borderId="2" xfId="0" applyFont="1" applyBorder="1" applyAlignment="1">
      <alignment horizontal="left" vertical="center" wrapText="1" indent="1"/>
    </xf>
    <xf numFmtId="0" fontId="16" fillId="0" borderId="3" xfId="0" applyFont="1" applyBorder="1" applyAlignment="1">
      <alignment horizontal="left" vertical="center" wrapText="1" indent="1"/>
    </xf>
    <xf numFmtId="0" fontId="16" fillId="0" borderId="6" xfId="0" applyFont="1" applyBorder="1" applyAlignment="1">
      <alignment horizontal="left" vertical="center" wrapText="1" indent="1"/>
    </xf>
    <xf numFmtId="0" fontId="16" fillId="0" borderId="0" xfId="0" applyFont="1" applyAlignment="1">
      <alignment horizontal="left" vertical="center" wrapText="1" indent="1"/>
    </xf>
    <xf numFmtId="0" fontId="16" fillId="0" borderId="7" xfId="0" applyFont="1" applyBorder="1" applyAlignment="1">
      <alignment horizontal="left" vertical="center" wrapText="1" indent="1"/>
    </xf>
    <xf numFmtId="0" fontId="16" fillId="0" borderId="11" xfId="0" applyFont="1" applyBorder="1" applyAlignment="1">
      <alignment horizontal="left" vertical="center" wrapText="1" indent="1"/>
    </xf>
    <xf numFmtId="0" fontId="16" fillId="0" borderId="12" xfId="0" applyFont="1" applyBorder="1" applyAlignment="1">
      <alignment horizontal="left" vertical="center" wrapText="1" indent="1"/>
    </xf>
    <xf numFmtId="0" fontId="16" fillId="0" borderId="13" xfId="0" applyFont="1" applyBorder="1" applyAlignment="1">
      <alignment horizontal="left" vertical="center" wrapText="1" indent="1"/>
    </xf>
    <xf numFmtId="0" fontId="0" fillId="0" borderId="4" xfId="0" applyBorder="1" applyAlignment="1">
      <alignment horizontal="center" vertical="center"/>
    </xf>
    <xf numFmtId="0" fontId="0" fillId="0" borderId="4" xfId="0" applyBorder="1"/>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xf>
    <xf numFmtId="0" fontId="0" fillId="0" borderId="8" xfId="0" applyBorder="1"/>
    <xf numFmtId="0" fontId="0" fillId="0" borderId="9" xfId="0" applyBorder="1" applyAlignment="1">
      <alignment horizontal="center" vertical="center"/>
    </xf>
    <xf numFmtId="0" fontId="13" fillId="0" borderId="0" xfId="0" applyFont="1" applyAlignment="1">
      <alignment horizontal="left" wrapText="1" indent="2"/>
    </xf>
    <xf numFmtId="0" fontId="4" fillId="0" borderId="0" xfId="0" applyFont="1" applyAlignment="1">
      <alignment horizontal="left" wrapText="1" indent="2"/>
    </xf>
    <xf numFmtId="0" fontId="0" fillId="2" borderId="6" xfId="0" applyFill="1" applyBorder="1" applyAlignment="1">
      <alignment horizontal="left" indent="1"/>
    </xf>
    <xf numFmtId="0" fontId="0" fillId="0" borderId="0" xfId="0" applyAlignment="1">
      <alignment horizontal="left" indent="1"/>
    </xf>
    <xf numFmtId="0" fontId="0" fillId="0" borderId="17" xfId="0" applyBorder="1" applyAlignment="1">
      <alignment horizontal="left" indent="1"/>
    </xf>
    <xf numFmtId="0" fontId="0" fillId="2" borderId="0" xfId="0" applyFill="1" applyAlignment="1">
      <alignment horizontal="left" indent="1"/>
    </xf>
    <xf numFmtId="0" fontId="0" fillId="2" borderId="17" xfId="0" applyFill="1" applyBorder="1" applyAlignment="1">
      <alignment horizontal="left" indent="1"/>
    </xf>
    <xf numFmtId="0" fontId="0" fillId="2" borderId="6" xfId="0" applyFill="1" applyBorder="1" applyAlignment="1">
      <alignment horizontal="left" vertical="center" wrapText="1" indent="1"/>
    </xf>
    <xf numFmtId="0" fontId="0" fillId="2" borderId="0" xfId="0" applyFill="1" applyAlignment="1">
      <alignment horizontal="left" vertical="center" wrapText="1" indent="1"/>
    </xf>
    <xf numFmtId="0" fontId="0" fillId="0" borderId="0" xfId="0" applyAlignment="1">
      <alignment horizontal="left" vertical="center" wrapText="1" indent="1"/>
    </xf>
    <xf numFmtId="0" fontId="0" fillId="0" borderId="17" xfId="0" applyBorder="1" applyAlignment="1">
      <alignment horizontal="left" vertical="center" wrapText="1" indent="1"/>
    </xf>
    <xf numFmtId="0" fontId="0" fillId="0" borderId="6" xfId="0" applyBorder="1" applyAlignment="1">
      <alignment horizontal="left" vertical="center" wrapText="1" indent="1"/>
    </xf>
    <xf numFmtId="0" fontId="0" fillId="2" borderId="6" xfId="0" applyFill="1" applyBorder="1" applyAlignment="1">
      <alignment horizontal="left" wrapText="1" indent="1"/>
    </xf>
    <xf numFmtId="0" fontId="0" fillId="2" borderId="0" xfId="0" applyFill="1" applyAlignment="1">
      <alignment horizontal="left" wrapText="1" indent="1"/>
    </xf>
    <xf numFmtId="0" fontId="0" fillId="0" borderId="0" xfId="0" applyAlignment="1">
      <alignment horizontal="left" wrapText="1" indent="1"/>
    </xf>
    <xf numFmtId="0" fontId="0" fillId="0" borderId="17" xfId="0" applyBorder="1" applyAlignment="1">
      <alignment horizontal="left" wrapText="1" indent="1"/>
    </xf>
    <xf numFmtId="0" fontId="9" fillId="0" borderId="0" xfId="0" applyFont="1" applyAlignment="1">
      <alignment wrapText="1"/>
    </xf>
    <xf numFmtId="0" fontId="19" fillId="0" borderId="0" xfId="0" applyFont="1" applyAlignment="1">
      <alignment wrapText="1"/>
    </xf>
    <xf numFmtId="0" fontId="21" fillId="0" borderId="1" xfId="0" applyFont="1" applyBorder="1" applyAlignment="1">
      <alignment vertical="center" wrapText="1"/>
    </xf>
    <xf numFmtId="0" fontId="21" fillId="0" borderId="2" xfId="0" applyFont="1" applyBorder="1" applyAlignment="1">
      <alignment vertical="center" wrapText="1"/>
    </xf>
    <xf numFmtId="0" fontId="22" fillId="0" borderId="2" xfId="0" applyFont="1" applyBorder="1" applyAlignment="1">
      <alignment vertical="center" wrapText="1"/>
    </xf>
    <xf numFmtId="0" fontId="22" fillId="0" borderId="3" xfId="0" applyFont="1" applyBorder="1" applyAlignment="1">
      <alignment vertical="center" wrapText="1"/>
    </xf>
    <xf numFmtId="0" fontId="22" fillId="0" borderId="6" xfId="0" applyFont="1" applyBorder="1" applyAlignment="1">
      <alignment vertical="center" wrapText="1"/>
    </xf>
    <xf numFmtId="0" fontId="22" fillId="0" borderId="0" xfId="0" applyFont="1" applyAlignment="1">
      <alignment vertical="center" wrapText="1"/>
    </xf>
    <xf numFmtId="0" fontId="22" fillId="0" borderId="7"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13" xfId="0" applyFont="1" applyBorder="1" applyAlignment="1">
      <alignment vertical="center" wrapText="1"/>
    </xf>
    <xf numFmtId="164" fontId="0" fillId="3" borderId="7" xfId="0" applyNumberFormat="1" applyFill="1" applyBorder="1"/>
    <xf numFmtId="0" fontId="0" fillId="3" borderId="15" xfId="0" applyFill="1" applyBorder="1"/>
    <xf numFmtId="164" fontId="0" fillId="3" borderId="16" xfId="0" applyNumberFormat="1" applyFill="1" applyBorder="1"/>
    <xf numFmtId="0" fontId="0" fillId="2" borderId="11" xfId="0" applyFill="1" applyBorder="1" applyAlignment="1">
      <alignment horizontal="left" vertical="center" indent="1"/>
    </xf>
    <xf numFmtId="0" fontId="0" fillId="2" borderId="33" xfId="0" applyFill="1" applyBorder="1" applyAlignment="1">
      <alignment horizontal="left" indent="1"/>
    </xf>
    <xf numFmtId="0" fontId="0" fillId="0" borderId="14" xfId="0" applyBorder="1" applyAlignment="1">
      <alignment horizontal="left" indent="1"/>
    </xf>
    <xf numFmtId="0" fontId="0" fillId="0" borderId="0" xfId="0" applyBorder="1" applyAlignment="1">
      <alignment horizontal="left" indent="1"/>
    </xf>
    <xf numFmtId="166" fontId="0" fillId="0" borderId="0" xfId="0" applyNumberFormat="1"/>
    <xf numFmtId="0" fontId="0" fillId="0" borderId="6" xfId="0" applyBorder="1" applyAlignment="1">
      <alignment horizontal="left" indent="5"/>
    </xf>
    <xf numFmtId="0" fontId="0" fillId="3" borderId="8" xfId="0" applyFill="1" applyBorder="1" applyAlignment="1">
      <alignment horizontal="center" vertical="center"/>
    </xf>
    <xf numFmtId="9" fontId="0" fillId="3" borderId="7" xfId="0" applyNumberFormat="1" applyFill="1" applyBorder="1"/>
    <xf numFmtId="164" fontId="0" fillId="3" borderId="7" xfId="1" applyNumberFormat="1" applyFont="1" applyFill="1" applyBorder="1"/>
    <xf numFmtId="43" fontId="0" fillId="3" borderId="7" xfId="1" applyFont="1" applyFill="1" applyBorder="1"/>
    <xf numFmtId="164" fontId="0" fillId="3" borderId="20" xfId="1" applyNumberFormat="1" applyFont="1" applyFill="1" applyBorder="1"/>
    <xf numFmtId="9" fontId="2" fillId="3" borderId="7" xfId="2" applyFont="1" applyFill="1" applyBorder="1"/>
    <xf numFmtId="9" fontId="0" fillId="3" borderId="15" xfId="2" applyFont="1" applyFill="1" applyBorder="1" applyAlignment="1">
      <alignment horizontal="right" indent="1"/>
    </xf>
    <xf numFmtId="0" fontId="0" fillId="3" borderId="16" xfId="0" applyFill="1" applyBorder="1"/>
    <xf numFmtId="164" fontId="0" fillId="3" borderId="15" xfId="1" applyNumberFormat="1" applyFont="1" applyFill="1" applyBorder="1"/>
    <xf numFmtId="164" fontId="0" fillId="3" borderId="16" xfId="1" applyNumberFormat="1" applyFont="1" applyFill="1" applyBorder="1"/>
    <xf numFmtId="43" fontId="0" fillId="3" borderId="14" xfId="1" applyFont="1" applyFill="1" applyBorder="1"/>
    <xf numFmtId="43" fontId="0" fillId="3" borderId="16" xfId="1" applyFont="1" applyFill="1" applyBorder="1"/>
    <xf numFmtId="164" fontId="0" fillId="3" borderId="18" xfId="1" applyNumberFormat="1" applyFont="1" applyFill="1" applyBorder="1"/>
    <xf numFmtId="164" fontId="0" fillId="3" borderId="22" xfId="1" applyNumberFormat="1" applyFont="1" applyFill="1" applyBorder="1"/>
    <xf numFmtId="9" fontId="6" fillId="3" borderId="15" xfId="2" applyFont="1" applyFill="1" applyBorder="1"/>
    <xf numFmtId="0" fontId="2" fillId="3" borderId="16" xfId="0" applyFont="1" applyFill="1" applyBorder="1"/>
    <xf numFmtId="164" fontId="0" fillId="3" borderId="21" xfId="1" applyNumberFormat="1" applyFont="1" applyFill="1" applyBorder="1"/>
    <xf numFmtId="164" fontId="0" fillId="3" borderId="14" xfId="1" applyNumberFormat="1" applyFont="1" applyFill="1" applyBorder="1"/>
    <xf numFmtId="0" fontId="0" fillId="3" borderId="7" xfId="0" applyFill="1" applyBorder="1"/>
    <xf numFmtId="164" fontId="0" fillId="3" borderId="15" xfId="0" applyNumberFormat="1" applyFill="1" applyBorder="1"/>
    <xf numFmtId="166" fontId="0" fillId="3" borderId="7" xfId="1" applyNumberFormat="1" applyFont="1" applyFill="1" applyBorder="1"/>
    <xf numFmtId="0" fontId="0" fillId="3" borderId="0" xfId="0" applyFill="1" applyAlignment="1">
      <alignment horizontal="left" indent="1"/>
    </xf>
    <xf numFmtId="166" fontId="0" fillId="3" borderId="15" xfId="0" applyNumberFormat="1" applyFill="1" applyBorder="1"/>
    <xf numFmtId="166" fontId="0" fillId="3" borderId="16" xfId="1" applyNumberFormat="1" applyFont="1" applyFill="1" applyBorder="1"/>
    <xf numFmtId="0" fontId="0" fillId="3" borderId="17" xfId="0" applyFill="1" applyBorder="1" applyAlignment="1">
      <alignment horizontal="left" indent="1"/>
    </xf>
    <xf numFmtId="164" fontId="0" fillId="3" borderId="9" xfId="0" applyNumberFormat="1" applyFill="1" applyBorder="1"/>
    <xf numFmtId="166" fontId="0" fillId="3" borderId="13" xfId="0" applyNumberFormat="1" applyFill="1" applyBorder="1"/>
    <xf numFmtId="164" fontId="0" fillId="3" borderId="8" xfId="0" applyNumberFormat="1" applyFill="1" applyBorder="1"/>
    <xf numFmtId="164" fontId="0" fillId="3" borderId="10" xfId="0" applyNumberFormat="1" applyFill="1" applyBorder="1"/>
    <xf numFmtId="166" fontId="0" fillId="3" borderId="31" xfId="0" applyNumberFormat="1" applyFill="1" applyBorder="1"/>
    <xf numFmtId="166" fontId="9" fillId="3" borderId="34" xfId="0" applyNumberFormat="1" applyFont="1" applyFill="1" applyBorder="1"/>
    <xf numFmtId="166" fontId="0" fillId="3" borderId="20" xfId="0" applyNumberFormat="1" applyFill="1" applyBorder="1"/>
    <xf numFmtId="166" fontId="0" fillId="3" borderId="9" xfId="0" applyNumberFormat="1" applyFill="1" applyBorder="1"/>
    <xf numFmtId="0" fontId="0" fillId="3" borderId="7" xfId="0" applyFill="1" applyBorder="1" applyAlignment="1">
      <alignment horizontal="left" indent="1"/>
    </xf>
    <xf numFmtId="166" fontId="8" fillId="3" borderId="9" xfId="0" applyNumberFormat="1" applyFont="1" applyFill="1" applyBorder="1"/>
    <xf numFmtId="164" fontId="0" fillId="3" borderId="20" xfId="0" applyNumberFormat="1" applyFill="1" applyBorder="1"/>
    <xf numFmtId="9" fontId="1" fillId="3" borderId="7" xfId="2" applyFont="1" applyFill="1" applyBorder="1"/>
    <xf numFmtId="164" fontId="0" fillId="3" borderId="21" xfId="0" applyNumberFormat="1" applyFill="1" applyBorder="1"/>
    <xf numFmtId="164" fontId="0" fillId="3" borderId="22" xfId="0" applyNumberFormat="1" applyFill="1" applyBorder="1"/>
    <xf numFmtId="43" fontId="0" fillId="3" borderId="13" xfId="1" applyFont="1" applyFill="1" applyBorder="1"/>
    <xf numFmtId="9" fontId="1" fillId="3" borderId="16" xfId="2" applyFont="1" applyFill="1" applyBorder="1"/>
    <xf numFmtId="166" fontId="0" fillId="3" borderId="7" xfId="0" applyNumberFormat="1" applyFill="1" applyBorder="1" applyAlignment="1">
      <alignment horizontal="left" vertical="center" wrapText="1" indent="1"/>
    </xf>
    <xf numFmtId="166" fontId="0" fillId="3" borderId="15" xfId="0" applyNumberFormat="1" applyFill="1" applyBorder="1" applyAlignment="1">
      <alignment horizontal="left" vertical="center" wrapText="1" indent="1"/>
    </xf>
    <xf numFmtId="166" fontId="0" fillId="3" borderId="17" xfId="0" applyNumberFormat="1" applyFill="1" applyBorder="1" applyAlignment="1">
      <alignment horizontal="left" vertical="center" wrapText="1" indent="1"/>
    </xf>
    <xf numFmtId="164" fontId="0" fillId="3" borderId="17" xfId="1" applyNumberFormat="1" applyFont="1" applyFill="1" applyBorder="1"/>
    <xf numFmtId="166" fontId="0" fillId="3" borderId="23" xfId="0" applyNumberFormat="1" applyFill="1" applyBorder="1" applyAlignment="1">
      <alignment horizontal="left" vertical="center" wrapText="1"/>
    </xf>
    <xf numFmtId="166" fontId="0" fillId="3" borderId="21" xfId="0" applyNumberFormat="1" applyFill="1" applyBorder="1"/>
    <xf numFmtId="164" fontId="0" fillId="3" borderId="23" xfId="1" applyNumberFormat="1" applyFont="1" applyFill="1" applyBorder="1"/>
    <xf numFmtId="166" fontId="0" fillId="3" borderId="8" xfId="0" applyNumberFormat="1" applyFill="1" applyBorder="1"/>
    <xf numFmtId="166" fontId="0" fillId="3" borderId="26" xfId="0" applyNumberFormat="1" applyFill="1" applyBorder="1"/>
    <xf numFmtId="166" fontId="0" fillId="3" borderId="17" xfId="0" applyNumberFormat="1" applyFill="1" applyBorder="1"/>
    <xf numFmtId="164" fontId="0" fillId="3" borderId="17" xfId="0" applyNumberFormat="1" applyFill="1" applyBorder="1"/>
    <xf numFmtId="0" fontId="0" fillId="3" borderId="15" xfId="0" applyFill="1" applyBorder="1" applyAlignment="1">
      <alignment horizontal="left" indent="1"/>
    </xf>
    <xf numFmtId="166" fontId="8" fillId="3" borderId="24" xfId="0" applyNumberFormat="1" applyFont="1" applyFill="1" applyBorder="1"/>
    <xf numFmtId="3" fontId="0" fillId="3" borderId="17" xfId="0" applyNumberFormat="1" applyFill="1" applyBorder="1" applyAlignment="1">
      <alignment horizontal="right" vertical="top" inden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418870</xdr:colOff>
      <xdr:row>67</xdr:row>
      <xdr:rowOff>34428</xdr:rowOff>
    </xdr:from>
    <xdr:to>
      <xdr:col>14</xdr:col>
      <xdr:colOff>424608</xdr:colOff>
      <xdr:row>68</xdr:row>
      <xdr:rowOff>143449</xdr:rowOff>
    </xdr:to>
    <xdr:cxnSp macro="">
      <xdr:nvCxnSpPr>
        <xdr:cNvPr id="5" name="Straight Connector 4">
          <a:extLst>
            <a:ext uri="{FF2B5EF4-FFF2-40B4-BE49-F238E27FC236}">
              <a16:creationId xmlns:a16="http://schemas.microsoft.com/office/drawing/2014/main" id="{E2AEE67E-314F-4066-9FA4-A6A0C5E34C47}"/>
            </a:ext>
          </a:extLst>
        </xdr:cNvPr>
        <xdr:cNvCxnSpPr/>
      </xdr:nvCxnSpPr>
      <xdr:spPr>
        <a:xfrm>
          <a:off x="20421370" y="26885403"/>
          <a:ext cx="5738" cy="309046"/>
        </a:xfrm>
        <a:prstGeom prst="line">
          <a:avLst/>
        </a:prstGeom>
        <a:ln w="9525">
          <a:solidFill>
            <a:schemeClr val="accent1">
              <a:alpha val="89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0230F-B342-4574-A261-F69036DB932D}">
  <dimension ref="A2:P83"/>
  <sheetViews>
    <sheetView showGridLines="0" tabSelected="1" topLeftCell="B65" zoomScale="93" zoomScaleNormal="93" workbookViewId="0">
      <selection activeCell="R70" sqref="R70"/>
    </sheetView>
  </sheetViews>
  <sheetFormatPr defaultRowHeight="15" x14ac:dyDescent="0.25"/>
  <cols>
    <col min="1" max="1" width="11.5703125" customWidth="1"/>
    <col min="3" max="3" width="14.28515625" customWidth="1"/>
    <col min="4" max="4" width="11" customWidth="1"/>
    <col min="5" max="5" width="9.7109375" customWidth="1"/>
    <col min="7" max="7" width="7.5703125" customWidth="1"/>
    <col min="8" max="8" width="11.85546875" customWidth="1"/>
    <col min="9" max="9" width="10.85546875" customWidth="1"/>
    <col min="10" max="10" width="10.7109375" customWidth="1"/>
    <col min="11" max="11" width="10.85546875" customWidth="1"/>
    <col min="12" max="12" width="10.28515625" customWidth="1"/>
    <col min="13" max="13" width="11.42578125" customWidth="1"/>
    <col min="14" max="14" width="14.28515625" customWidth="1"/>
    <col min="15" max="15" width="11.28515625" customWidth="1"/>
    <col min="16" max="16" width="13.5703125" customWidth="1"/>
  </cols>
  <sheetData>
    <row r="2" spans="3:15" ht="17.25" customHeight="1" x14ac:dyDescent="0.3">
      <c r="D2" s="140" t="s">
        <v>51</v>
      </c>
      <c r="E2" s="102"/>
      <c r="F2" s="102"/>
      <c r="G2" s="102"/>
      <c r="H2" s="102"/>
      <c r="I2" s="102"/>
      <c r="J2" s="102"/>
      <c r="K2" s="102"/>
      <c r="L2" s="102"/>
      <c r="M2" s="102"/>
      <c r="N2" s="102"/>
      <c r="O2" s="95"/>
    </row>
    <row r="3" spans="3:15" ht="19.5" customHeight="1" x14ac:dyDescent="0.3">
      <c r="C3" s="95"/>
      <c r="D3" s="102"/>
      <c r="E3" s="102"/>
      <c r="F3" s="102"/>
      <c r="G3" s="102"/>
      <c r="H3" s="102"/>
      <c r="I3" s="102"/>
      <c r="J3" s="102"/>
      <c r="K3" s="102"/>
      <c r="L3" s="102"/>
      <c r="M3" s="102"/>
      <c r="N3" s="102"/>
      <c r="O3" s="95"/>
    </row>
    <row r="4" spans="3:15" ht="19.5" customHeight="1" x14ac:dyDescent="0.3">
      <c r="C4" s="95"/>
      <c r="D4" s="51"/>
      <c r="E4" s="51"/>
      <c r="F4" s="51"/>
      <c r="G4" s="98" t="s">
        <v>48</v>
      </c>
      <c r="H4" s="51"/>
      <c r="I4" s="51"/>
      <c r="J4" s="51"/>
      <c r="K4" s="51"/>
      <c r="L4" s="51"/>
      <c r="M4" s="51"/>
      <c r="N4" s="51"/>
      <c r="O4" s="95"/>
    </row>
    <row r="5" spans="3:15" ht="15" customHeight="1" thickBot="1" x14ac:dyDescent="0.3"/>
    <row r="6" spans="3:15" ht="15" customHeight="1" x14ac:dyDescent="0.25">
      <c r="C6" s="141" t="s">
        <v>66</v>
      </c>
      <c r="D6" s="142"/>
      <c r="E6" s="142"/>
      <c r="F6" s="143"/>
      <c r="G6" s="144"/>
      <c r="H6" s="114" t="s">
        <v>72</v>
      </c>
      <c r="I6" s="114"/>
      <c r="J6" s="115"/>
      <c r="K6" s="115"/>
      <c r="L6" s="115"/>
      <c r="M6" s="115"/>
      <c r="N6" s="116" t="s">
        <v>1</v>
      </c>
      <c r="O6" s="118" t="s">
        <v>53</v>
      </c>
    </row>
    <row r="7" spans="3:15" x14ac:dyDescent="0.25">
      <c r="C7" s="145"/>
      <c r="D7" s="146"/>
      <c r="E7" s="146"/>
      <c r="F7" s="146"/>
      <c r="G7" s="147"/>
      <c r="H7" s="120" t="s">
        <v>3</v>
      </c>
      <c r="I7" s="121"/>
      <c r="J7" s="121"/>
      <c r="K7" s="122" t="s">
        <v>4</v>
      </c>
      <c r="L7" s="121"/>
      <c r="M7" s="121"/>
      <c r="N7" s="117"/>
      <c r="O7" s="119"/>
    </row>
    <row r="8" spans="3:15" x14ac:dyDescent="0.25">
      <c r="C8" s="148"/>
      <c r="D8" s="149"/>
      <c r="E8" s="149"/>
      <c r="F8" s="149"/>
      <c r="G8" s="150"/>
      <c r="H8" s="2" t="s">
        <v>5</v>
      </c>
      <c r="I8" s="2" t="s">
        <v>6</v>
      </c>
      <c r="J8" s="160" t="s">
        <v>71</v>
      </c>
      <c r="K8" s="2" t="s">
        <v>5</v>
      </c>
      <c r="L8" s="2" t="s">
        <v>6</v>
      </c>
      <c r="M8" s="1" t="s">
        <v>71</v>
      </c>
      <c r="N8" s="117"/>
      <c r="O8" s="119"/>
    </row>
    <row r="9" spans="3:15" x14ac:dyDescent="0.25">
      <c r="C9" s="3" t="s">
        <v>63</v>
      </c>
      <c r="D9" s="4"/>
      <c r="E9" s="4"/>
      <c r="F9" s="4"/>
      <c r="G9" s="4"/>
      <c r="H9" s="5">
        <f>(1243500+1959500)/5671900</f>
        <v>0.56471376434704423</v>
      </c>
      <c r="I9" s="6">
        <f>1-H9</f>
        <v>0.43528623565295577</v>
      </c>
      <c r="J9" s="161">
        <f>I9+H9</f>
        <v>1</v>
      </c>
      <c r="K9" s="5">
        <f>(1243500+1959500)/5671900</f>
        <v>0.56471376434704423</v>
      </c>
      <c r="L9" s="6">
        <f>1-K9</f>
        <v>0.43528623565295577</v>
      </c>
      <c r="M9" s="161">
        <f>L9+K9</f>
        <v>1</v>
      </c>
      <c r="N9" s="166">
        <f>N10/O10</f>
        <v>0.19001751313485113</v>
      </c>
      <c r="O9" s="167"/>
    </row>
    <row r="10" spans="3:15" x14ac:dyDescent="0.25">
      <c r="C10" s="3" t="s">
        <v>54</v>
      </c>
      <c r="D10" s="4"/>
      <c r="E10" s="4"/>
      <c r="F10" s="4"/>
      <c r="G10" s="4"/>
      <c r="H10" s="7">
        <f>H9*J10</f>
        <v>313416.13921260956</v>
      </c>
      <c r="I10" s="8">
        <f>I9*J10</f>
        <v>241583.86078739044</v>
      </c>
      <c r="J10" s="162">
        <v>555000</v>
      </c>
      <c r="K10" s="7">
        <f>K9*M10</f>
        <v>313416.13921260956</v>
      </c>
      <c r="L10" s="8">
        <f>L9*M10</f>
        <v>241583.86078739044</v>
      </c>
      <c r="M10" s="162">
        <v>555000</v>
      </c>
      <c r="N10" s="168">
        <f>130200+130200</f>
        <v>260400</v>
      </c>
      <c r="O10" s="169">
        <f>N10+M10+J10</f>
        <v>1370400</v>
      </c>
    </row>
    <row r="11" spans="3:15" x14ac:dyDescent="0.25">
      <c r="C11" s="3" t="s">
        <v>64</v>
      </c>
      <c r="D11" s="4"/>
      <c r="E11" s="4"/>
      <c r="F11" s="15">
        <v>4</v>
      </c>
      <c r="G11" s="16" t="s">
        <v>13</v>
      </c>
      <c r="H11" s="17">
        <f>$F11/3.1</f>
        <v>1.2903225806451613</v>
      </c>
      <c r="I11" s="18">
        <f t="shared" ref="I11:N11" si="0">$F11/3.1</f>
        <v>1.2903225806451613</v>
      </c>
      <c r="J11" s="163">
        <f t="shared" si="0"/>
        <v>1.2903225806451613</v>
      </c>
      <c r="K11" s="17">
        <f t="shared" si="0"/>
        <v>1.2903225806451613</v>
      </c>
      <c r="L11" s="18">
        <f t="shared" si="0"/>
        <v>1.2903225806451613</v>
      </c>
      <c r="M11" s="163">
        <f t="shared" si="0"/>
        <v>1.2903225806451613</v>
      </c>
      <c r="N11" s="170">
        <f t="shared" si="0"/>
        <v>1.2903225806451613</v>
      </c>
      <c r="O11" s="171">
        <f>O12/O10</f>
        <v>1.2903225806451613</v>
      </c>
    </row>
    <row r="12" spans="3:15" x14ac:dyDescent="0.25">
      <c r="C12" s="159" t="s">
        <v>55</v>
      </c>
      <c r="D12" s="4"/>
      <c r="E12" s="4"/>
      <c r="F12" s="4"/>
      <c r="G12" s="4"/>
      <c r="H12" s="19">
        <f t="shared" ref="H12:N12" si="1">H11*H10</f>
        <v>404407.92156465747</v>
      </c>
      <c r="I12" s="20">
        <f t="shared" si="1"/>
        <v>311721.11069340701</v>
      </c>
      <c r="J12" s="164">
        <f t="shared" si="1"/>
        <v>716129.03225806449</v>
      </c>
      <c r="K12" s="19">
        <f t="shared" si="1"/>
        <v>404407.92156465747</v>
      </c>
      <c r="L12" s="20">
        <f t="shared" si="1"/>
        <v>311721.11069340701</v>
      </c>
      <c r="M12" s="164">
        <f t="shared" si="1"/>
        <v>716129.03225806449</v>
      </c>
      <c r="N12" s="172">
        <f t="shared" si="1"/>
        <v>336000</v>
      </c>
      <c r="O12" s="173">
        <f>N12+M12+J12</f>
        <v>1768258.064516129</v>
      </c>
    </row>
    <row r="13" spans="3:15" ht="15" customHeight="1" x14ac:dyDescent="0.25">
      <c r="C13" s="3" t="s">
        <v>15</v>
      </c>
      <c r="D13" s="4"/>
      <c r="E13" s="4"/>
      <c r="F13" s="4"/>
      <c r="G13" s="21"/>
      <c r="H13" s="22">
        <v>0.5</v>
      </c>
      <c r="I13" s="23">
        <f>H13</f>
        <v>0.5</v>
      </c>
      <c r="J13" s="165">
        <f>J16/J12</f>
        <v>0.5</v>
      </c>
      <c r="K13" s="24">
        <v>0.2</v>
      </c>
      <c r="L13" s="25">
        <f>K13</f>
        <v>0.2</v>
      </c>
      <c r="M13" s="165">
        <f>1-(M16/M12)</f>
        <v>0.19999999999999996</v>
      </c>
      <c r="N13" s="174">
        <v>0.2</v>
      </c>
      <c r="O13" s="175"/>
    </row>
    <row r="14" spans="3:15" ht="15" customHeight="1" x14ac:dyDescent="0.25">
      <c r="C14" s="130" t="s">
        <v>16</v>
      </c>
      <c r="D14" s="131"/>
      <c r="E14" s="131"/>
      <c r="F14" s="132"/>
      <c r="G14" s="132"/>
      <c r="H14" s="132"/>
      <c r="I14" s="132"/>
      <c r="J14" s="132"/>
      <c r="K14" s="132"/>
      <c r="L14" s="132"/>
      <c r="M14" s="132"/>
      <c r="N14" s="132"/>
      <c r="O14" s="133"/>
    </row>
    <row r="15" spans="3:15" x14ac:dyDescent="0.25">
      <c r="C15" s="134"/>
      <c r="D15" s="132"/>
      <c r="E15" s="132"/>
      <c r="F15" s="132"/>
      <c r="G15" s="132"/>
      <c r="H15" s="132"/>
      <c r="I15" s="132"/>
      <c r="J15" s="132"/>
      <c r="K15" s="132"/>
      <c r="L15" s="132"/>
      <c r="M15" s="132"/>
      <c r="N15" s="132"/>
      <c r="O15" s="133"/>
    </row>
    <row r="16" spans="3:15" x14ac:dyDescent="0.25">
      <c r="C16" s="3" t="s">
        <v>56</v>
      </c>
      <c r="D16" s="4"/>
      <c r="E16" s="4"/>
      <c r="F16" s="4"/>
      <c r="G16" s="4"/>
      <c r="H16" s="19">
        <f t="shared" ref="H16:I16" si="2">H12*(1-H13)</f>
        <v>202203.96078232874</v>
      </c>
      <c r="I16" s="20">
        <f t="shared" si="2"/>
        <v>155860.55534670351</v>
      </c>
      <c r="J16" s="164">
        <f>I16+H16</f>
        <v>358064.51612903224</v>
      </c>
      <c r="K16" s="19">
        <f t="shared" ref="K16:L16" si="3">K12*(1-K13)</f>
        <v>323526.33725172601</v>
      </c>
      <c r="L16" s="20">
        <f t="shared" si="3"/>
        <v>249376.88855472562</v>
      </c>
      <c r="M16" s="164">
        <f>L16+K16</f>
        <v>572903.22580645164</v>
      </c>
      <c r="N16" s="176">
        <f>N12*(1-N13)</f>
        <v>268800</v>
      </c>
      <c r="O16" s="173">
        <f>N16+M16+J16</f>
        <v>1199767.7419354839</v>
      </c>
    </row>
    <row r="17" spans="2:16" x14ac:dyDescent="0.25">
      <c r="C17" s="3" t="s">
        <v>57</v>
      </c>
      <c r="D17" s="4"/>
      <c r="E17" s="4"/>
      <c r="F17" s="4"/>
      <c r="G17" s="30">
        <v>0.1</v>
      </c>
      <c r="H17" s="7">
        <f>J17*0.5</f>
        <v>17903.225806451614</v>
      </c>
      <c r="I17" s="8">
        <f>J17*0.5</f>
        <v>17903.225806451614</v>
      </c>
      <c r="J17" s="162">
        <f t="shared" ref="J17:N17" si="4">(J12-J16)*$G17</f>
        <v>35806.451612903227</v>
      </c>
      <c r="K17" s="7">
        <f>M17*0.5</f>
        <v>7161.2903225806431</v>
      </c>
      <c r="L17" s="8">
        <f>M17*0.5</f>
        <v>7161.2903225806431</v>
      </c>
      <c r="M17" s="162">
        <f t="shared" si="4"/>
        <v>14322.580645161286</v>
      </c>
      <c r="N17" s="177">
        <f t="shared" si="4"/>
        <v>6720</v>
      </c>
      <c r="O17" s="169">
        <f>N17+M17+J17</f>
        <v>56849.032258064515</v>
      </c>
    </row>
    <row r="18" spans="2:16" x14ac:dyDescent="0.25">
      <c r="C18" s="99" t="s">
        <v>61</v>
      </c>
      <c r="D18" s="100"/>
      <c r="E18" s="100"/>
      <c r="F18" s="100"/>
      <c r="G18" s="100"/>
      <c r="H18" s="100"/>
      <c r="I18" s="100"/>
      <c r="J18" s="100"/>
      <c r="K18" s="100"/>
      <c r="L18" s="100"/>
      <c r="M18" s="100"/>
      <c r="N18" s="100"/>
      <c r="O18" s="155"/>
    </row>
    <row r="19" spans="2:16" x14ac:dyDescent="0.25">
      <c r="C19" s="159" t="s">
        <v>73</v>
      </c>
      <c r="D19" s="4"/>
      <c r="E19" s="4"/>
      <c r="F19" s="4"/>
      <c r="G19" s="4"/>
      <c r="H19" s="7">
        <f>H17+H16</f>
        <v>220107.18658878034</v>
      </c>
      <c r="I19" s="8">
        <f>I17+I16</f>
        <v>173763.78115315511</v>
      </c>
      <c r="J19" s="162">
        <f>I19+H19</f>
        <v>393870.96774193546</v>
      </c>
      <c r="K19" s="7">
        <f>K17+K16</f>
        <v>330687.62757430668</v>
      </c>
      <c r="L19" s="8">
        <f>L17+L16</f>
        <v>256538.17887730626</v>
      </c>
      <c r="M19" s="162">
        <f>M17+M16</f>
        <v>587225.80645161297</v>
      </c>
      <c r="N19" s="168">
        <f>N17+N16</f>
        <v>275520</v>
      </c>
      <c r="O19" s="169">
        <f>N19+M19+J19</f>
        <v>1256616.7741935484</v>
      </c>
      <c r="P19" s="9">
        <f>O16+O17</f>
        <v>1256616.7741935484</v>
      </c>
    </row>
    <row r="20" spans="2:16" x14ac:dyDescent="0.25">
      <c r="C20" s="3" t="s">
        <v>22</v>
      </c>
      <c r="D20" s="4"/>
      <c r="E20" s="4"/>
      <c r="F20" s="4"/>
      <c r="G20" s="31">
        <v>1.5</v>
      </c>
      <c r="H20" s="32"/>
      <c r="J20" s="178"/>
      <c r="K20" s="7"/>
      <c r="M20" s="178"/>
      <c r="N20" s="179">
        <f>N19*(G20-1)</f>
        <v>137760</v>
      </c>
      <c r="O20" s="169">
        <f t="shared" ref="O20" si="5">N20+M20+J20</f>
        <v>137760</v>
      </c>
    </row>
    <row r="21" spans="2:16" x14ac:dyDescent="0.25">
      <c r="C21" s="10" t="s">
        <v>23</v>
      </c>
      <c r="D21" s="11"/>
      <c r="E21" s="11"/>
      <c r="F21" s="11"/>
      <c r="G21" s="11"/>
      <c r="H21" s="11"/>
      <c r="I21" s="11"/>
      <c r="J21" s="11"/>
      <c r="K21" s="11"/>
      <c r="L21" s="11"/>
      <c r="M21" s="11"/>
      <c r="N21" s="11"/>
      <c r="O21" s="12"/>
    </row>
    <row r="22" spans="2:16" x14ac:dyDescent="0.25">
      <c r="C22" s="3" t="s">
        <v>24</v>
      </c>
      <c r="D22" s="4"/>
      <c r="E22" s="4"/>
      <c r="F22" s="4"/>
      <c r="G22" s="30">
        <v>0.02</v>
      </c>
      <c r="H22" s="33">
        <f>H16*-$G22</f>
        <v>-4044.079215646575</v>
      </c>
      <c r="I22" s="34">
        <f t="shared" ref="I22:M22" si="6">I16*-$G22</f>
        <v>-3117.2111069340704</v>
      </c>
      <c r="J22" s="180">
        <f t="shared" si="6"/>
        <v>-7161.2903225806449</v>
      </c>
      <c r="K22" s="33">
        <f t="shared" si="6"/>
        <v>-6470.52674503452</v>
      </c>
      <c r="L22" s="34">
        <f t="shared" si="6"/>
        <v>-4987.5377710945122</v>
      </c>
      <c r="M22" s="180">
        <f t="shared" si="6"/>
        <v>-11458.064516129032</v>
      </c>
      <c r="N22" s="182"/>
      <c r="O22" s="183">
        <f t="shared" ref="O22" si="7">N22+M22+J22</f>
        <v>-18619.354838709678</v>
      </c>
    </row>
    <row r="23" spans="2:16" x14ac:dyDescent="0.25">
      <c r="C23" s="10" t="s">
        <v>25</v>
      </c>
      <c r="D23" s="11"/>
      <c r="E23" s="11"/>
      <c r="F23" s="11"/>
      <c r="G23" s="11"/>
      <c r="H23" s="11"/>
      <c r="I23" s="11"/>
      <c r="J23" s="11"/>
      <c r="K23" s="11"/>
      <c r="L23" s="11"/>
      <c r="M23" s="11"/>
      <c r="N23" s="11"/>
      <c r="O23" s="12"/>
    </row>
    <row r="24" spans="2:16" x14ac:dyDescent="0.25">
      <c r="B24" s="90" t="s">
        <v>65</v>
      </c>
      <c r="C24" s="3" t="s">
        <v>62</v>
      </c>
      <c r="D24" s="4"/>
      <c r="E24" s="4"/>
      <c r="F24" s="4"/>
      <c r="G24" s="4"/>
      <c r="H24" s="4"/>
      <c r="I24" s="4"/>
      <c r="J24" s="181"/>
      <c r="K24" s="4"/>
      <c r="L24" s="4"/>
      <c r="M24" s="4"/>
      <c r="N24" s="181"/>
      <c r="O24" s="184"/>
    </row>
    <row r="25" spans="2:16" x14ac:dyDescent="0.25">
      <c r="B25" s="90" t="s">
        <v>65</v>
      </c>
      <c r="C25" s="10"/>
      <c r="D25" s="11"/>
      <c r="E25" s="11"/>
      <c r="F25" s="11"/>
      <c r="G25" s="11"/>
      <c r="H25" s="11"/>
      <c r="I25" s="11"/>
      <c r="J25" s="11"/>
      <c r="K25" s="11"/>
      <c r="L25" s="11"/>
      <c r="M25" s="11"/>
      <c r="N25" s="11"/>
      <c r="O25" s="12"/>
    </row>
    <row r="26" spans="2:16" x14ac:dyDescent="0.25">
      <c r="C26" s="159" t="s">
        <v>60</v>
      </c>
      <c r="H26" s="91">
        <f t="shared" ref="H26:N26" si="8">SUM(H19:H24)</f>
        <v>216063.10737313377</v>
      </c>
      <c r="I26" s="92">
        <f t="shared" si="8"/>
        <v>170646.57004622105</v>
      </c>
      <c r="J26" s="185">
        <f t="shared" si="8"/>
        <v>386709.67741935479</v>
      </c>
      <c r="K26" s="91">
        <f t="shared" si="8"/>
        <v>324217.10082927218</v>
      </c>
      <c r="L26" s="92">
        <f t="shared" si="8"/>
        <v>251550.64110621175</v>
      </c>
      <c r="M26" s="185">
        <f t="shared" si="8"/>
        <v>575767.74193548388</v>
      </c>
      <c r="N26" s="187">
        <f t="shared" si="8"/>
        <v>413280</v>
      </c>
      <c r="O26" s="188">
        <f>N26+M26+J26</f>
        <v>1375757.4193548388</v>
      </c>
      <c r="P26" s="9">
        <f>SUM(O19:O24)</f>
        <v>1375757.4193548388</v>
      </c>
    </row>
    <row r="27" spans="2:16" ht="15.75" x14ac:dyDescent="0.25">
      <c r="C27" s="35" t="s">
        <v>58</v>
      </c>
      <c r="D27" s="36"/>
      <c r="E27" s="36"/>
      <c r="H27" s="93">
        <f t="shared" ref="H27:O27" si="9">H26-H10</f>
        <v>-97353.031839475792</v>
      </c>
      <c r="I27" s="94">
        <f t="shared" si="9"/>
        <v>-70937.290741169389</v>
      </c>
      <c r="J27" s="186">
        <f t="shared" si="9"/>
        <v>-168290.32258064521</v>
      </c>
      <c r="K27" s="93">
        <f t="shared" si="9"/>
        <v>10800.961616662622</v>
      </c>
      <c r="L27" s="94">
        <f t="shared" si="9"/>
        <v>9966.7803188213147</v>
      </c>
      <c r="M27" s="186">
        <f t="shared" si="9"/>
        <v>20767.741935483878</v>
      </c>
      <c r="N27" s="189">
        <f t="shared" si="9"/>
        <v>152880</v>
      </c>
      <c r="O27" s="190">
        <f t="shared" si="9"/>
        <v>5357.4193548387848</v>
      </c>
    </row>
    <row r="28" spans="2:16" ht="18.75" customHeight="1" thickBot="1" x14ac:dyDescent="0.3">
      <c r="C28" s="77"/>
      <c r="D28" s="78"/>
      <c r="E28" s="78"/>
      <c r="F28" s="78"/>
      <c r="G28" s="78"/>
      <c r="H28" s="78"/>
      <c r="I28" s="78"/>
      <c r="J28" s="78"/>
      <c r="K28" s="78"/>
      <c r="L28" s="78"/>
      <c r="M28" s="78"/>
      <c r="N28" s="96" t="s">
        <v>59</v>
      </c>
      <c r="O28" s="97">
        <f>(O26-O10)/O10</f>
        <v>3.9093836506412611E-3</v>
      </c>
    </row>
    <row r="29" spans="2:16" ht="15" customHeight="1" x14ac:dyDescent="0.25"/>
    <row r="31" spans="2:16" ht="15.75" thickBot="1" x14ac:dyDescent="0.3"/>
    <row r="32" spans="2:16" x14ac:dyDescent="0.25">
      <c r="C32" s="104" t="s">
        <v>67</v>
      </c>
      <c r="D32" s="105"/>
      <c r="E32" s="105"/>
      <c r="F32" s="106"/>
      <c r="G32" s="107"/>
      <c r="H32" s="114" t="s">
        <v>0</v>
      </c>
      <c r="I32" s="114"/>
      <c r="J32" s="115"/>
      <c r="K32" s="115"/>
      <c r="L32" s="115"/>
      <c r="M32" s="115"/>
      <c r="N32" s="116" t="s">
        <v>1</v>
      </c>
      <c r="O32" s="118" t="s">
        <v>2</v>
      </c>
    </row>
    <row r="33" spans="3:16" x14ac:dyDescent="0.25">
      <c r="C33" s="108"/>
      <c r="D33" s="109"/>
      <c r="E33" s="109"/>
      <c r="F33" s="109"/>
      <c r="G33" s="110"/>
      <c r="H33" s="120" t="s">
        <v>3</v>
      </c>
      <c r="I33" s="121"/>
      <c r="J33" s="121"/>
      <c r="K33" s="122" t="s">
        <v>4</v>
      </c>
      <c r="L33" s="121"/>
      <c r="M33" s="121"/>
      <c r="N33" s="117"/>
      <c r="O33" s="119"/>
      <c r="P33" s="62" t="s">
        <v>49</v>
      </c>
    </row>
    <row r="34" spans="3:16" x14ac:dyDescent="0.25">
      <c r="C34" s="111"/>
      <c r="D34" s="112"/>
      <c r="E34" s="112"/>
      <c r="F34" s="112"/>
      <c r="G34" s="113"/>
      <c r="H34" s="2" t="s">
        <v>5</v>
      </c>
      <c r="I34" s="2" t="s">
        <v>6</v>
      </c>
      <c r="J34" s="1" t="s">
        <v>71</v>
      </c>
      <c r="K34" s="2" t="s">
        <v>5</v>
      </c>
      <c r="L34" s="2" t="s">
        <v>6</v>
      </c>
      <c r="M34" s="1" t="s">
        <v>71</v>
      </c>
      <c r="N34" s="117"/>
      <c r="O34" s="119"/>
    </row>
    <row r="35" spans="3:16" x14ac:dyDescent="0.25">
      <c r="C35" s="3" t="s">
        <v>7</v>
      </c>
      <c r="D35" s="4"/>
      <c r="E35" s="4"/>
      <c r="F35" s="4"/>
      <c r="G35" s="4"/>
      <c r="H35" s="5">
        <f>(1243500+1959500)/5671900</f>
        <v>0.56471376434704423</v>
      </c>
      <c r="I35" s="6">
        <f>1-H35</f>
        <v>0.43528623565295577</v>
      </c>
      <c r="J35" s="161">
        <f>I35+H35</f>
        <v>1</v>
      </c>
      <c r="K35" s="5">
        <f>(1243500+1959500)/5671900</f>
        <v>0.56471376434704423</v>
      </c>
      <c r="L35" s="6">
        <f>1-K35</f>
        <v>0.43528623565295577</v>
      </c>
      <c r="M35" s="161">
        <f>L35+K35</f>
        <v>1</v>
      </c>
      <c r="N35" s="166">
        <f>N36/O36</f>
        <v>0.19001751313485113</v>
      </c>
      <c r="O35" s="167"/>
    </row>
    <row r="36" spans="3:16" ht="15" customHeight="1" x14ac:dyDescent="0.35">
      <c r="C36" s="3" t="s">
        <v>8</v>
      </c>
      <c r="D36" s="4"/>
      <c r="E36" s="4"/>
      <c r="F36" s="4"/>
      <c r="G36" s="4"/>
      <c r="H36" s="7">
        <f>H35*J36</f>
        <v>313416.13921260956</v>
      </c>
      <c r="I36" s="8">
        <f>I35*J36</f>
        <v>241583.86078739044</v>
      </c>
      <c r="J36" s="162">
        <v>555000</v>
      </c>
      <c r="K36" s="7">
        <f>K35*M36</f>
        <v>313416.13921260956</v>
      </c>
      <c r="L36" s="8">
        <f>L35*M36</f>
        <v>241583.86078739044</v>
      </c>
      <c r="M36" s="162">
        <v>555000</v>
      </c>
      <c r="N36" s="168">
        <f>130200+130200</f>
        <v>260400</v>
      </c>
      <c r="O36" s="169">
        <f>N36+M36+J36</f>
        <v>1370400</v>
      </c>
      <c r="P36" s="9">
        <f>J36+M36</f>
        <v>1110000</v>
      </c>
    </row>
    <row r="37" spans="3:16" ht="15" customHeight="1" x14ac:dyDescent="0.35">
      <c r="C37" s="3" t="s">
        <v>9</v>
      </c>
      <c r="D37" s="4"/>
      <c r="E37" s="4"/>
      <c r="F37" s="4"/>
      <c r="G37" s="4"/>
      <c r="H37" s="7">
        <v>102467.31254077118</v>
      </c>
      <c r="I37" s="8">
        <v>78982.687459228822</v>
      </c>
      <c r="J37" s="162">
        <v>181450</v>
      </c>
      <c r="K37" s="7">
        <v>102467.31254077118</v>
      </c>
      <c r="L37" s="8">
        <v>78982.687459228822</v>
      </c>
      <c r="M37" s="162">
        <v>181450</v>
      </c>
      <c r="N37" s="168">
        <v>85100</v>
      </c>
      <c r="O37" s="169">
        <v>448000</v>
      </c>
      <c r="P37" s="9">
        <f>N37+M37+J37</f>
        <v>448000</v>
      </c>
    </row>
    <row r="38" spans="3:16" x14ac:dyDescent="0.25">
      <c r="C38" s="125" t="s">
        <v>10</v>
      </c>
      <c r="D38" s="128"/>
      <c r="E38" s="128"/>
      <c r="F38" s="128"/>
      <c r="G38" s="128"/>
      <c r="H38" s="128"/>
      <c r="I38" s="128"/>
      <c r="J38" s="128"/>
      <c r="K38" s="128"/>
      <c r="L38" s="128"/>
      <c r="M38" s="128"/>
      <c r="N38" s="128"/>
      <c r="O38" s="129"/>
      <c r="P38" s="9"/>
    </row>
    <row r="39" spans="3:16" x14ac:dyDescent="0.25">
      <c r="C39" s="3" t="s">
        <v>11</v>
      </c>
      <c r="D39" s="4"/>
      <c r="E39" s="4"/>
      <c r="H39" s="13">
        <f>H37+H36</f>
        <v>415883.45175338071</v>
      </c>
      <c r="I39" s="14">
        <f t="shared" ref="I39:N39" si="10">I37+I36</f>
        <v>320566.54824661929</v>
      </c>
      <c r="J39" s="195">
        <f t="shared" si="10"/>
        <v>736450</v>
      </c>
      <c r="K39" s="13">
        <f t="shared" si="10"/>
        <v>415883.45175338071</v>
      </c>
      <c r="L39" s="14">
        <f t="shared" si="10"/>
        <v>320566.54824661929</v>
      </c>
      <c r="M39" s="195">
        <f t="shared" si="10"/>
        <v>736450</v>
      </c>
      <c r="N39" s="197">
        <f t="shared" si="10"/>
        <v>345500</v>
      </c>
      <c r="O39" s="198">
        <f>O37+O36</f>
        <v>1818400</v>
      </c>
      <c r="P39" s="9">
        <f>N39+M39+J39</f>
        <v>1818400</v>
      </c>
    </row>
    <row r="40" spans="3:16" x14ac:dyDescent="0.25">
      <c r="C40" s="3" t="s">
        <v>12</v>
      </c>
      <c r="D40" s="4"/>
      <c r="E40" s="4"/>
      <c r="F40" s="15">
        <v>4</v>
      </c>
      <c r="G40" s="16" t="s">
        <v>13</v>
      </c>
      <c r="H40" s="17">
        <f>$F40/3.1</f>
        <v>1.2903225806451613</v>
      </c>
      <c r="I40" s="18">
        <f t="shared" ref="I40:N40" si="11">$F40/3.1</f>
        <v>1.2903225806451613</v>
      </c>
      <c r="J40" s="163">
        <f t="shared" si="11"/>
        <v>1.2903225806451613</v>
      </c>
      <c r="K40" s="88">
        <f t="shared" si="11"/>
        <v>1.2903225806451613</v>
      </c>
      <c r="L40" s="89">
        <f t="shared" si="11"/>
        <v>1.2903225806451613</v>
      </c>
      <c r="M40" s="199">
        <f t="shared" si="11"/>
        <v>1.2903225806451613</v>
      </c>
      <c r="N40" s="170">
        <f t="shared" si="11"/>
        <v>1.2903225806451613</v>
      </c>
      <c r="O40" s="171">
        <f>1+(O41-O39)/O39</f>
        <v>1.2903101627804663</v>
      </c>
    </row>
    <row r="41" spans="3:16" x14ac:dyDescent="0.25">
      <c r="C41" s="3" t="s">
        <v>14</v>
      </c>
      <c r="D41" s="4"/>
      <c r="E41" s="4"/>
      <c r="F41" s="4"/>
      <c r="G41" s="4"/>
      <c r="H41" s="19">
        <f>H40*H39</f>
        <v>536623.80871403962</v>
      </c>
      <c r="I41" s="20">
        <f t="shared" ref="I41:N41" si="12">I40*I39</f>
        <v>413634.25580208941</v>
      </c>
      <c r="J41" s="164">
        <f t="shared" si="12"/>
        <v>950258.06451612897</v>
      </c>
      <c r="K41" s="19">
        <f t="shared" si="12"/>
        <v>536623.80871403962</v>
      </c>
      <c r="L41" s="20">
        <f t="shared" si="12"/>
        <v>413634.25580208941</v>
      </c>
      <c r="M41" s="164">
        <f t="shared" si="12"/>
        <v>950258.06451612897</v>
      </c>
      <c r="N41" s="176">
        <f t="shared" si="12"/>
        <v>445806.45161290321</v>
      </c>
      <c r="O41" s="173">
        <f>ROUND((N41+M41+J41)/100,0)*100</f>
        <v>2346300</v>
      </c>
      <c r="P41" s="8">
        <f>N41+M41+J41</f>
        <v>2346322.5806451612</v>
      </c>
    </row>
    <row r="42" spans="3:16" x14ac:dyDescent="0.25">
      <c r="C42" s="3" t="s">
        <v>15</v>
      </c>
      <c r="D42" s="4"/>
      <c r="E42" s="4"/>
      <c r="F42" s="4"/>
      <c r="G42" s="21"/>
      <c r="H42" s="22">
        <v>0.5</v>
      </c>
      <c r="I42" s="6">
        <f>H42</f>
        <v>0.5</v>
      </c>
      <c r="J42" s="196">
        <f>H42</f>
        <v>0.5</v>
      </c>
      <c r="K42" s="24">
        <v>0.2</v>
      </c>
      <c r="L42" s="85">
        <f>K42</f>
        <v>0.2</v>
      </c>
      <c r="M42" s="196">
        <f>K42</f>
        <v>0.2</v>
      </c>
      <c r="N42" s="174">
        <v>0.2</v>
      </c>
      <c r="O42" s="200">
        <f>-O45/O41</f>
        <v>0.32150276413240891</v>
      </c>
    </row>
    <row r="43" spans="3:16" x14ac:dyDescent="0.25">
      <c r="C43" s="130" t="s">
        <v>16</v>
      </c>
      <c r="D43" s="131"/>
      <c r="E43" s="131"/>
      <c r="F43" s="132"/>
      <c r="G43" s="132"/>
      <c r="H43" s="132"/>
      <c r="I43" s="132"/>
      <c r="J43" s="132"/>
      <c r="K43" s="132"/>
      <c r="L43" s="132"/>
      <c r="M43" s="132"/>
      <c r="N43" s="132"/>
      <c r="O43" s="133"/>
    </row>
    <row r="44" spans="3:16" x14ac:dyDescent="0.25">
      <c r="C44" s="134"/>
      <c r="D44" s="132"/>
      <c r="E44" s="132"/>
      <c r="F44" s="132"/>
      <c r="G44" s="132"/>
      <c r="H44" s="132"/>
      <c r="I44" s="132"/>
      <c r="J44" s="132"/>
      <c r="K44" s="132"/>
      <c r="L44" s="132"/>
      <c r="M44" s="132"/>
      <c r="N44" s="132"/>
      <c r="O44" s="133"/>
    </row>
    <row r="45" spans="3:16" x14ac:dyDescent="0.25">
      <c r="C45" s="26" t="s">
        <v>17</v>
      </c>
      <c r="D45" s="27"/>
      <c r="E45" s="27"/>
      <c r="F45" s="27"/>
      <c r="G45" s="27"/>
      <c r="H45" s="28">
        <f t="shared" ref="H45:N45" si="13">-H41*H42</f>
        <v>-268311.90435701981</v>
      </c>
      <c r="I45" s="29">
        <f t="shared" si="13"/>
        <v>-206817.1279010447</v>
      </c>
      <c r="J45" s="201">
        <f t="shared" si="13"/>
        <v>-475129.03225806449</v>
      </c>
      <c r="K45" s="28">
        <f t="shared" si="13"/>
        <v>-107324.76174280792</v>
      </c>
      <c r="L45" s="29">
        <f t="shared" si="13"/>
        <v>-82726.851160417893</v>
      </c>
      <c r="M45" s="201">
        <f t="shared" si="13"/>
        <v>-190051.61290322582</v>
      </c>
      <c r="N45" s="202">
        <f t="shared" si="13"/>
        <v>-89161.290322580651</v>
      </c>
      <c r="O45" s="203">
        <f>N45+M45+J45</f>
        <v>-754341.93548387103</v>
      </c>
    </row>
    <row r="46" spans="3:16" x14ac:dyDescent="0.25">
      <c r="C46" s="3" t="s">
        <v>18</v>
      </c>
      <c r="H46" s="13">
        <f t="shared" ref="H46:N46" si="14">H41+H45</f>
        <v>268311.90435701981</v>
      </c>
      <c r="I46" s="14">
        <f t="shared" si="14"/>
        <v>206817.1279010447</v>
      </c>
      <c r="J46" s="195">
        <f t="shared" si="14"/>
        <v>475129.03225806449</v>
      </c>
      <c r="K46" s="13">
        <f t="shared" si="14"/>
        <v>429299.0469712317</v>
      </c>
      <c r="L46" s="14">
        <f t="shared" si="14"/>
        <v>330907.40464167151</v>
      </c>
      <c r="M46" s="195">
        <f t="shared" si="14"/>
        <v>760206.45161290315</v>
      </c>
      <c r="N46" s="197">
        <f t="shared" si="14"/>
        <v>356645.16129032255</v>
      </c>
      <c r="O46" s="205">
        <f>N46+M46+J46</f>
        <v>1591980.6451612902</v>
      </c>
      <c r="P46" s="8">
        <f>N46+M46+J46</f>
        <v>1591980.6451612902</v>
      </c>
    </row>
    <row r="47" spans="3:16" x14ac:dyDescent="0.25">
      <c r="C47" s="3" t="s">
        <v>19</v>
      </c>
      <c r="D47" s="4"/>
      <c r="E47" s="4"/>
      <c r="F47" s="4"/>
      <c r="G47" s="30">
        <v>0.1</v>
      </c>
      <c r="H47" s="7">
        <f>-H45*$G47</f>
        <v>26831.190435701981</v>
      </c>
      <c r="I47" s="8">
        <f t="shared" ref="I47:M47" si="15">-I45*$G47</f>
        <v>20681.712790104473</v>
      </c>
      <c r="J47" s="162">
        <f t="shared" si="15"/>
        <v>47512.903225806454</v>
      </c>
      <c r="K47" s="7">
        <f t="shared" si="15"/>
        <v>10732.476174280793</v>
      </c>
      <c r="L47" s="8">
        <f t="shared" si="15"/>
        <v>8272.68511604179</v>
      </c>
      <c r="M47" s="162">
        <f t="shared" si="15"/>
        <v>19005.161290322583</v>
      </c>
      <c r="N47" s="168">
        <f>-N45*$G47</f>
        <v>8916.1290322580662</v>
      </c>
      <c r="O47" s="204">
        <f>O46*G47</f>
        <v>159198.06451612903</v>
      </c>
      <c r="P47" s="8">
        <f>N47+M47+J47</f>
        <v>75434.193548387106</v>
      </c>
    </row>
    <row r="48" spans="3:16" x14ac:dyDescent="0.25">
      <c r="C48" s="125" t="s">
        <v>20</v>
      </c>
      <c r="D48" s="126"/>
      <c r="E48" s="126"/>
      <c r="F48" s="126"/>
      <c r="G48" s="126"/>
      <c r="H48" s="126"/>
      <c r="I48" s="126"/>
      <c r="J48" s="126"/>
      <c r="K48" s="126"/>
      <c r="L48" s="126"/>
      <c r="M48" s="126"/>
      <c r="N48" s="126"/>
      <c r="O48" s="127"/>
      <c r="P48" s="8">
        <f>N48+M48+J48</f>
        <v>0</v>
      </c>
    </row>
    <row r="49" spans="3:16" x14ac:dyDescent="0.25">
      <c r="C49" s="3" t="s">
        <v>21</v>
      </c>
      <c r="D49" s="4"/>
      <c r="E49" s="4"/>
      <c r="F49" s="4"/>
      <c r="G49" s="4"/>
      <c r="H49" s="19">
        <f>H46+H47</f>
        <v>295143.09479272179</v>
      </c>
      <c r="I49" s="20">
        <f t="shared" ref="I49:O49" si="16">I46+I47</f>
        <v>227498.84069114918</v>
      </c>
      <c r="J49" s="164">
        <f t="shared" si="16"/>
        <v>522641.93548387091</v>
      </c>
      <c r="K49" s="19">
        <f t="shared" si="16"/>
        <v>440031.5231455125</v>
      </c>
      <c r="L49" s="20">
        <f t="shared" si="16"/>
        <v>339180.08975771331</v>
      </c>
      <c r="M49" s="164">
        <f t="shared" si="16"/>
        <v>779211.6129032257</v>
      </c>
      <c r="N49" s="172">
        <f t="shared" si="16"/>
        <v>365561.29032258061</v>
      </c>
      <c r="O49" s="173">
        <f t="shared" si="16"/>
        <v>1751178.7096774192</v>
      </c>
      <c r="P49" s="8">
        <f t="shared" ref="P49" si="17">N49+M49+J49</f>
        <v>1667414.8387096771</v>
      </c>
    </row>
    <row r="50" spans="3:16" x14ac:dyDescent="0.25">
      <c r="C50" s="3" t="s">
        <v>22</v>
      </c>
      <c r="D50" s="4"/>
      <c r="E50" s="4"/>
      <c r="F50" s="4"/>
      <c r="G50" s="31">
        <v>1.5</v>
      </c>
      <c r="H50" s="32"/>
      <c r="J50" s="178"/>
      <c r="K50" s="7"/>
      <c r="M50" s="178"/>
      <c r="N50" s="179">
        <f>N49*(G50-1)</f>
        <v>182780.6451612903</v>
      </c>
      <c r="O50" s="169">
        <f>ROUND((N50+M50+J50)/100,0)*100</f>
        <v>182800</v>
      </c>
      <c r="P50" s="8">
        <f>N50+M50+J50</f>
        <v>182780.6451612903</v>
      </c>
    </row>
    <row r="51" spans="3:16" x14ac:dyDescent="0.25">
      <c r="C51" s="10" t="s">
        <v>23</v>
      </c>
      <c r="D51" s="11"/>
      <c r="E51" s="11"/>
      <c r="F51" s="11"/>
      <c r="G51" s="11"/>
      <c r="H51" s="11"/>
      <c r="I51" s="11"/>
      <c r="J51" s="11"/>
      <c r="K51" s="11"/>
      <c r="L51" s="11"/>
      <c r="M51" s="11"/>
      <c r="N51" s="11"/>
      <c r="O51" s="12"/>
      <c r="P51" s="8">
        <f>N51+M51+J51</f>
        <v>0</v>
      </c>
    </row>
    <row r="52" spans="3:16" x14ac:dyDescent="0.25">
      <c r="C52" s="3" t="s">
        <v>24</v>
      </c>
      <c r="D52" s="4"/>
      <c r="E52" s="4"/>
      <c r="F52" s="4"/>
      <c r="G52" s="30">
        <v>0.02</v>
      </c>
      <c r="H52" s="33">
        <f>H49*-$G52</f>
        <v>-5902.8618958544357</v>
      </c>
      <c r="I52" s="34">
        <f t="shared" ref="I52:M52" si="18">I49*-$G52</f>
        <v>-4549.9768138229838</v>
      </c>
      <c r="J52" s="180">
        <f t="shared" si="18"/>
        <v>-10452.838709677419</v>
      </c>
      <c r="K52" s="33">
        <f t="shared" si="18"/>
        <v>-8800.6304629102506</v>
      </c>
      <c r="L52" s="34">
        <f t="shared" si="18"/>
        <v>-6783.6017951542663</v>
      </c>
      <c r="M52" s="180">
        <f t="shared" si="18"/>
        <v>-15584.232258064514</v>
      </c>
      <c r="N52" s="182"/>
      <c r="O52" s="183">
        <f>ROUND((N52+M52+J52)/100,0)*100</f>
        <v>-26000</v>
      </c>
      <c r="P52" s="8">
        <f>N52+M52+J52</f>
        <v>-26037.070967741933</v>
      </c>
    </row>
    <row r="53" spans="3:16" ht="29.25" customHeight="1" x14ac:dyDescent="0.25">
      <c r="C53" s="135" t="s">
        <v>25</v>
      </c>
      <c r="D53" s="136"/>
      <c r="E53" s="136"/>
      <c r="F53" s="137"/>
      <c r="G53" s="137"/>
      <c r="H53" s="137"/>
      <c r="I53" s="137"/>
      <c r="J53" s="137"/>
      <c r="K53" s="137"/>
      <c r="L53" s="137"/>
      <c r="M53" s="137"/>
      <c r="N53" s="137"/>
      <c r="O53" s="138"/>
      <c r="P53" s="8"/>
    </row>
    <row r="54" spans="3:16" x14ac:dyDescent="0.25">
      <c r="C54" s="35" t="s">
        <v>26</v>
      </c>
      <c r="D54" s="36"/>
      <c r="E54" s="36"/>
      <c r="H54" s="37">
        <f>SUM(H49:H52)</f>
        <v>289240.23289686738</v>
      </c>
      <c r="I54" s="38">
        <f t="shared" ref="I54:N54" si="19">SUM(I49:I52)</f>
        <v>222948.86387732619</v>
      </c>
      <c r="J54" s="191">
        <f t="shared" si="19"/>
        <v>512189.09677419352</v>
      </c>
      <c r="K54" s="37">
        <f t="shared" si="19"/>
        <v>431230.89268260228</v>
      </c>
      <c r="L54" s="38">
        <f t="shared" si="19"/>
        <v>332396.48796255904</v>
      </c>
      <c r="M54" s="191">
        <f t="shared" si="19"/>
        <v>763627.38064516115</v>
      </c>
      <c r="N54" s="206">
        <f t="shared" si="19"/>
        <v>548341.93548387091</v>
      </c>
      <c r="O54" s="207">
        <f>ROUND((N54+M54+J54)/100,0)*100</f>
        <v>1824200</v>
      </c>
      <c r="P54" s="9">
        <f>SUM(O49:O52)</f>
        <v>1907978.7096774192</v>
      </c>
    </row>
    <row r="55" spans="3:16" x14ac:dyDescent="0.25">
      <c r="C55" s="3" t="s">
        <v>27</v>
      </c>
      <c r="D55" s="4"/>
      <c r="E55" s="4"/>
      <c r="H55" s="39">
        <f t="shared" ref="H55:M55" si="20">H54-H39</f>
        <v>-126643.21885651333</v>
      </c>
      <c r="I55" s="40">
        <f t="shared" si="20"/>
        <v>-97617.6843692931</v>
      </c>
      <c r="J55" s="192">
        <f t="shared" si="20"/>
        <v>-224260.90322580648</v>
      </c>
      <c r="K55" s="39">
        <f t="shared" si="20"/>
        <v>15347.440929221571</v>
      </c>
      <c r="L55" s="40">
        <f t="shared" si="20"/>
        <v>11829.939715939749</v>
      </c>
      <c r="M55" s="192">
        <f t="shared" si="20"/>
        <v>27177.380645161145</v>
      </c>
      <c r="N55" s="208"/>
      <c r="O55" s="209">
        <f>M55+J55</f>
        <v>-197083.52258064534</v>
      </c>
    </row>
    <row r="56" spans="3:16" x14ac:dyDescent="0.25">
      <c r="C56" s="3" t="s">
        <v>52</v>
      </c>
      <c r="D56" s="4"/>
      <c r="E56" s="4"/>
      <c r="H56" s="37">
        <f t="shared" ref="H56:M56" si="21">IF(H55&lt;0,0,H55)</f>
        <v>0</v>
      </c>
      <c r="I56" s="38">
        <f t="shared" si="21"/>
        <v>0</v>
      </c>
      <c r="J56" s="191">
        <f t="shared" si="21"/>
        <v>0</v>
      </c>
      <c r="K56" s="37">
        <f t="shared" si="21"/>
        <v>15347.440929221571</v>
      </c>
      <c r="L56" s="38">
        <f t="shared" si="21"/>
        <v>11829.939715939749</v>
      </c>
      <c r="M56" s="191">
        <f t="shared" si="21"/>
        <v>27177.380645161145</v>
      </c>
      <c r="N56" s="182"/>
      <c r="O56" s="210">
        <f>M56+J56</f>
        <v>27177.380645161145</v>
      </c>
    </row>
    <row r="57" spans="3:16" x14ac:dyDescent="0.25">
      <c r="C57" s="3" t="s">
        <v>28</v>
      </c>
      <c r="G57" s="6">
        <v>0.1</v>
      </c>
      <c r="H57" s="41">
        <f>IF(H55&lt;0,-H55*$G57,H55*$G57)</f>
        <v>12664.321885651334</v>
      </c>
      <c r="I57" s="9">
        <f t="shared" ref="I57:M57" si="22">IF(I55&lt;0,-I55*$G57,I55*$G57)</f>
        <v>9761.7684369293111</v>
      </c>
      <c r="J57" s="151">
        <f t="shared" si="22"/>
        <v>22426.090322580651</v>
      </c>
      <c r="K57" s="41">
        <f t="shared" si="22"/>
        <v>1534.7440929221573</v>
      </c>
      <c r="L57" s="9">
        <f t="shared" si="22"/>
        <v>1182.9939715939749</v>
      </c>
      <c r="M57" s="151">
        <f t="shared" si="22"/>
        <v>2717.7380645161147</v>
      </c>
      <c r="N57" s="152"/>
      <c r="O57" s="211">
        <f>N57+M57+J57</f>
        <v>25143.828387096764</v>
      </c>
      <c r="P57" s="9"/>
    </row>
    <row r="58" spans="3:16" x14ac:dyDescent="0.25">
      <c r="C58" s="3" t="s">
        <v>29</v>
      </c>
      <c r="G58" s="6">
        <v>0.1</v>
      </c>
      <c r="H58" s="41">
        <f>IF(H55+H57&lt;0,0,(H57+H55)*$G58)</f>
        <v>0</v>
      </c>
      <c r="I58" s="9">
        <f t="shared" ref="I58:M58" si="23">IF(I55+I57&lt;0,0,(I57+I55)*$G58)</f>
        <v>0</v>
      </c>
      <c r="J58" s="151">
        <f t="shared" si="23"/>
        <v>0</v>
      </c>
      <c r="K58" s="41">
        <f t="shared" si="23"/>
        <v>1688.2185022143728</v>
      </c>
      <c r="L58" s="9">
        <f t="shared" si="23"/>
        <v>1301.2933687533723</v>
      </c>
      <c r="M58" s="151">
        <f t="shared" si="23"/>
        <v>2989.5118709677263</v>
      </c>
      <c r="N58" s="152"/>
      <c r="O58" s="211">
        <f t="shared" ref="O58:O59" si="24">N58+M58+J58</f>
        <v>2989.5118709677263</v>
      </c>
    </row>
    <row r="59" spans="3:16" x14ac:dyDescent="0.25">
      <c r="C59" s="3" t="s">
        <v>30</v>
      </c>
      <c r="G59" s="6">
        <v>0.05</v>
      </c>
      <c r="H59" s="41">
        <f>H54*$G59</f>
        <v>14462.011644843369</v>
      </c>
      <c r="I59" s="9">
        <f t="shared" ref="I59:M59" si="25">I54*$G59</f>
        <v>11147.443193866311</v>
      </c>
      <c r="J59" s="151">
        <f>I59+H59</f>
        <v>25609.45483870968</v>
      </c>
      <c r="K59" s="41">
        <f t="shared" si="25"/>
        <v>21561.544634130114</v>
      </c>
      <c r="L59" s="9">
        <f t="shared" si="25"/>
        <v>16619.824398127952</v>
      </c>
      <c r="M59" s="151">
        <f>L59+K59</f>
        <v>38181.369032258066</v>
      </c>
      <c r="N59" s="152"/>
      <c r="O59" s="211">
        <f t="shared" si="24"/>
        <v>63790.823870967746</v>
      </c>
    </row>
    <row r="60" spans="3:16" x14ac:dyDescent="0.25">
      <c r="C60" s="10" t="s">
        <v>50</v>
      </c>
      <c r="D60" s="11"/>
      <c r="E60" s="11"/>
      <c r="F60" s="11"/>
      <c r="G60" s="11"/>
      <c r="H60" s="11"/>
      <c r="I60" s="11"/>
      <c r="J60" s="11"/>
      <c r="K60" s="11"/>
      <c r="L60" s="11"/>
      <c r="M60" s="11"/>
      <c r="N60" s="11"/>
      <c r="O60" s="12"/>
    </row>
    <row r="61" spans="3:16" x14ac:dyDescent="0.25">
      <c r="C61" s="3" t="s">
        <v>70</v>
      </c>
      <c r="G61" s="6"/>
      <c r="H61" s="41">
        <f>SUM(H57:H60)*0.1</f>
        <v>2712.6333530494703</v>
      </c>
      <c r="I61" s="9">
        <f>SUM(I57:I60)*0.3</f>
        <v>6272.7634892386868</v>
      </c>
      <c r="J61" s="151">
        <f>I61+H61</f>
        <v>8985.3968422881571</v>
      </c>
      <c r="K61" s="41">
        <f>SUM(K57:K60)*0.1</f>
        <v>2478.4507229266646</v>
      </c>
      <c r="L61" s="9">
        <f>SUM(L57:L60)*0.3</f>
        <v>5731.2335215425892</v>
      </c>
      <c r="M61" s="151">
        <f>L61+K61</f>
        <v>8209.6842444692538</v>
      </c>
      <c r="N61" s="152"/>
      <c r="O61" s="153">
        <f>M61+J61</f>
        <v>17195.081086757411</v>
      </c>
      <c r="P61" s="158"/>
    </row>
    <row r="62" spans="3:16" x14ac:dyDescent="0.25">
      <c r="C62" s="10" t="s">
        <v>74</v>
      </c>
      <c r="D62" s="11"/>
      <c r="E62" s="11"/>
      <c r="F62" s="11"/>
      <c r="G62" s="11"/>
      <c r="H62" s="11"/>
      <c r="I62" s="11"/>
      <c r="J62" s="11"/>
      <c r="K62" s="11"/>
      <c r="L62" s="11"/>
      <c r="M62" s="11"/>
      <c r="N62" s="11"/>
      <c r="O62" s="12"/>
    </row>
    <row r="63" spans="3:16" x14ac:dyDescent="0.25">
      <c r="C63" s="3" t="s">
        <v>31</v>
      </c>
      <c r="H63" s="32"/>
      <c r="I63" s="42"/>
      <c r="J63" s="162"/>
      <c r="K63" s="43"/>
      <c r="L63" s="42"/>
      <c r="M63" s="162"/>
      <c r="N63" s="182">
        <f>N54-N39</f>
        <v>202841.93548387091</v>
      </c>
      <c r="O63" s="210">
        <f>N63</f>
        <v>202841.93548387091</v>
      </c>
    </row>
    <row r="64" spans="3:16" x14ac:dyDescent="0.25">
      <c r="C64" s="101" t="s">
        <v>32</v>
      </c>
      <c r="D64" s="11"/>
      <c r="E64" s="11"/>
      <c r="F64" s="11"/>
      <c r="G64" s="11"/>
      <c r="H64" s="11"/>
      <c r="I64" s="11"/>
      <c r="J64" s="11"/>
      <c r="K64" s="11"/>
      <c r="L64" s="11"/>
      <c r="M64" s="11"/>
      <c r="N64" s="11"/>
      <c r="O64" s="12"/>
    </row>
    <row r="65" spans="1:16" x14ac:dyDescent="0.25">
      <c r="A65" s="102" t="s">
        <v>69</v>
      </c>
      <c r="B65" s="103"/>
      <c r="C65" s="26"/>
      <c r="D65" s="4"/>
      <c r="E65" s="4"/>
      <c r="F65" s="4"/>
      <c r="G65" s="4"/>
      <c r="H65" s="156"/>
      <c r="I65" s="157"/>
      <c r="J65" s="193"/>
      <c r="K65" s="156"/>
      <c r="L65" s="157"/>
      <c r="M65" s="193"/>
      <c r="N65" s="212"/>
      <c r="O65" s="184">
        <f>N65+M65+J65</f>
        <v>0</v>
      </c>
    </row>
    <row r="66" spans="1:16" x14ac:dyDescent="0.25">
      <c r="A66" s="102"/>
      <c r="B66" s="103"/>
      <c r="C66" s="154"/>
      <c r="D66" s="100"/>
      <c r="E66" s="100"/>
      <c r="F66" s="100"/>
      <c r="G66" s="100"/>
      <c r="H66" s="100"/>
      <c r="I66" s="100"/>
      <c r="J66" s="100"/>
      <c r="K66" s="100"/>
      <c r="L66" s="100"/>
      <c r="M66" s="100"/>
      <c r="N66" s="100"/>
      <c r="O66" s="155"/>
    </row>
    <row r="67" spans="1:16" ht="15.75" x14ac:dyDescent="0.25">
      <c r="C67" s="44" t="s">
        <v>68</v>
      </c>
      <c r="D67" s="45"/>
      <c r="E67" s="45"/>
      <c r="F67" s="46"/>
      <c r="G67" s="47"/>
      <c r="H67" s="48">
        <f>SUM(H56:H66)</f>
        <v>29838.966883544173</v>
      </c>
      <c r="I67" s="49">
        <f>SUM(I56:I66)</f>
        <v>27181.975120034309</v>
      </c>
      <c r="J67" s="194">
        <f>I67+H67</f>
        <v>57020.942003578486</v>
      </c>
      <c r="K67" s="48">
        <f t="shared" ref="K67:L67" si="26">SUM(K56:K66)</f>
        <v>42610.398881414883</v>
      </c>
      <c r="L67" s="49">
        <f t="shared" si="26"/>
        <v>36665.284975957635</v>
      </c>
      <c r="M67" s="194">
        <f>L67+K67</f>
        <v>79275.683857372525</v>
      </c>
      <c r="N67" s="213">
        <f>SUM(N56:N66)</f>
        <v>202841.93548387091</v>
      </c>
      <c r="O67" s="213">
        <f>SUM(O56:O66)</f>
        <v>339138.5613448217</v>
      </c>
      <c r="P67" s="158">
        <f>N67+M67+J67</f>
        <v>339138.56134482188</v>
      </c>
    </row>
    <row r="68" spans="1:16" ht="15.75" x14ac:dyDescent="0.25">
      <c r="A68" s="90"/>
      <c r="C68" s="50" t="s">
        <v>33</v>
      </c>
      <c r="D68" s="86">
        <f>O67</f>
        <v>339138.5613448217</v>
      </c>
      <c r="E68" s="139" t="s">
        <v>34</v>
      </c>
      <c r="F68" s="102"/>
      <c r="G68" s="102"/>
      <c r="H68" s="102"/>
      <c r="I68" s="102"/>
      <c r="J68" s="102"/>
      <c r="K68" s="102"/>
      <c r="L68" s="102"/>
      <c r="O68" s="52"/>
    </row>
    <row r="69" spans="1:16" ht="15.75" x14ac:dyDescent="0.25">
      <c r="C69" s="53"/>
      <c r="E69" s="102"/>
      <c r="F69" s="102"/>
      <c r="G69" s="102"/>
      <c r="H69" s="102"/>
      <c r="I69" s="102"/>
      <c r="J69" s="102"/>
      <c r="K69" s="102"/>
      <c r="L69" s="102"/>
      <c r="N69" s="87" t="s">
        <v>35</v>
      </c>
      <c r="O69" s="54"/>
    </row>
    <row r="70" spans="1:16" ht="15.75" x14ac:dyDescent="0.25">
      <c r="C70" s="53"/>
      <c r="D70" s="55"/>
      <c r="E70" s="55"/>
      <c r="F70" s="56"/>
      <c r="N70" s="57">
        <f>O70*365</f>
        <v>123735000</v>
      </c>
      <c r="O70" s="214">
        <f>ROUND(O67/1000,0)*1000</f>
        <v>339000</v>
      </c>
    </row>
    <row r="71" spans="1:16" ht="15.75" x14ac:dyDescent="0.25">
      <c r="C71" s="53"/>
      <c r="D71" s="59"/>
      <c r="E71" s="55"/>
      <c r="G71" s="60" t="s">
        <v>36</v>
      </c>
      <c r="N71" s="57"/>
      <c r="O71" s="58"/>
    </row>
    <row r="72" spans="1:16" x14ac:dyDescent="0.25">
      <c r="C72" s="61"/>
      <c r="H72" s="123" t="s">
        <v>37</v>
      </c>
      <c r="I72" s="123"/>
      <c r="J72" s="123"/>
      <c r="K72" s="123"/>
      <c r="L72" s="124"/>
      <c r="O72" s="52"/>
      <c r="P72" s="62" t="s">
        <v>38</v>
      </c>
    </row>
    <row r="73" spans="1:16" ht="15.75" x14ac:dyDescent="0.25">
      <c r="C73" s="61"/>
      <c r="H73" s="123"/>
      <c r="I73" s="123"/>
      <c r="J73" s="123"/>
      <c r="K73" s="123"/>
      <c r="L73" s="124"/>
      <c r="N73" s="57">
        <f>ROUND(9630000*O$54/O$41*$F$40/4/10000,0)*10000</f>
        <v>7490000</v>
      </c>
      <c r="O73" s="63">
        <f t="shared" ref="O73:O78" si="27">ROUND(N73/365/100,0)*100</f>
        <v>20500</v>
      </c>
      <c r="P73" s="64">
        <v>9630000</v>
      </c>
    </row>
    <row r="74" spans="1:16" ht="15.75" x14ac:dyDescent="0.25">
      <c r="C74" s="61"/>
      <c r="H74" s="65" t="s">
        <v>39</v>
      </c>
      <c r="I74" s="66"/>
      <c r="J74" s="66"/>
      <c r="K74" s="66"/>
      <c r="L74" s="66"/>
      <c r="N74" s="57">
        <f>ROUND(24000000*O$54/O$41*$F$40/4/10000,0)*10000</f>
        <v>18660000</v>
      </c>
      <c r="O74" s="63">
        <f t="shared" si="27"/>
        <v>51100</v>
      </c>
      <c r="P74" s="64">
        <v>24000000</v>
      </c>
    </row>
    <row r="75" spans="1:16" ht="15.75" x14ac:dyDescent="0.25">
      <c r="C75" s="61"/>
      <c r="H75" s="67" t="s">
        <v>40</v>
      </c>
      <c r="I75" s="66"/>
      <c r="J75" s="68"/>
      <c r="K75" s="68"/>
      <c r="L75" s="66"/>
      <c r="N75" s="57">
        <f>ROUND(8395000*O$54/O$41*$F$40/4/10000,0)*10000</f>
        <v>6530000</v>
      </c>
      <c r="O75" s="63">
        <f t="shared" si="27"/>
        <v>17900</v>
      </c>
      <c r="P75" s="64">
        <v>8395000</v>
      </c>
    </row>
    <row r="76" spans="1:16" ht="15.75" x14ac:dyDescent="0.25">
      <c r="C76" s="61"/>
      <c r="H76" s="67" t="s">
        <v>41</v>
      </c>
      <c r="I76" s="66"/>
      <c r="J76" s="68"/>
      <c r="K76" s="68"/>
      <c r="L76" s="66"/>
      <c r="N76" s="57">
        <f>ROUND(13450000*O$54/O$41*$F$40/4/10000,0)*10000</f>
        <v>10460000</v>
      </c>
      <c r="O76" s="63">
        <f t="shared" si="27"/>
        <v>28700</v>
      </c>
      <c r="P76" s="64">
        <v>13450000</v>
      </c>
    </row>
    <row r="77" spans="1:16" ht="15.75" x14ac:dyDescent="0.25">
      <c r="C77" s="61"/>
      <c r="H77" s="67" t="s">
        <v>42</v>
      </c>
      <c r="I77" s="66"/>
      <c r="J77" s="68"/>
      <c r="K77" s="68"/>
      <c r="L77" s="66"/>
      <c r="N77" s="57">
        <v>19650000</v>
      </c>
      <c r="O77" s="63">
        <f t="shared" si="27"/>
        <v>53800</v>
      </c>
      <c r="P77" s="64">
        <v>19650000</v>
      </c>
    </row>
    <row r="78" spans="1:16" ht="15.75" x14ac:dyDescent="0.25">
      <c r="C78" s="61"/>
      <c r="H78" s="69"/>
      <c r="I78" s="70" t="s">
        <v>43</v>
      </c>
      <c r="J78" s="68"/>
      <c r="K78" s="68"/>
      <c r="L78" s="66"/>
      <c r="N78" s="71">
        <f>SUM(N70:N77)</f>
        <v>186525000</v>
      </c>
      <c r="O78" s="72">
        <f t="shared" si="27"/>
        <v>511000</v>
      </c>
      <c r="P78" s="64"/>
    </row>
    <row r="79" spans="1:16" ht="15.75" x14ac:dyDescent="0.25">
      <c r="C79" s="61"/>
      <c r="H79" s="69" t="s">
        <v>44</v>
      </c>
      <c r="I79" s="66"/>
      <c r="J79" s="68"/>
      <c r="K79" s="68"/>
      <c r="L79" s="66"/>
      <c r="N79" s="57"/>
      <c r="O79" s="63"/>
      <c r="P79" s="64"/>
    </row>
    <row r="80" spans="1:16" ht="18" x14ac:dyDescent="0.25">
      <c r="C80" s="61"/>
      <c r="H80" s="69" t="s">
        <v>45</v>
      </c>
      <c r="I80" s="66"/>
      <c r="J80" s="68"/>
      <c r="K80" s="68"/>
      <c r="L80" s="66"/>
      <c r="N80" s="57">
        <f>ROUND(27400000*O$54/O$41*$F$40/4/10000,0)*10000</f>
        <v>21300000</v>
      </c>
      <c r="O80" s="63">
        <f>ROUND(N80/365/100,0)*100</f>
        <v>58400</v>
      </c>
      <c r="P80" s="64">
        <v>27400000</v>
      </c>
    </row>
    <row r="81" spans="3:16" ht="15.75" x14ac:dyDescent="0.25">
      <c r="C81" s="61"/>
      <c r="H81" s="69" t="s">
        <v>46</v>
      </c>
      <c r="I81" s="69"/>
      <c r="J81" s="69"/>
      <c r="K81" s="69"/>
      <c r="N81" s="57">
        <f>ROUND(52000000*O$54/O$41*$F$40/4/10000,0)*10000</f>
        <v>40430000</v>
      </c>
      <c r="O81" s="63">
        <f>ROUND(N81/365/100,0)*100</f>
        <v>110800</v>
      </c>
      <c r="P81" s="64">
        <v>52000000</v>
      </c>
    </row>
    <row r="82" spans="3:16" ht="15.75" x14ac:dyDescent="0.25">
      <c r="C82" s="61"/>
      <c r="H82" s="73"/>
      <c r="I82" s="74" t="s">
        <v>47</v>
      </c>
      <c r="J82" s="73"/>
      <c r="K82" s="73"/>
      <c r="L82" s="51"/>
      <c r="N82" s="75">
        <f>SUM(N78:N81)</f>
        <v>248255000</v>
      </c>
      <c r="O82" s="72">
        <f>SUM(O70:O81)</f>
        <v>1191200</v>
      </c>
      <c r="P82" s="76">
        <f>N82/365</f>
        <v>680150.68493150687</v>
      </c>
    </row>
    <row r="83" spans="3:16" ht="16.5" thickBot="1" x14ac:dyDescent="0.3">
      <c r="C83" s="77"/>
      <c r="D83" s="78"/>
      <c r="E83" s="78"/>
      <c r="F83" s="78"/>
      <c r="G83" s="78"/>
      <c r="H83" s="79"/>
      <c r="I83" s="79"/>
      <c r="J83" s="79"/>
      <c r="K83" s="79"/>
      <c r="L83" s="80"/>
      <c r="M83" s="81"/>
      <c r="N83" s="82"/>
      <c r="O83" s="83"/>
      <c r="P83" s="84"/>
    </row>
  </sheetData>
  <mergeCells count="21">
    <mergeCell ref="D2:N3"/>
    <mergeCell ref="C6:G8"/>
    <mergeCell ref="H6:M6"/>
    <mergeCell ref="N6:N8"/>
    <mergeCell ref="O6:O8"/>
    <mergeCell ref="H7:J7"/>
    <mergeCell ref="K7:M7"/>
    <mergeCell ref="C14:O15"/>
    <mergeCell ref="H72:L73"/>
    <mergeCell ref="C38:O38"/>
    <mergeCell ref="C43:O44"/>
    <mergeCell ref="C48:O48"/>
    <mergeCell ref="C53:O53"/>
    <mergeCell ref="E68:L69"/>
    <mergeCell ref="A65:B66"/>
    <mergeCell ref="C32:G34"/>
    <mergeCell ref="H32:M32"/>
    <mergeCell ref="N32:N34"/>
    <mergeCell ref="O32:O34"/>
    <mergeCell ref="H33:J33"/>
    <mergeCell ref="K33:M33"/>
  </mergeCells>
  <pageMargins left="0.7" right="0.7" top="0.75" bottom="0.75" header="0.3" footer="0.3"/>
  <ignoredErrors>
    <ignoredError sqref="I41:N41 O57 J16:M16 J67:M67 J19 O11 J59" formula="1"/>
  </ignoredErrors>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Stillich</dc:creator>
  <cp:lastModifiedBy>John Stillich</cp:lastModifiedBy>
  <dcterms:created xsi:type="dcterms:W3CDTF">2026-02-10T23:46:03Z</dcterms:created>
  <dcterms:modified xsi:type="dcterms:W3CDTF">2026-02-13T17:18:58Z</dcterms:modified>
</cp:coreProperties>
</file>