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3210821-my.sharepoint.com/personal/carial_clearwaterfinancial_biz/Documents/aClearwater Financial/Clients/dOther/Eastern Idaho Regional Sewer District/Projects/Financing/2024 Bond Issuance/Rating/"/>
    </mc:Choice>
  </mc:AlternateContent>
  <xr:revisionPtr revIDLastSave="1646" documentId="8_{48E4AF05-CE64-4EA7-A54C-35149435EA2A}" xr6:coauthVersionLast="47" xr6:coauthVersionMax="47" xr10:uidLastSave="{494BEC79-3DE0-499D-886F-54B8A58A6BEC}"/>
  <bookViews>
    <workbookView xWindow="-108" yWindow="-108" windowWidth="23256" windowHeight="12456" firstSheet="4" activeTab="9" xr2:uid="{7F9B763A-12B8-4051-B902-9737FEB5FFF5}"/>
  </bookViews>
  <sheets>
    <sheet name="Project Overview" sheetId="9" r:id="rId1"/>
    <sheet name="Historical Financial Info" sheetId="8" r:id="rId2"/>
    <sheet name="Inputs" sheetId="1" r:id="rId3"/>
    <sheet name="Debt Profile" sheetId="13" r:id="rId4"/>
    <sheet name="ERU Forecast" sheetId="3" r:id="rId5"/>
    <sheet name="Capacity" sheetId="6" r:id="rId6"/>
    <sheet name="ERU Sum by Month" sheetId="4" r:id="rId7"/>
    <sheet name="Const cost summary" sheetId="10" r:id="rId8"/>
    <sheet name="Const cost" sheetId="11" r:id="rId9"/>
    <sheet name="fromGSE" sheetId="12" r:id="rId10"/>
  </sheets>
  <externalReferences>
    <externalReference r:id="rId11"/>
    <externalReference r:id="rId12"/>
    <externalReference r:id="rId13"/>
  </externalReferences>
  <definedNames>
    <definedName name="_Order1" hidden="1">255</definedName>
    <definedName name="chadjrev">OFFSET([1]Charts!$C$91:$V$91,0,[1]Charts!$C$99,1,[1]Charts!$C$100)</definedName>
    <definedName name="chcip">OFFSET([1]Charts!$C$68:$O$68,0,[1]Charts!$C$99,1,[1]Charts!$C$100)</definedName>
    <definedName name="chcipg">OFFSET([2]Charts!$C$77:$O$77,0,[2]Charts!$C$105,1,[2]Charts!$C$106)</definedName>
    <definedName name="chcipi">OFFSET('[2]CIP Input'!$AR$167:$AY$167,0,'[2]CIP Input'!$D$205,1,'[2]CIP Input'!$D$206)</definedName>
    <definedName name="chcipr">OFFSET([2]Charts!$C$78:$O$78,0,[2]Charts!$C$105,1,[2]Charts!$C$106)</definedName>
    <definedName name="chcipyear">OFFSET('[2]CIP Input'!$AR$8:$AY$8,0,'[2]CIP Input'!$D$205,1,'[2]CIP Input'!$D$206)</definedName>
    <definedName name="chcov">OFFSET([2]Charts!$C$74:$O$74,0,[2]Charts!$C$105,1,[2]Charts!$C$106)</definedName>
    <definedName name="chcovmin">OFFSET([2]Charts!$C$75:$O$75,0,[2]Charts!$C$105,1,[2]Charts!$C$106)</definedName>
    <definedName name="chcurrev">OFFSET([1]Charts!$C$90:$V$90,0,[1]Charts!$C$99,1,[1]Charts!$C$100)</definedName>
    <definedName name="ched">OFFSET([2]Charts!$C$87:$J$87,0,[2]Charts!$C$105,1,[2]Charts!$C$106)</definedName>
    <definedName name="chendc">OFFSET([2]Charts!$C$81:$O$81,0,[2]Charts!$C$105,1,[2]Charts!$C$106)</definedName>
    <definedName name="chendo">OFFSET([2]Charts!$C$80:$O$80,0,[2]Charts!$C$105,1,[2]Charts!$C$106)</definedName>
    <definedName name="chnd">OFFSET([2]Charts!$C$88:$J$88,0,[2]Charts!$C$105,1,[2]Charts!$C$106)</definedName>
    <definedName name="chom">OFFSET([2]Charts!$C$86:$J$86,0,[2]Charts!$C$105,1,[2]Charts!$C$106)</definedName>
    <definedName name="chresbill">OFFSET([2]Charts!$C$72:$O$72,0,[2]Charts!$C$105,1,[2]Charts!$C$106)</definedName>
    <definedName name="chrevreq">OFFSET([1]Charts!$C$89:$V$89,0,[1]Charts!$C$99,1,[1]Charts!$C$100)</definedName>
    <definedName name="chsr">OFFSET([2]Charts!$C$89:$J$89,0,[2]Charts!$C$105,1,[2]Charts!$C$106)</definedName>
    <definedName name="chyear">OFFSET([2]Charts!$C$71:$J$71,0,[2]Charts!$C$105,1,[2]Charts!$C$106)</definedName>
    <definedName name="InflatedCIP">OFFSET([3]CIP!$E$180,[3]CIP!$D$219,0,[3]CIP!$D$220,1)</definedName>
    <definedName name="_xlnm.Print_Area" localSheetId="8">'Const cost'!$A$1:$T$52</definedName>
    <definedName name="_xlnm.Print_Area" localSheetId="7">'Const cost summary'!$A$3:$I$31</definedName>
    <definedName name="_xlnm.Print_Area" localSheetId="4">'ERU Forecast'!$A$3:$AM$60</definedName>
    <definedName name="_xlnm.Print_Area" localSheetId="6">'ERU Sum by Month'!$A$2:$J$26</definedName>
    <definedName name="_xlnm.Print_Area" localSheetId="1">'Historical Financial Info'!$A$3:$AF$65</definedName>
    <definedName name="_xlnm.Print_Area" localSheetId="2">Inputs!$A$3:$E$17</definedName>
    <definedName name="wrn.Study._.Results." hidden="1">{"Summary","Optimized, Case 1",TRUE,"Results";"Summary","Optimized, Case 2",TRUE,"Results";"Summary","Optimized, Case 3",TRUE,"Results";"Summary","Optimized, Case 4",TRUE,"Results";"Summary","Optimized, Case 5",TRUE,"Results";"Summary","non-Optimized, Case 1",TRUE,"Results";"Summary","non-Optimized, Case 2",TRUE,"Results";"Summary","non-Optimized, Case 3",TRUE,"Results";"Summary","non-Optimized, Case 4",TRUE,"Results";"Summary","non-Optimized, Case 5",TRUE,"Results"}</definedName>
    <definedName name="wrn.Study._.Results.1" hidden="1">{"Summary","Optimized, Case 1",TRUE,"Results";"Summary","Optimized, Case 2",TRUE,"Results";"Summary","Optimized, Case 3",TRUE,"Results";"Summary","Optimized, Case 4",TRUE,"Results";"Summary","Optimized, Case 5",TRUE,"Results";"Summary","non-Optimized, Case 1",TRUE,"Results";"Summary","non-Optimized, Case 2",TRUE,"Results";"Summary","non-Optimized, Case 3",TRUE,"Results";"Summary","non-Optimized, Case 4",TRUE,"Results";"Summary","non-Optimized, Case 5",TRUE,"Results"}</definedName>
    <definedName name="Years">OFFSET(#REF!,#REF!,0,#REF!,1)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9" l="1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D18" i="9"/>
  <c r="E18" i="9"/>
  <c r="E27" i="9" s="1"/>
  <c r="F18" i="9"/>
  <c r="G18" i="9"/>
  <c r="H18" i="9"/>
  <c r="C18" i="9"/>
  <c r="C27" i="9" s="1"/>
  <c r="D27" i="9" l="1"/>
  <c r="F27" i="9"/>
  <c r="G27" i="9"/>
  <c r="E14" i="10"/>
  <c r="D47" i="9"/>
  <c r="E47" i="9"/>
  <c r="F47" i="9"/>
  <c r="G47" i="9"/>
  <c r="C47" i="9"/>
  <c r="D46" i="9"/>
  <c r="E46" i="9"/>
  <c r="F46" i="9"/>
  <c r="G46" i="9"/>
  <c r="C46" i="9"/>
  <c r="D45" i="9"/>
  <c r="E45" i="9"/>
  <c r="F45" i="9"/>
  <c r="G45" i="9"/>
  <c r="C45" i="9"/>
  <c r="G31" i="9"/>
  <c r="D31" i="9"/>
  <c r="E31" i="9"/>
  <c r="F31" i="9"/>
  <c r="D32" i="9"/>
  <c r="E32" i="9"/>
  <c r="F32" i="9"/>
  <c r="G32" i="9"/>
  <c r="C32" i="9"/>
  <c r="C31" i="9"/>
  <c r="F48" i="9" l="1"/>
  <c r="E48" i="9"/>
  <c r="C33" i="9"/>
  <c r="D48" i="9"/>
  <c r="G33" i="9"/>
  <c r="E33" i="9"/>
  <c r="D33" i="9"/>
  <c r="C48" i="9"/>
  <c r="G48" i="9"/>
  <c r="F33" i="9"/>
  <c r="H22" i="8" l="1"/>
  <c r="F22" i="8"/>
  <c r="C22" i="8"/>
  <c r="D22" i="8"/>
  <c r="E22" i="8"/>
  <c r="B22" i="8"/>
  <c r="B21" i="1"/>
  <c r="E55" i="3"/>
  <c r="E56" i="3" s="1"/>
  <c r="G69" i="9"/>
  <c r="U4" i="13"/>
  <c r="U7" i="13" s="1"/>
  <c r="V4" i="13"/>
  <c r="V7" i="13" s="1"/>
  <c r="W4" i="13"/>
  <c r="W7" i="13" s="1"/>
  <c r="X4" i="13"/>
  <c r="X7" i="13" s="1"/>
  <c r="Y4" i="13"/>
  <c r="Y7" i="13" s="1"/>
  <c r="Z4" i="13"/>
  <c r="Z7" i="13" s="1"/>
  <c r="AA4" i="13"/>
  <c r="AA7" i="13" s="1"/>
  <c r="AB4" i="13"/>
  <c r="AB7" i="13" s="1"/>
  <c r="AC4" i="13"/>
  <c r="AC7" i="13" s="1"/>
  <c r="AD4" i="13"/>
  <c r="AD7" i="13" s="1"/>
  <c r="AE4" i="13"/>
  <c r="AE7" i="13" s="1"/>
  <c r="N5" i="13"/>
  <c r="O5" i="13"/>
  <c r="P5" i="13"/>
  <c r="Q5" i="13"/>
  <c r="R5" i="13"/>
  <c r="S5" i="13"/>
  <c r="T5" i="13"/>
  <c r="N4" i="13"/>
  <c r="N7" i="13" s="1"/>
  <c r="O4" i="13"/>
  <c r="O7" i="13" s="1"/>
  <c r="P4" i="13"/>
  <c r="Q4" i="13"/>
  <c r="R4" i="13"/>
  <c r="S4" i="13"/>
  <c r="T4" i="13"/>
  <c r="C5" i="13"/>
  <c r="D5" i="13"/>
  <c r="E5" i="13"/>
  <c r="F5" i="13"/>
  <c r="G5" i="13"/>
  <c r="H5" i="13"/>
  <c r="I5" i="13"/>
  <c r="J5" i="13"/>
  <c r="K5" i="13"/>
  <c r="L5" i="13"/>
  <c r="M5" i="13"/>
  <c r="C4" i="13"/>
  <c r="D4" i="13"/>
  <c r="E4" i="13"/>
  <c r="F4" i="13"/>
  <c r="G4" i="13"/>
  <c r="H4" i="13"/>
  <c r="I4" i="13"/>
  <c r="J4" i="13"/>
  <c r="K4" i="13"/>
  <c r="L4" i="13"/>
  <c r="L7" i="13" s="1"/>
  <c r="M4" i="13"/>
  <c r="M7" i="13" s="1"/>
  <c r="B4" i="13"/>
  <c r="B5" i="13"/>
  <c r="F28" i="9"/>
  <c r="F29" i="9" s="1"/>
  <c r="B17" i="8"/>
  <c r="F13" i="8"/>
  <c r="L4" i="9"/>
  <c r="L5" i="9"/>
  <c r="N43" i="12"/>
  <c r="O43" i="12" s="1"/>
  <c r="N42" i="12"/>
  <c r="O42" i="12" s="1"/>
  <c r="N41" i="12"/>
  <c r="O41" i="12" s="1"/>
  <c r="N40" i="12"/>
  <c r="O40" i="12" s="1"/>
  <c r="N39" i="12"/>
  <c r="O39" i="12" s="1"/>
  <c r="N38" i="12"/>
  <c r="O38" i="12" s="1"/>
  <c r="N37" i="12"/>
  <c r="O37" i="12" s="1"/>
  <c r="N36" i="12"/>
  <c r="O36" i="12" s="1"/>
  <c r="N35" i="12"/>
  <c r="O35" i="12" s="1"/>
  <c r="N34" i="12"/>
  <c r="O34" i="12" s="1"/>
  <c r="N33" i="12"/>
  <c r="O33" i="12" s="1"/>
  <c r="N32" i="12"/>
  <c r="O32" i="12" s="1"/>
  <c r="N31" i="12"/>
  <c r="O31" i="12" s="1"/>
  <c r="N30" i="12"/>
  <c r="O30" i="12" s="1"/>
  <c r="N29" i="12"/>
  <c r="O29" i="12" s="1"/>
  <c r="N28" i="12"/>
  <c r="O28" i="12" s="1"/>
  <c r="N27" i="12"/>
  <c r="O27" i="12" s="1"/>
  <c r="N26" i="12"/>
  <c r="O26" i="12" s="1"/>
  <c r="N25" i="12"/>
  <c r="O25" i="12" s="1"/>
  <c r="C25" i="12"/>
  <c r="N24" i="12"/>
  <c r="O24" i="12" s="1"/>
  <c r="O23" i="12"/>
  <c r="N23" i="12"/>
  <c r="N22" i="12"/>
  <c r="O22" i="12" s="1"/>
  <c r="O21" i="12"/>
  <c r="N21" i="12"/>
  <c r="O20" i="12"/>
  <c r="N20" i="12"/>
  <c r="O19" i="12"/>
  <c r="N19" i="12"/>
  <c r="N18" i="12"/>
  <c r="O18" i="12" s="1"/>
  <c r="O17" i="12"/>
  <c r="N17" i="12"/>
  <c r="O16" i="12"/>
  <c r="N16" i="12"/>
  <c r="O15" i="12"/>
  <c r="N15" i="12"/>
  <c r="O14" i="12"/>
  <c r="N14" i="12"/>
  <c r="C9" i="12"/>
  <c r="C7" i="12"/>
  <c r="C51" i="11"/>
  <c r="N50" i="11"/>
  <c r="O50" i="11" s="1"/>
  <c r="M50" i="11"/>
  <c r="Q49" i="11"/>
  <c r="M49" i="11"/>
  <c r="L49" i="11"/>
  <c r="J49" i="11"/>
  <c r="R48" i="11"/>
  <c r="Q48" i="11"/>
  <c r="M48" i="11"/>
  <c r="L48" i="11"/>
  <c r="J48" i="11"/>
  <c r="Q47" i="11"/>
  <c r="M47" i="11"/>
  <c r="L47" i="11"/>
  <c r="J47" i="11"/>
  <c r="Q46" i="11"/>
  <c r="R46" i="11" s="1"/>
  <c r="M46" i="11"/>
  <c r="L46" i="11"/>
  <c r="J46" i="11"/>
  <c r="Q45" i="11"/>
  <c r="M45" i="11"/>
  <c r="L45" i="11"/>
  <c r="J45" i="11"/>
  <c r="Q44" i="11"/>
  <c r="R44" i="11" s="1"/>
  <c r="M44" i="11"/>
  <c r="L44" i="11"/>
  <c r="J44" i="11"/>
  <c r="Q43" i="11"/>
  <c r="M43" i="11"/>
  <c r="L43" i="11"/>
  <c r="J43" i="11"/>
  <c r="Q42" i="11"/>
  <c r="R42" i="11" s="1"/>
  <c r="M42" i="11"/>
  <c r="L42" i="11"/>
  <c r="J42" i="11"/>
  <c r="Q41" i="11"/>
  <c r="M41" i="11"/>
  <c r="L41" i="11"/>
  <c r="J41" i="11"/>
  <c r="Q40" i="11"/>
  <c r="R40" i="11" s="1"/>
  <c r="M40" i="11"/>
  <c r="L40" i="11"/>
  <c r="J40" i="11"/>
  <c r="Q39" i="11"/>
  <c r="M39" i="11"/>
  <c r="L39" i="11"/>
  <c r="J39" i="11"/>
  <c r="Q38" i="11"/>
  <c r="R38" i="11" s="1"/>
  <c r="M38" i="11"/>
  <c r="L38" i="11"/>
  <c r="J38" i="11"/>
  <c r="Q37" i="11"/>
  <c r="M37" i="11"/>
  <c r="L37" i="11"/>
  <c r="J37" i="11"/>
  <c r="Q36" i="11"/>
  <c r="R36" i="11" s="1"/>
  <c r="M36" i="11"/>
  <c r="L36" i="11"/>
  <c r="J36" i="11"/>
  <c r="Q35" i="11"/>
  <c r="M35" i="11"/>
  <c r="L35" i="11"/>
  <c r="J35" i="11"/>
  <c r="Q34" i="11"/>
  <c r="R34" i="11" s="1"/>
  <c r="M34" i="11"/>
  <c r="L34" i="11"/>
  <c r="J34" i="11"/>
  <c r="Q33" i="11"/>
  <c r="M33" i="11"/>
  <c r="L33" i="11"/>
  <c r="J33" i="11"/>
  <c r="Q32" i="11"/>
  <c r="R32" i="11" s="1"/>
  <c r="M32" i="11"/>
  <c r="L32" i="11"/>
  <c r="J32" i="11"/>
  <c r="Q31" i="11"/>
  <c r="M31" i="11"/>
  <c r="L31" i="11"/>
  <c r="J31" i="11"/>
  <c r="Q30" i="11"/>
  <c r="R30" i="11" s="1"/>
  <c r="M30" i="11"/>
  <c r="L30" i="11"/>
  <c r="J30" i="11"/>
  <c r="Q29" i="11"/>
  <c r="M29" i="11"/>
  <c r="L29" i="11"/>
  <c r="J29" i="11"/>
  <c r="Q28" i="11"/>
  <c r="R28" i="11" s="1"/>
  <c r="M28" i="11"/>
  <c r="L28" i="11"/>
  <c r="J28" i="11"/>
  <c r="Q27" i="11"/>
  <c r="M27" i="11"/>
  <c r="L27" i="11"/>
  <c r="J27" i="11"/>
  <c r="E27" i="11"/>
  <c r="D27" i="11"/>
  <c r="B27" i="11"/>
  <c r="Q26" i="11"/>
  <c r="L26" i="11"/>
  <c r="J26" i="11"/>
  <c r="E26" i="11"/>
  <c r="D26" i="11"/>
  <c r="Q25" i="11"/>
  <c r="L25" i="11"/>
  <c r="J25" i="11"/>
  <c r="E25" i="11"/>
  <c r="D25" i="11"/>
  <c r="B25" i="11"/>
  <c r="M25" i="11" s="1"/>
  <c r="R24" i="11"/>
  <c r="Q24" i="11"/>
  <c r="L24" i="11"/>
  <c r="J24" i="11"/>
  <c r="E24" i="11"/>
  <c r="D24" i="11"/>
  <c r="Q23" i="11"/>
  <c r="R23" i="11" s="1"/>
  <c r="L23" i="11"/>
  <c r="J23" i="11"/>
  <c r="E23" i="11"/>
  <c r="D23" i="11"/>
  <c r="Q22" i="11"/>
  <c r="L22" i="11"/>
  <c r="J22" i="11"/>
  <c r="E22" i="11"/>
  <c r="D22" i="11"/>
  <c r="Q21" i="11"/>
  <c r="L21" i="11"/>
  <c r="J21" i="11"/>
  <c r="E21" i="11"/>
  <c r="D21" i="11"/>
  <c r="Q20" i="11"/>
  <c r="M20" i="11"/>
  <c r="L20" i="11"/>
  <c r="L51" i="11" s="1"/>
  <c r="J20" i="11"/>
  <c r="J51" i="11" s="1"/>
  <c r="E20" i="11"/>
  <c r="D20" i="11"/>
  <c r="B20" i="11"/>
  <c r="Q19" i="11"/>
  <c r="N19" i="11"/>
  <c r="F19" i="11"/>
  <c r="E19" i="11"/>
  <c r="D19" i="11"/>
  <c r="Q18" i="11"/>
  <c r="N18" i="11"/>
  <c r="F18" i="11"/>
  <c r="E18" i="11"/>
  <c r="D18" i="11"/>
  <c r="B18" i="11"/>
  <c r="M18" i="11" s="1"/>
  <c r="O18" i="11" s="1"/>
  <c r="Q17" i="11"/>
  <c r="R17" i="11" s="1"/>
  <c r="N17" i="11"/>
  <c r="F17" i="11"/>
  <c r="E17" i="11"/>
  <c r="D17" i="11"/>
  <c r="B17" i="11"/>
  <c r="M17" i="11" s="1"/>
  <c r="O17" i="11" s="1"/>
  <c r="Q16" i="11"/>
  <c r="N16" i="11"/>
  <c r="F16" i="11"/>
  <c r="E16" i="11"/>
  <c r="D16" i="11"/>
  <c r="Q15" i="11"/>
  <c r="N15" i="11"/>
  <c r="F15" i="11"/>
  <c r="F51" i="11" s="1"/>
  <c r="E15" i="11"/>
  <c r="D15" i="11"/>
  <c r="B15" i="11"/>
  <c r="M15" i="11" s="1"/>
  <c r="O15" i="11" s="1"/>
  <c r="Q14" i="11"/>
  <c r="P14" i="11"/>
  <c r="P55" i="11" s="1"/>
  <c r="N14" i="11"/>
  <c r="H14" i="11"/>
  <c r="H51" i="11" s="1"/>
  <c r="E14" i="11"/>
  <c r="E51" i="11" s="1"/>
  <c r="D14" i="11"/>
  <c r="D51" i="11" s="1"/>
  <c r="B14" i="11"/>
  <c r="N13" i="11"/>
  <c r="M13" i="11"/>
  <c r="O13" i="11" s="1"/>
  <c r="O12" i="11"/>
  <c r="N12" i="11"/>
  <c r="M12" i="11"/>
  <c r="N11" i="11"/>
  <c r="M11" i="11"/>
  <c r="L8" i="11"/>
  <c r="J8" i="11"/>
  <c r="H8" i="11"/>
  <c r="G8" i="11"/>
  <c r="G15" i="11" s="1"/>
  <c r="G51" i="11" s="1"/>
  <c r="F8" i="11"/>
  <c r="B35" i="10" s="1"/>
  <c r="E8" i="11"/>
  <c r="D8" i="11"/>
  <c r="C8" i="11"/>
  <c r="B8" i="11"/>
  <c r="B22" i="11" s="1"/>
  <c r="M22" i="11" s="1"/>
  <c r="Q7" i="11"/>
  <c r="R26" i="11" s="1"/>
  <c r="C75" i="10"/>
  <c r="B74" i="10"/>
  <c r="C74" i="10" s="1"/>
  <c r="C73" i="10"/>
  <c r="E57" i="10"/>
  <c r="C56" i="10"/>
  <c r="D56" i="10" s="1"/>
  <c r="G55" i="10"/>
  <c r="D55" i="10"/>
  <c r="F55" i="10" s="1"/>
  <c r="H54" i="10"/>
  <c r="G54" i="10"/>
  <c r="F54" i="10"/>
  <c r="I54" i="10" s="1"/>
  <c r="D54" i="10"/>
  <c r="F53" i="10"/>
  <c r="D53" i="10"/>
  <c r="H52" i="10"/>
  <c r="I52" i="10" s="1"/>
  <c r="G52" i="10"/>
  <c r="F52" i="10"/>
  <c r="D52" i="10"/>
  <c r="D51" i="10"/>
  <c r="H50" i="10"/>
  <c r="I50" i="10" s="1"/>
  <c r="G50" i="10"/>
  <c r="F50" i="10"/>
  <c r="H49" i="10"/>
  <c r="G49" i="10"/>
  <c r="F49" i="10"/>
  <c r="I49" i="10" s="1"/>
  <c r="D49" i="10"/>
  <c r="F48" i="10"/>
  <c r="D48" i="10"/>
  <c r="I47" i="10"/>
  <c r="O46" i="10"/>
  <c r="H46" i="10"/>
  <c r="G46" i="10"/>
  <c r="F46" i="10"/>
  <c r="I46" i="10" s="1"/>
  <c r="C46" i="10"/>
  <c r="O45" i="10"/>
  <c r="H45" i="10"/>
  <c r="G45" i="10"/>
  <c r="F45" i="10"/>
  <c r="I45" i="10" s="1"/>
  <c r="B45" i="10"/>
  <c r="C45" i="10" s="1"/>
  <c r="O44" i="10"/>
  <c r="H44" i="10"/>
  <c r="G44" i="10"/>
  <c r="F44" i="10"/>
  <c r="I44" i="10" s="1"/>
  <c r="B44" i="10"/>
  <c r="C44" i="10" s="1"/>
  <c r="Q43" i="10"/>
  <c r="O43" i="10"/>
  <c r="I43" i="10"/>
  <c r="U43" i="10" s="1"/>
  <c r="H43" i="10"/>
  <c r="G43" i="10"/>
  <c r="F43" i="10"/>
  <c r="B43" i="10"/>
  <c r="C43" i="10" s="1"/>
  <c r="Q42" i="10"/>
  <c r="O42" i="10"/>
  <c r="H42" i="10"/>
  <c r="G42" i="10"/>
  <c r="F42" i="10"/>
  <c r="I42" i="10" s="1"/>
  <c r="B42" i="10"/>
  <c r="C42" i="10" s="1"/>
  <c r="I41" i="10"/>
  <c r="H41" i="10"/>
  <c r="G41" i="10"/>
  <c r="F41" i="10"/>
  <c r="B41" i="10"/>
  <c r="U40" i="10"/>
  <c r="S40" i="10"/>
  <c r="O40" i="10"/>
  <c r="O57" i="10" s="1"/>
  <c r="H40" i="10"/>
  <c r="G40" i="10"/>
  <c r="F40" i="10"/>
  <c r="I40" i="10" s="1"/>
  <c r="B40" i="10"/>
  <c r="C40" i="10" s="1"/>
  <c r="B28" i="10"/>
  <c r="C22" i="10"/>
  <c r="B14" i="10"/>
  <c r="C7" i="10"/>
  <c r="C6" i="10"/>
  <c r="C14" i="10" s="1"/>
  <c r="C30" i="10" s="1"/>
  <c r="R7" i="13" l="1"/>
  <c r="Q7" i="13"/>
  <c r="K7" i="13"/>
  <c r="P7" i="13"/>
  <c r="J7" i="13"/>
  <c r="T7" i="13"/>
  <c r="S7" i="13"/>
  <c r="I7" i="13"/>
  <c r="L6" i="9"/>
  <c r="L8" i="9" s="1"/>
  <c r="M51" i="11"/>
  <c r="W42" i="10"/>
  <c r="U42" i="10"/>
  <c r="S42" i="10"/>
  <c r="S45" i="10"/>
  <c r="U45" i="10"/>
  <c r="U57" i="10" s="1"/>
  <c r="W45" i="10"/>
  <c r="Q45" i="10"/>
  <c r="H56" i="10"/>
  <c r="G56" i="10"/>
  <c r="F56" i="10"/>
  <c r="I56" i="10" s="1"/>
  <c r="C57" i="10"/>
  <c r="W40" i="10"/>
  <c r="Q40" i="10"/>
  <c r="T13" i="11"/>
  <c r="S57" i="10"/>
  <c r="B51" i="11"/>
  <c r="U44" i="10"/>
  <c r="S44" i="10"/>
  <c r="Q44" i="10"/>
  <c r="W44" i="10"/>
  <c r="F57" i="10"/>
  <c r="D57" i="10"/>
  <c r="I6" i="11" s="1"/>
  <c r="I8" i="11" s="1"/>
  <c r="O11" i="11"/>
  <c r="H55" i="10"/>
  <c r="I55" i="10" s="1"/>
  <c r="B57" i="10"/>
  <c r="R12" i="11"/>
  <c r="T12" i="11" s="1"/>
  <c r="R14" i="11"/>
  <c r="R19" i="11"/>
  <c r="B21" i="11"/>
  <c r="M21" i="11" s="1"/>
  <c r="R25" i="11"/>
  <c r="G51" i="10"/>
  <c r="I51" i="10" s="1"/>
  <c r="R11" i="11"/>
  <c r="M14" i="11"/>
  <c r="O14" i="11" s="1"/>
  <c r="R22" i="11"/>
  <c r="B26" i="11"/>
  <c r="M26" i="11" s="1"/>
  <c r="F51" i="10"/>
  <c r="H51" i="10"/>
  <c r="R15" i="11"/>
  <c r="R21" i="11"/>
  <c r="W43" i="10"/>
  <c r="G48" i="10"/>
  <c r="G57" i="10" s="1"/>
  <c r="G53" i="10"/>
  <c r="I53" i="10" s="1"/>
  <c r="R13" i="11"/>
  <c r="R18" i="11"/>
  <c r="B24" i="11"/>
  <c r="M24" i="11" s="1"/>
  <c r="H48" i="10"/>
  <c r="H57" i="10" s="1"/>
  <c r="H53" i="10"/>
  <c r="B16" i="11"/>
  <c r="M16" i="11" s="1"/>
  <c r="O16" i="11" s="1"/>
  <c r="R20" i="11"/>
  <c r="B23" i="11"/>
  <c r="M23" i="11" s="1"/>
  <c r="R27" i="11"/>
  <c r="R29" i="11"/>
  <c r="R31" i="11"/>
  <c r="R33" i="11"/>
  <c r="R35" i="11"/>
  <c r="R37" i="11"/>
  <c r="R39" i="11"/>
  <c r="R41" i="11"/>
  <c r="R43" i="11"/>
  <c r="R45" i="11"/>
  <c r="R47" i="11"/>
  <c r="R49" i="11"/>
  <c r="R16" i="11"/>
  <c r="B19" i="11"/>
  <c r="M19" i="11" s="1"/>
  <c r="O19" i="11" s="1"/>
  <c r="I25" i="11" l="1"/>
  <c r="I26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0" i="11"/>
  <c r="I22" i="11"/>
  <c r="I34" i="11"/>
  <c r="I32" i="11"/>
  <c r="I21" i="11"/>
  <c r="I30" i="11"/>
  <c r="I48" i="11"/>
  <c r="I46" i="11"/>
  <c r="I44" i="11"/>
  <c r="I42" i="11"/>
  <c r="I40" i="11"/>
  <c r="I38" i="11"/>
  <c r="I36" i="11"/>
  <c r="I28" i="11"/>
  <c r="I23" i="11"/>
  <c r="I24" i="11"/>
  <c r="K6" i="11"/>
  <c r="I48" i="10"/>
  <c r="I57" i="10" s="1"/>
  <c r="B59" i="10" s="1"/>
  <c r="Q57" i="10"/>
  <c r="W57" i="10"/>
  <c r="T11" i="11"/>
  <c r="T14" i="11"/>
  <c r="P15" i="11" s="1"/>
  <c r="T15" i="11" s="1"/>
  <c r="P16" i="11" s="1"/>
  <c r="T16" i="11" s="1"/>
  <c r="P17" i="11" s="1"/>
  <c r="T17" i="11" s="1"/>
  <c r="P18" i="11" s="1"/>
  <c r="T18" i="11" s="1"/>
  <c r="P19" i="11" s="1"/>
  <c r="T19" i="11" s="1"/>
  <c r="P20" i="11" s="1"/>
  <c r="R51" i="11"/>
  <c r="P56" i="11" s="1"/>
  <c r="I51" i="11" l="1"/>
  <c r="N27" i="11"/>
  <c r="O27" i="11" s="1"/>
  <c r="N48" i="11"/>
  <c r="O48" i="11" s="1"/>
  <c r="K49" i="11"/>
  <c r="K47" i="11"/>
  <c r="K45" i="11"/>
  <c r="N45" i="11" s="1"/>
  <c r="O45" i="11" s="1"/>
  <c r="K43" i="11"/>
  <c r="K41" i="11"/>
  <c r="N41" i="11" s="1"/>
  <c r="O41" i="11" s="1"/>
  <c r="K39" i="11"/>
  <c r="N39" i="11" s="1"/>
  <c r="O39" i="11" s="1"/>
  <c r="K37" i="11"/>
  <c r="K35" i="11"/>
  <c r="K33" i="11"/>
  <c r="K31" i="11"/>
  <c r="K29" i="11"/>
  <c r="N29" i="11" s="1"/>
  <c r="O29" i="11" s="1"/>
  <c r="K27" i="11"/>
  <c r="K20" i="11"/>
  <c r="K24" i="11"/>
  <c r="N24" i="11" s="1"/>
  <c r="O24" i="11" s="1"/>
  <c r="K8" i="11"/>
  <c r="K25" i="11"/>
  <c r="K21" i="11"/>
  <c r="K22" i="11"/>
  <c r="N22" i="11" s="1"/>
  <c r="O22" i="11" s="1"/>
  <c r="K48" i="11"/>
  <c r="K46" i="11"/>
  <c r="N46" i="11" s="1"/>
  <c r="O46" i="11" s="1"/>
  <c r="K44" i="11"/>
  <c r="N44" i="11" s="1"/>
  <c r="O44" i="11" s="1"/>
  <c r="K42" i="11"/>
  <c r="N42" i="11" s="1"/>
  <c r="O42" i="11" s="1"/>
  <c r="K40" i="11"/>
  <c r="K38" i="11"/>
  <c r="K36" i="11"/>
  <c r="N36" i="11" s="1"/>
  <c r="O36" i="11" s="1"/>
  <c r="K34" i="11"/>
  <c r="K32" i="11"/>
  <c r="K30" i="11"/>
  <c r="N30" i="11" s="1"/>
  <c r="O30" i="11" s="1"/>
  <c r="K28" i="11"/>
  <c r="N28" i="11" s="1"/>
  <c r="O28" i="11" s="1"/>
  <c r="K23" i="11"/>
  <c r="N23" i="11" s="1"/>
  <c r="O23" i="11" s="1"/>
  <c r="K26" i="11"/>
  <c r="N31" i="11"/>
  <c r="O31" i="11" s="1"/>
  <c r="N47" i="11"/>
  <c r="O47" i="11" s="1"/>
  <c r="N43" i="11"/>
  <c r="O43" i="11" s="1"/>
  <c r="N21" i="11"/>
  <c r="O21" i="11" s="1"/>
  <c r="N33" i="11"/>
  <c r="O33" i="11" s="1"/>
  <c r="N49" i="11"/>
  <c r="O49" i="11" s="1"/>
  <c r="N38" i="11"/>
  <c r="O38" i="11" s="1"/>
  <c r="N32" i="11"/>
  <c r="O32" i="11" s="1"/>
  <c r="N35" i="11"/>
  <c r="O35" i="11" s="1"/>
  <c r="N26" i="11"/>
  <c r="O26" i="11" s="1"/>
  <c r="N40" i="11"/>
  <c r="O40" i="11" s="1"/>
  <c r="N34" i="11"/>
  <c r="O34" i="11" s="1"/>
  <c r="N37" i="11"/>
  <c r="O37" i="11" s="1"/>
  <c r="N25" i="11"/>
  <c r="O25" i="11" s="1"/>
  <c r="K51" i="11" l="1"/>
  <c r="N20" i="11"/>
  <c r="O20" i="11" l="1"/>
  <c r="N51" i="11"/>
  <c r="T20" i="11" l="1"/>
  <c r="P21" i="11" s="1"/>
  <c r="O51" i="11"/>
  <c r="P54" i="11" s="1"/>
  <c r="P57" i="11" s="1"/>
  <c r="P59" i="11" s="1"/>
  <c r="S21" i="11" l="1"/>
  <c r="T21" i="11"/>
  <c r="P22" i="11" s="1"/>
  <c r="S22" i="11" l="1"/>
  <c r="T22" i="11"/>
  <c r="P23" i="11" s="1"/>
  <c r="S23" i="11" l="1"/>
  <c r="T23" i="11"/>
  <c r="P24" i="11" s="1"/>
  <c r="S24" i="11" l="1"/>
  <c r="T24" i="11"/>
  <c r="P25" i="11" s="1"/>
  <c r="S25" i="11" l="1"/>
  <c r="T25" i="11" l="1"/>
  <c r="P26" i="11" s="1"/>
  <c r="S26" i="11" l="1"/>
  <c r="T26" i="11"/>
  <c r="P27" i="11" s="1"/>
  <c r="S27" i="11" l="1"/>
  <c r="T27" i="11"/>
  <c r="P28" i="11" s="1"/>
  <c r="S28" i="11" l="1"/>
  <c r="T28" i="11"/>
  <c r="P29" i="11" s="1"/>
  <c r="S29" i="11" l="1"/>
  <c r="T29" i="11"/>
  <c r="P30" i="11" s="1"/>
  <c r="S30" i="11" l="1"/>
  <c r="T30" i="11"/>
  <c r="P31" i="11" s="1"/>
  <c r="S31" i="11" l="1"/>
  <c r="T31" i="11"/>
  <c r="P32" i="11" s="1"/>
  <c r="S32" i="11" l="1"/>
  <c r="T32" i="11"/>
  <c r="P33" i="11" s="1"/>
  <c r="S33" i="11" l="1"/>
  <c r="T33" i="11"/>
  <c r="P34" i="11" s="1"/>
  <c r="S34" i="11" l="1"/>
  <c r="T34" i="11"/>
  <c r="P35" i="11" s="1"/>
  <c r="S35" i="11" l="1"/>
  <c r="T35" i="11"/>
  <c r="P36" i="11" s="1"/>
  <c r="S36" i="11" l="1"/>
  <c r="T36" i="11"/>
  <c r="P37" i="11" s="1"/>
  <c r="S37" i="11" l="1"/>
  <c r="T37" i="11"/>
  <c r="P38" i="11" s="1"/>
  <c r="S38" i="11" l="1"/>
  <c r="T38" i="11"/>
  <c r="P39" i="11" s="1"/>
  <c r="S39" i="11" l="1"/>
  <c r="T39" i="11"/>
  <c r="P40" i="11" s="1"/>
  <c r="S40" i="11" l="1"/>
  <c r="T40" i="11" s="1"/>
  <c r="P41" i="11" s="1"/>
  <c r="S41" i="11" l="1"/>
  <c r="T41" i="11"/>
  <c r="P42" i="11" s="1"/>
  <c r="S42" i="11" l="1"/>
  <c r="T42" i="11" s="1"/>
  <c r="P43" i="11" s="1"/>
  <c r="S43" i="11" l="1"/>
  <c r="T43" i="11"/>
  <c r="P44" i="11" s="1"/>
  <c r="S44" i="11" l="1"/>
  <c r="T44" i="11"/>
  <c r="P45" i="11" s="1"/>
  <c r="S45" i="11" l="1"/>
  <c r="T45" i="11"/>
  <c r="P46" i="11" s="1"/>
  <c r="S46" i="11" l="1"/>
  <c r="T46" i="11"/>
  <c r="P47" i="11" s="1"/>
  <c r="S47" i="11" l="1"/>
  <c r="T47" i="11"/>
  <c r="P48" i="11" s="1"/>
  <c r="S48" i="11" l="1"/>
  <c r="T48" i="11"/>
  <c r="P49" i="11" s="1"/>
  <c r="S49" i="11" l="1"/>
  <c r="S51" i="11" s="1"/>
  <c r="T49" i="11"/>
  <c r="AB22" i="8" l="1"/>
  <c r="AC22" i="8"/>
  <c r="AD22" i="8"/>
  <c r="AE22" i="8"/>
  <c r="AF22" i="8"/>
  <c r="AG22" i="8"/>
  <c r="AH22" i="8"/>
  <c r="AI22" i="8"/>
  <c r="AJ22" i="8"/>
  <c r="AK22" i="8"/>
  <c r="AL22" i="8"/>
  <c r="AA22" i="8"/>
  <c r="P22" i="8"/>
  <c r="Q22" i="8"/>
  <c r="R22" i="8"/>
  <c r="S22" i="8"/>
  <c r="T22" i="8"/>
  <c r="U22" i="8"/>
  <c r="V22" i="8"/>
  <c r="W22" i="8"/>
  <c r="X22" i="8"/>
  <c r="Y22" i="8"/>
  <c r="Z22" i="8"/>
  <c r="O22" i="8"/>
  <c r="F20" i="8"/>
  <c r="G28" i="9" s="1"/>
  <c r="G29" i="9" s="1"/>
  <c r="D39" i="1"/>
  <c r="D40" i="1" s="1"/>
  <c r="C39" i="1"/>
  <c r="C40" i="1" s="1"/>
  <c r="B39" i="1"/>
  <c r="B40" i="1" s="1"/>
  <c r="I49" i="3" s="1"/>
  <c r="H49" i="3" l="1"/>
  <c r="J49" i="3"/>
  <c r="G56" i="3"/>
  <c r="G57" i="3" s="1"/>
  <c r="K49" i="3" l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AM49" i="3" s="1"/>
  <c r="F10" i="8" l="1"/>
  <c r="F8" i="8"/>
  <c r="F12" i="8"/>
  <c r="F11" i="8"/>
  <c r="F16" i="8"/>
  <c r="F14" i="8"/>
  <c r="D12" i="8"/>
  <c r="D17" i="8" s="1"/>
  <c r="C12" i="8"/>
  <c r="C17" i="8" s="1"/>
  <c r="E12" i="8"/>
  <c r="E17" i="8" s="1"/>
  <c r="B20" i="8"/>
  <c r="C28" i="9" s="1"/>
  <c r="C29" i="9" s="1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F26" i="8"/>
  <c r="E26" i="8"/>
  <c r="H20" i="8"/>
  <c r="C42" i="9" s="1"/>
  <c r="D20" i="8"/>
  <c r="E28" i="9" s="1"/>
  <c r="E29" i="9" s="1"/>
  <c r="C20" i="8"/>
  <c r="D28" i="9" s="1"/>
  <c r="D29" i="9" s="1"/>
  <c r="F29" i="1"/>
  <c r="E25" i="1"/>
  <c r="D25" i="1"/>
  <c r="I20" i="8" l="1"/>
  <c r="D42" i="9" s="1"/>
  <c r="C27" i="8"/>
  <c r="D35" i="9" s="1"/>
  <c r="B21" i="8"/>
  <c r="F17" i="8"/>
  <c r="D27" i="8"/>
  <c r="E35" i="9" s="1"/>
  <c r="D21" i="8"/>
  <c r="E27" i="8"/>
  <c r="F35" i="9" s="1"/>
  <c r="E21" i="8"/>
  <c r="C21" i="8"/>
  <c r="B27" i="8"/>
  <c r="C35" i="9" s="1"/>
  <c r="D17" i="1"/>
  <c r="C17" i="1"/>
  <c r="B17" i="1"/>
  <c r="J20" i="8" l="1"/>
  <c r="E42" i="9" s="1"/>
  <c r="F21" i="8"/>
  <c r="F27" i="8"/>
  <c r="G35" i="9" s="1"/>
  <c r="K20" i="8" l="1"/>
  <c r="L20" i="8" l="1"/>
  <c r="F42" i="9"/>
  <c r="D35" i="1"/>
  <c r="C35" i="1"/>
  <c r="B35" i="1"/>
  <c r="M20" i="8" l="1"/>
  <c r="N20" i="8" s="1"/>
  <c r="O20" i="8" s="1"/>
  <c r="P20" i="8" s="1"/>
  <c r="Q20" i="8" s="1"/>
  <c r="R20" i="8" s="1"/>
  <c r="S20" i="8" s="1"/>
  <c r="T20" i="8" s="1"/>
  <c r="U20" i="8" s="1"/>
  <c r="V20" i="8" s="1"/>
  <c r="W20" i="8" s="1"/>
  <c r="X20" i="8" s="1"/>
  <c r="Y20" i="8" s="1"/>
  <c r="Z20" i="8" s="1"/>
  <c r="AA20" i="8" s="1"/>
  <c r="AB20" i="8" s="1"/>
  <c r="AC20" i="8" s="1"/>
  <c r="AD20" i="8" s="1"/>
  <c r="AE20" i="8" s="1"/>
  <c r="AF20" i="8" s="1"/>
  <c r="AG20" i="8" s="1"/>
  <c r="AH20" i="8" s="1"/>
  <c r="AI20" i="8" s="1"/>
  <c r="AJ20" i="8" s="1"/>
  <c r="AK20" i="8" s="1"/>
  <c r="AL20" i="8" s="1"/>
  <c r="G42" i="9"/>
  <c r="I56" i="3"/>
  <c r="H56" i="3"/>
  <c r="H10" i="8" l="1"/>
  <c r="I10" i="8"/>
  <c r="G48" i="3"/>
  <c r="K43" i="3" s="1"/>
  <c r="H48" i="3" l="1"/>
  <c r="H9" i="8" l="1"/>
  <c r="H6" i="1"/>
  <c r="I48" i="3" l="1"/>
  <c r="I9" i="8" s="1"/>
  <c r="B24" i="1"/>
  <c r="K16" i="4"/>
  <c r="J16" i="4"/>
  <c r="I16" i="4"/>
  <c r="H16" i="4"/>
  <c r="O15" i="4"/>
  <c r="O16" i="4" s="1"/>
  <c r="N15" i="4"/>
  <c r="N16" i="4" s="1"/>
  <c r="M15" i="4"/>
  <c r="M16" i="4" s="1"/>
  <c r="L15" i="4"/>
  <c r="L16" i="4" s="1"/>
  <c r="K15" i="4"/>
  <c r="J15" i="4"/>
  <c r="I15" i="4"/>
  <c r="H15" i="4"/>
  <c r="G15" i="4"/>
  <c r="G16" i="4" s="1"/>
  <c r="F15" i="4"/>
  <c r="F16" i="4" s="1"/>
  <c r="E15" i="4"/>
  <c r="E16" i="4" s="1"/>
  <c r="D15" i="4"/>
  <c r="D16" i="4" s="1"/>
  <c r="B16" i="4" s="1"/>
  <c r="C15" i="4"/>
  <c r="D34" i="9" l="1"/>
  <c r="D6" i="13"/>
  <c r="D7" i="13" s="1"/>
  <c r="E34" i="9"/>
  <c r="E6" i="13"/>
  <c r="E7" i="13" s="1"/>
  <c r="B6" i="13"/>
  <c r="B7" i="13" s="1"/>
  <c r="C34" i="9"/>
  <c r="F34" i="9"/>
  <c r="F6" i="13"/>
  <c r="F7" i="13" s="1"/>
  <c r="G34" i="9"/>
  <c r="G6" i="13"/>
  <c r="G7" i="13" s="1"/>
  <c r="H6" i="13"/>
  <c r="H7" i="13" s="1"/>
  <c r="C6" i="13"/>
  <c r="C7" i="13" s="1"/>
  <c r="B26" i="1"/>
  <c r="J48" i="3"/>
  <c r="H57" i="3"/>
  <c r="H13" i="8" s="1"/>
  <c r="L22" i="8" l="1"/>
  <c r="N22" i="8"/>
  <c r="B24" i="8"/>
  <c r="K22" i="8"/>
  <c r="I22" i="8"/>
  <c r="M22" i="8"/>
  <c r="J22" i="8"/>
  <c r="K48" i="3"/>
  <c r="J51" i="3"/>
  <c r="I42" i="3"/>
  <c r="I41" i="3"/>
  <c r="I33" i="3"/>
  <c r="I35" i="3" s="1"/>
  <c r="I43" i="3" s="1"/>
  <c r="J27" i="3"/>
  <c r="I24" i="3"/>
  <c r="I21" i="3"/>
  <c r="I14" i="3"/>
  <c r="I11" i="3"/>
  <c r="I8" i="3"/>
  <c r="K51" i="3" l="1"/>
  <c r="H17" i="8"/>
  <c r="L48" i="3"/>
  <c r="J53" i="3"/>
  <c r="I36" i="3"/>
  <c r="I44" i="3" s="1"/>
  <c r="J55" i="3"/>
  <c r="I57" i="3"/>
  <c r="I13" i="8" s="1"/>
  <c r="J54" i="3"/>
  <c r="H27" i="8" l="1"/>
  <c r="C41" i="9"/>
  <c r="C43" i="9" s="1"/>
  <c r="C49" i="9" s="1"/>
  <c r="H21" i="8"/>
  <c r="J56" i="3"/>
  <c r="J9" i="8" s="1"/>
  <c r="I17" i="8"/>
  <c r="D41" i="9" s="1"/>
  <c r="D43" i="9" s="1"/>
  <c r="D49" i="9" s="1"/>
  <c r="L51" i="3"/>
  <c r="K55" i="3"/>
  <c r="M48" i="3"/>
  <c r="K53" i="3"/>
  <c r="K54" i="3"/>
  <c r="J10" i="8" l="1"/>
  <c r="K56" i="3"/>
  <c r="K10" i="8" s="1"/>
  <c r="M51" i="3"/>
  <c r="I27" i="8"/>
  <c r="I21" i="8"/>
  <c r="L55" i="3"/>
  <c r="N48" i="3"/>
  <c r="J57" i="3"/>
  <c r="J13" i="8" s="1"/>
  <c r="L53" i="3"/>
  <c r="L54" i="3"/>
  <c r="K9" i="8" l="1"/>
  <c r="M55" i="3"/>
  <c r="M53" i="3"/>
  <c r="L56" i="3"/>
  <c r="L57" i="3" s="1"/>
  <c r="L9" i="8"/>
  <c r="N51" i="3"/>
  <c r="J17" i="8"/>
  <c r="E41" i="9" s="1"/>
  <c r="E43" i="9" s="1"/>
  <c r="E49" i="9" s="1"/>
  <c r="O48" i="3"/>
  <c r="K57" i="3"/>
  <c r="M54" i="3"/>
  <c r="L10" i="8" l="1"/>
  <c r="N53" i="3"/>
  <c r="N55" i="3"/>
  <c r="N54" i="3"/>
  <c r="K13" i="8"/>
  <c r="K17" i="8" s="1"/>
  <c r="F41" i="9" s="1"/>
  <c r="F43" i="9" s="1"/>
  <c r="F49" i="9" s="1"/>
  <c r="J21" i="8"/>
  <c r="J27" i="8"/>
  <c r="M56" i="3"/>
  <c r="L13" i="8"/>
  <c r="L17" i="8" s="1"/>
  <c r="G41" i="9" s="1"/>
  <c r="G43" i="9" s="1"/>
  <c r="G49" i="9" s="1"/>
  <c r="O51" i="3"/>
  <c r="P48" i="3"/>
  <c r="N56" i="3" l="1"/>
  <c r="M57" i="3"/>
  <c r="M13" i="8" s="1"/>
  <c r="M9" i="8"/>
  <c r="M10" i="8"/>
  <c r="L21" i="8"/>
  <c r="L27" i="8"/>
  <c r="P51" i="3"/>
  <c r="O54" i="3"/>
  <c r="K27" i="8"/>
  <c r="K21" i="8"/>
  <c r="O55" i="3"/>
  <c r="O53" i="3"/>
  <c r="N10" i="8"/>
  <c r="N9" i="8"/>
  <c r="Q48" i="3"/>
  <c r="N57" i="3"/>
  <c r="P53" i="3" l="1"/>
  <c r="P54" i="3"/>
  <c r="O56" i="3"/>
  <c r="O57" i="3" s="1"/>
  <c r="M17" i="8"/>
  <c r="M21" i="8" s="1"/>
  <c r="P55" i="3"/>
  <c r="P56" i="3" s="1"/>
  <c r="M27" i="8"/>
  <c r="Q51" i="3"/>
  <c r="Q53" i="3" s="1"/>
  <c r="N13" i="8"/>
  <c r="N17" i="8" s="1"/>
  <c r="R48" i="3"/>
  <c r="Q54" i="3" l="1"/>
  <c r="O10" i="8"/>
  <c r="O9" i="8"/>
  <c r="Q55" i="3"/>
  <c r="Q56" i="3" s="1"/>
  <c r="P10" i="8"/>
  <c r="P9" i="8"/>
  <c r="R51" i="3"/>
  <c r="R53" i="3" s="1"/>
  <c r="O13" i="8"/>
  <c r="N27" i="8"/>
  <c r="N21" i="8"/>
  <c r="S48" i="3"/>
  <c r="P57" i="3"/>
  <c r="O17" i="8" l="1"/>
  <c r="R54" i="3"/>
  <c r="R55" i="3"/>
  <c r="O21" i="8"/>
  <c r="O27" i="8"/>
  <c r="Q10" i="8"/>
  <c r="Q9" i="8"/>
  <c r="S51" i="3"/>
  <c r="S55" i="3" s="1"/>
  <c r="R56" i="3"/>
  <c r="P13" i="8"/>
  <c r="P17" i="8" s="1"/>
  <c r="T48" i="3"/>
  <c r="Q57" i="3"/>
  <c r="S54" i="3" l="1"/>
  <c r="S53" i="3"/>
  <c r="R10" i="8"/>
  <c r="R9" i="8"/>
  <c r="T51" i="3"/>
  <c r="T54" i="3" s="1"/>
  <c r="Q13" i="8"/>
  <c r="Q17" i="8" s="1"/>
  <c r="P27" i="8"/>
  <c r="P21" i="8"/>
  <c r="U48" i="3"/>
  <c r="R57" i="3"/>
  <c r="S56" i="3" l="1"/>
  <c r="T53" i="3"/>
  <c r="T55" i="3"/>
  <c r="T56" i="3" s="1"/>
  <c r="Q21" i="8"/>
  <c r="Q27" i="8"/>
  <c r="S10" i="8"/>
  <c r="S9" i="8"/>
  <c r="U51" i="3"/>
  <c r="U53" i="3" s="1"/>
  <c r="R13" i="8"/>
  <c r="R17" i="8" s="1"/>
  <c r="V48" i="3"/>
  <c r="S57" i="3"/>
  <c r="U55" i="3" l="1"/>
  <c r="T10" i="8"/>
  <c r="T9" i="8"/>
  <c r="V51" i="3"/>
  <c r="V55" i="3" s="1"/>
  <c r="R27" i="8"/>
  <c r="R21" i="8"/>
  <c r="S13" i="8"/>
  <c r="S17" i="8" s="1"/>
  <c r="U54" i="3"/>
  <c r="W48" i="3"/>
  <c r="T57" i="3"/>
  <c r="T13" i="8" s="1"/>
  <c r="V53" i="3" l="1"/>
  <c r="V54" i="3"/>
  <c r="S21" i="8"/>
  <c r="S27" i="8"/>
  <c r="U56" i="3"/>
  <c r="W51" i="3"/>
  <c r="W55" i="3" s="1"/>
  <c r="V56" i="3"/>
  <c r="T17" i="8"/>
  <c r="X48" i="3"/>
  <c r="W53" i="3" l="1"/>
  <c r="U57" i="3"/>
  <c r="U13" i="8" s="1"/>
  <c r="T27" i="8"/>
  <c r="T21" i="8"/>
  <c r="V10" i="8"/>
  <c r="V9" i="8"/>
  <c r="X51" i="3"/>
  <c r="X54" i="3" s="1"/>
  <c r="U10" i="8"/>
  <c r="U9" i="8"/>
  <c r="W54" i="3"/>
  <c r="W56" i="3" s="1"/>
  <c r="Y48" i="3"/>
  <c r="V57" i="3"/>
  <c r="V13" i="8" s="1"/>
  <c r="X55" i="3" l="1"/>
  <c r="U17" i="8"/>
  <c r="U21" i="8" s="1"/>
  <c r="W10" i="8"/>
  <c r="W9" i="8"/>
  <c r="Y51" i="3"/>
  <c r="Y53" i="3" s="1"/>
  <c r="X56" i="3"/>
  <c r="V17" i="8"/>
  <c r="X53" i="3"/>
  <c r="Z48" i="3"/>
  <c r="W57" i="3"/>
  <c r="W13" i="8" s="1"/>
  <c r="U27" i="8" l="1"/>
  <c r="Y55" i="3"/>
  <c r="Y54" i="3"/>
  <c r="V27" i="8"/>
  <c r="V21" i="8"/>
  <c r="X10" i="8"/>
  <c r="X9" i="8"/>
  <c r="Z51" i="3"/>
  <c r="Z53" i="3" s="1"/>
  <c r="W17" i="8"/>
  <c r="AA48" i="3"/>
  <c r="X57" i="3"/>
  <c r="X13" i="8" s="1"/>
  <c r="Y56" i="3" l="1"/>
  <c r="Y57" i="3" s="1"/>
  <c r="Y13" i="8" s="1"/>
  <c r="Z54" i="3"/>
  <c r="AA51" i="3"/>
  <c r="W27" i="8"/>
  <c r="W21" i="8"/>
  <c r="X17" i="8"/>
  <c r="Z55" i="3"/>
  <c r="Z56" i="3" s="1"/>
  <c r="AB48" i="3"/>
  <c r="Y9" i="8" l="1"/>
  <c r="Y10" i="8"/>
  <c r="AA54" i="3"/>
  <c r="AA53" i="3"/>
  <c r="AA55" i="3"/>
  <c r="Z10" i="8"/>
  <c r="Z9" i="8"/>
  <c r="X27" i="8"/>
  <c r="X21" i="8"/>
  <c r="AB51" i="3"/>
  <c r="AC48" i="3"/>
  <c r="Z57" i="3"/>
  <c r="Z13" i="8" s="1"/>
  <c r="Y17" i="8" l="1"/>
  <c r="Y21" i="8" s="1"/>
  <c r="AB53" i="3"/>
  <c r="AA56" i="3"/>
  <c r="AA57" i="3" s="1"/>
  <c r="AA13" i="8" s="1"/>
  <c r="AB55" i="3"/>
  <c r="AC51" i="3"/>
  <c r="AB54" i="3"/>
  <c r="Z17" i="8"/>
  <c r="AD48" i="3"/>
  <c r="AC55" i="3" l="1"/>
  <c r="Y27" i="8"/>
  <c r="AB56" i="3"/>
  <c r="AB9" i="8" s="1"/>
  <c r="AA9" i="8"/>
  <c r="AA10" i="8"/>
  <c r="AC53" i="3"/>
  <c r="AC54" i="3"/>
  <c r="AB10" i="8"/>
  <c r="Z21" i="8"/>
  <c r="Z27" i="8"/>
  <c r="AD51" i="3"/>
  <c r="AD55" i="3" s="1"/>
  <c r="AE48" i="3"/>
  <c r="AB57" i="3"/>
  <c r="AB13" i="8" s="1"/>
  <c r="AA17" i="8" l="1"/>
  <c r="AA27" i="8" s="1"/>
  <c r="AC56" i="3"/>
  <c r="AD54" i="3"/>
  <c r="AD53" i="3"/>
  <c r="AC10" i="8"/>
  <c r="AC9" i="8"/>
  <c r="AE51" i="3"/>
  <c r="AD56" i="3"/>
  <c r="AB17" i="8"/>
  <c r="AF48" i="3"/>
  <c r="AC57" i="3"/>
  <c r="AC13" i="8" s="1"/>
  <c r="AA21" i="8" l="1"/>
  <c r="AE54" i="3"/>
  <c r="AE53" i="3"/>
  <c r="AE55" i="3"/>
  <c r="AE56" i="3" s="1"/>
  <c r="AD10" i="8"/>
  <c r="AD9" i="8"/>
  <c r="AB27" i="8"/>
  <c r="AB21" i="8"/>
  <c r="AF51" i="3"/>
  <c r="AF53" i="3" s="1"/>
  <c r="AC17" i="8"/>
  <c r="AG48" i="3"/>
  <c r="AD57" i="3"/>
  <c r="AD13" i="8" s="1"/>
  <c r="AC27" i="8" l="1"/>
  <c r="AC21" i="8"/>
  <c r="AE10" i="8"/>
  <c r="AE9" i="8"/>
  <c r="AG51" i="3"/>
  <c r="AG53" i="3" s="1"/>
  <c r="AD17" i="8"/>
  <c r="AF54" i="3"/>
  <c r="AG54" i="3" s="1"/>
  <c r="AF55" i="3"/>
  <c r="AH48" i="3"/>
  <c r="AE57" i="3"/>
  <c r="AE13" i="8" s="1"/>
  <c r="AF56" i="3" l="1"/>
  <c r="AF57" i="3" s="1"/>
  <c r="AF13" i="8" s="1"/>
  <c r="AG55" i="3"/>
  <c r="AF10" i="8"/>
  <c r="AF9" i="8"/>
  <c r="AH51" i="3"/>
  <c r="AH53" i="3" s="1"/>
  <c r="AE17" i="8"/>
  <c r="AD21" i="8"/>
  <c r="AD27" i="8"/>
  <c r="AI48" i="3"/>
  <c r="AH54" i="3" l="1"/>
  <c r="AH55" i="3"/>
  <c r="AH56" i="3" s="1"/>
  <c r="AG56" i="3"/>
  <c r="AG10" i="8" s="1"/>
  <c r="AE27" i="8"/>
  <c r="AE21" i="8"/>
  <c r="AI51" i="3"/>
  <c r="AI54" i="3" s="1"/>
  <c r="AF17" i="8"/>
  <c r="AJ48" i="3"/>
  <c r="AG9" i="8" l="1"/>
  <c r="AI55" i="3"/>
  <c r="AG57" i="3"/>
  <c r="AG13" i="8" s="1"/>
  <c r="AI53" i="3"/>
  <c r="AI56" i="3" s="1"/>
  <c r="AF27" i="8"/>
  <c r="AF21" i="8"/>
  <c r="AH10" i="8"/>
  <c r="AH9" i="8"/>
  <c r="AJ51" i="3"/>
  <c r="AK48" i="3"/>
  <c r="AH57" i="3"/>
  <c r="AH13" i="8" s="1"/>
  <c r="AG17" i="8" l="1"/>
  <c r="AG27" i="8" s="1"/>
  <c r="AJ53" i="3"/>
  <c r="AJ55" i="3"/>
  <c r="AI10" i="8"/>
  <c r="AI9" i="8"/>
  <c r="AK51" i="3"/>
  <c r="AK53" i="3" s="1"/>
  <c r="AH17" i="8"/>
  <c r="AJ54" i="3"/>
  <c r="AJ56" i="3" s="1"/>
  <c r="AL48" i="3"/>
  <c r="AI57" i="3"/>
  <c r="AI13" i="8" s="1"/>
  <c r="AG21" i="8" l="1"/>
  <c r="AK54" i="3"/>
  <c r="AK55" i="3"/>
  <c r="AJ10" i="8"/>
  <c r="AJ9" i="8"/>
  <c r="AH21" i="8"/>
  <c r="AH27" i="8"/>
  <c r="AL51" i="3"/>
  <c r="AL54" i="3" s="1"/>
  <c r="AK56" i="3"/>
  <c r="AI17" i="8"/>
  <c r="AM48" i="3"/>
  <c r="AJ57" i="3"/>
  <c r="AJ13" i="8" s="1"/>
  <c r="AL53" i="3" l="1"/>
  <c r="AL55" i="3"/>
  <c r="AI27" i="8"/>
  <c r="AI21" i="8"/>
  <c r="AK10" i="8"/>
  <c r="AK9" i="8"/>
  <c r="AM51" i="3"/>
  <c r="AM54" i="3" s="1"/>
  <c r="AL56" i="3"/>
  <c r="AJ17" i="8"/>
  <c r="AK57" i="3"/>
  <c r="AK13" i="8" s="1"/>
  <c r="AM55" i="3" l="1"/>
  <c r="AL10" i="8"/>
  <c r="AL9" i="8"/>
  <c r="AM53" i="3"/>
  <c r="AK17" i="8"/>
  <c r="AJ21" i="8"/>
  <c r="AJ27" i="8"/>
  <c r="AL57" i="3"/>
  <c r="AL13" i="8" s="1"/>
  <c r="AM56" i="3" l="1"/>
  <c r="AM57" i="3" s="1"/>
  <c r="AK21" i="8"/>
  <c r="AK27" i="8"/>
  <c r="AL17" i="8"/>
  <c r="AL27" i="8" l="1"/>
  <c r="AL21" i="8"/>
  <c r="D16" i="1"/>
  <c r="D18" i="1" s="1"/>
  <c r="B16" i="1"/>
  <c r="B18" i="1" s="1"/>
  <c r="D9" i="1"/>
  <c r="C9" i="1"/>
  <c r="B9" i="1"/>
  <c r="C16" i="1" l="1"/>
  <c r="C18" i="1" s="1"/>
  <c r="I24" i="8" l="1"/>
  <c r="J24" i="8"/>
  <c r="L24" i="8"/>
  <c r="M24" i="8"/>
  <c r="N24" i="8"/>
  <c r="O24" i="8"/>
  <c r="P24" i="8"/>
  <c r="R24" i="8"/>
  <c r="S24" i="8"/>
  <c r="T24" i="8"/>
  <c r="U24" i="8"/>
  <c r="V24" i="8"/>
  <c r="W24" i="8"/>
  <c r="Z24" i="8"/>
  <c r="AB24" i="8"/>
  <c r="AC24" i="8"/>
  <c r="AD24" i="8"/>
  <c r="AE24" i="8"/>
  <c r="AF24" i="8"/>
  <c r="AI24" i="8"/>
  <c r="AJ24" i="8"/>
  <c r="AK24" i="8"/>
  <c r="AL24" i="8"/>
  <c r="C24" i="8"/>
  <c r="D24" i="8"/>
  <c r="E24" i="8"/>
  <c r="F24" i="8"/>
  <c r="H24" i="8"/>
  <c r="K24" i="8"/>
  <c r="Q24" i="8"/>
  <c r="X24" i="8"/>
  <c r="Y24" i="8"/>
  <c r="AA24" i="8"/>
  <c r="AG24" i="8"/>
  <c r="AH2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tc={C760D476-30F9-4F75-B44D-B32FC3C6A2A4}</author>
    <author>tc={93D01A4A-AD2F-466C-BBD0-67B160535516}</author>
    <author>tc={A83D2307-BFC9-428C-8DC1-AB78B3E5D788}</author>
    <author>tc={0F61C41E-8FBF-4AF6-A975-D60B1CBC005B}</author>
  </authors>
  <commentList>
    <comment ref="E8" authorId="0" shapeId="0" xr:uid="{C760D476-30F9-4F75-B44D-B32FC3C6A2A4}">
      <text>
        <t>[Threaded comment]
Your version of Excel allows you to read this threaded comment; however, any edits to it will get removed if the file is opened in a newer version of Excel. Learn more: https://go.microsoft.com/fwlink/?linkid=870924
Comment:
    $2.3mm in connection fee revenue</t>
      </text>
    </comment>
    <comment ref="A12" authorId="1" shapeId="0" xr:uid="{93D01A4A-AD2F-466C-BBD0-67B160535516}">
      <text>
        <t>[Threaded comment]
Your version of Excel allows you to read this threaded comment; however, any edits to it will get removed if the file is opened in a newer version of Excel. Learn more: https://go.microsoft.com/fwlink/?linkid=870924
Comment:
    Made up of account 62-340-101 and 62-340-103 per Jennifer from Ammon</t>
      </text>
    </comment>
    <comment ref="O22" authorId="2" shapeId="0" xr:uid="{A83D2307-BFC9-428C-8DC1-AB78B3E5D788}">
      <text>
        <t>[Threaded comment]
Your version of Excel allows you to read this threaded comment; however, any edits to it will get removed if the file is opened in a newer version of Excel. Learn more: https://go.microsoft.com/fwlink/?linkid=870924
Comment:
    Shelly loan rolls off</t>
      </text>
    </comment>
    <comment ref="AA22" authorId="3" shapeId="0" xr:uid="{0F61C41E-8FBF-4AF6-A975-D60B1CBC005B}">
      <text>
        <t>[Threaded comment]
Your version of Excel allows you to read this threaded comment; however, any edits to it will get removed if the file is opened in a newer version of Excel. Learn more: https://go.microsoft.com/fwlink/?linkid=870924
Comment:
    Ammon Loan rolls off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Giesbrecht</author>
  </authors>
  <commentList>
    <comment ref="C39" authorId="0" shapeId="0" xr:uid="{CC4D9D2C-76AD-463E-AB54-105C5AEECBDA}">
      <text>
        <r>
          <rPr>
            <b/>
            <sz val="9"/>
            <color indexed="81"/>
            <rFont val="Tahoma"/>
            <family val="2"/>
          </rPr>
          <t>Alan Giesbrecht:</t>
        </r>
        <r>
          <rPr>
            <sz val="9"/>
            <color indexed="81"/>
            <rFont val="Tahoma"/>
            <family val="2"/>
          </rPr>
          <t xml:space="preserve">
GSE's IFC estimate includes 2.4% contingency
</t>
        </r>
      </text>
    </comment>
    <comment ref="A48" authorId="0" shapeId="0" xr:uid="{D95060F0-1BA5-4660-A1A4-FFD2C345F5C7}">
      <text>
        <r>
          <rPr>
            <b/>
            <sz val="9"/>
            <color indexed="81"/>
            <rFont val="Tahoma"/>
            <family val="2"/>
          </rPr>
          <t>Alan Giesbrecht:</t>
        </r>
        <r>
          <rPr>
            <sz val="9"/>
            <color indexed="81"/>
            <rFont val="Tahoma"/>
            <family val="2"/>
          </rPr>
          <t xml:space="preserve">
Potential for $900K in savings if eliminated</t>
        </r>
      </text>
    </comment>
    <comment ref="A50" authorId="0" shapeId="0" xr:uid="{E27025A1-6074-48FF-9099-147355B5063B}">
      <text>
        <r>
          <rPr>
            <b/>
            <sz val="9"/>
            <color indexed="81"/>
            <rFont val="Tahoma"/>
            <family val="2"/>
          </rPr>
          <t>Alan Giesbrecht:</t>
        </r>
        <r>
          <rPr>
            <sz val="9"/>
            <color indexed="81"/>
            <rFont val="Tahoma"/>
            <family val="2"/>
          </rPr>
          <t xml:space="preserve">
5/28/24 - potential for $445K in savings if eliminated</t>
        </r>
      </text>
    </comment>
  </commentList>
</comments>
</file>

<file path=xl/sharedStrings.xml><?xml version="1.0" encoding="utf-8"?>
<sst xmlns="http://schemas.openxmlformats.org/spreadsheetml/2006/main" count="421" uniqueCount="291">
  <si>
    <t>Ammon</t>
  </si>
  <si>
    <t>Shelley</t>
  </si>
  <si>
    <t>CONNECTION FEE</t>
  </si>
  <si>
    <t>Added Connection Fee by Entity</t>
  </si>
  <si>
    <t>Total Connection Fee</t>
  </si>
  <si>
    <t>MONTHLY FEE</t>
  </si>
  <si>
    <t>Current Debt Service Fee</t>
  </si>
  <si>
    <t>Future membrane replacement/????</t>
  </si>
  <si>
    <t>Reserve fund for future upgrades</t>
  </si>
  <si>
    <t>City Monthly O&amp;M Fee</t>
  </si>
  <si>
    <t>Existing Shelley 20-Year Loan</t>
  </si>
  <si>
    <t>Maturity date =</t>
  </si>
  <si>
    <t>Current date =</t>
  </si>
  <si>
    <t>Years remaining =</t>
  </si>
  <si>
    <t xml:space="preserve">Original loan amount = </t>
  </si>
  <si>
    <t>Principal outstanding =</t>
  </si>
  <si>
    <t xml:space="preserve">Principal paid to date = </t>
  </si>
  <si>
    <t>Loan rate =</t>
  </si>
  <si>
    <t>Existing Ammon 30-Year Loan</t>
  </si>
  <si>
    <t>Future EIRSD Loan</t>
  </si>
  <si>
    <t>Principal to pay off City Loans =</t>
  </si>
  <si>
    <t>Total Principal of Loan =</t>
  </si>
  <si>
    <t>Loan term, n (years) =</t>
  </si>
  <si>
    <t>Annual pmt for City Loans =</t>
  </si>
  <si>
    <t>Annual pmt for Total =</t>
  </si>
  <si>
    <t>Per Shelley amortization schedule from Sandy on 10/4/2022</t>
  </si>
  <si>
    <t>Assumed Fees for Scenarios Below</t>
  </si>
  <si>
    <t>Summary of Fees Currently Charged</t>
  </si>
  <si>
    <t>County Customers</t>
  </si>
  <si>
    <t>Total</t>
  </si>
  <si>
    <t>Per Jennifer on 10/24/2022</t>
  </si>
  <si>
    <t>Upgrades project cost =</t>
  </si>
  <si>
    <t>Other funds available =</t>
  </si>
  <si>
    <t>Principal for Upgrades to Existing  =</t>
  </si>
  <si>
    <t>Principal for Remaining Upgrades  =</t>
  </si>
  <si>
    <t>Year</t>
  </si>
  <si>
    <t>ERUs Connected</t>
  </si>
  <si>
    <t>Counties</t>
  </si>
  <si>
    <t>Assumed annual population growth</t>
  </si>
  <si>
    <t>Resulting annual growth, ERUs/year =</t>
  </si>
  <si>
    <t>Annual payment =</t>
  </si>
  <si>
    <t>Loan period =</t>
  </si>
  <si>
    <t>years</t>
  </si>
  <si>
    <t>Principal for Total Upgrades  =</t>
  </si>
  <si>
    <t>Assume existing City loans are transferred to EIRSD and paid by existing customers</t>
  </si>
  <si>
    <t>Annual pmt for "Upgrades to Existing" =</t>
  </si>
  <si>
    <t>Annual pmt for "Remaining Upgrades" =</t>
  </si>
  <si>
    <t>EIRSD Capacity Replacement Fee</t>
  </si>
  <si>
    <t>EIRSD Monthly O&amp;M Fee</t>
  </si>
  <si>
    <t>as of current date</t>
  </si>
  <si>
    <t>Debt Service Payments</t>
  </si>
  <si>
    <t>Shelly Loan</t>
  </si>
  <si>
    <t>Total Debt Service</t>
  </si>
  <si>
    <t>Assessment Charges</t>
  </si>
  <si>
    <t>Other Revenue</t>
  </si>
  <si>
    <t>Total Revenue</t>
  </si>
  <si>
    <t>Actual</t>
  </si>
  <si>
    <t>Forecast</t>
  </si>
  <si>
    <t>Operating Expense (less depreciation)</t>
  </si>
  <si>
    <t>Depreciation</t>
  </si>
  <si>
    <t>Funds available for Debt Service</t>
  </si>
  <si>
    <t>Income (loss) from operations</t>
  </si>
  <si>
    <t>EIRSD - ERU Tracking</t>
  </si>
  <si>
    <t>No update received</t>
  </si>
  <si>
    <t>ERUs Currently Connected and Billed</t>
  </si>
  <si>
    <t>Location</t>
  </si>
  <si>
    <t>IBSD (by Ammon)</t>
  </si>
  <si>
    <t>County Areas</t>
  </si>
  <si>
    <t>Falls W&amp;S District</t>
  </si>
  <si>
    <t xml:space="preserve">Woodville W&amp;S District </t>
  </si>
  <si>
    <t>North Interceptor</t>
  </si>
  <si>
    <t>East Interceptor</t>
  </si>
  <si>
    <t>Avg Growth - normalized to annual</t>
  </si>
  <si>
    <t>User Rate</t>
  </si>
  <si>
    <t>O&amp;M fee</t>
  </si>
  <si>
    <t>Expense Inflation</t>
  </si>
  <si>
    <t>Annual O &amp; M fee increase</t>
  </si>
  <si>
    <t>residential</t>
  </si>
  <si>
    <t>Surcharge (in place until fully operational 2027)</t>
  </si>
  <si>
    <t>EIRSD Capacity Replacement Fee (connection fee)</t>
  </si>
  <si>
    <t>Additional ERUs coming on board in 2024</t>
  </si>
  <si>
    <t>Leachate Revenue</t>
  </si>
  <si>
    <t>,</t>
  </si>
  <si>
    <t>City of Ammon</t>
  </si>
  <si>
    <t>Ammon Loan - new</t>
  </si>
  <si>
    <t>Ammon Loan - Old</t>
  </si>
  <si>
    <t>City of Shelley</t>
  </si>
  <si>
    <t>EIRSD - Funding Summary for Improvements</t>
  </si>
  <si>
    <t>FUNDS CURRENTLY AVAILABLE</t>
  </si>
  <si>
    <t>Reserve Funds</t>
  </si>
  <si>
    <t>EIRSD</t>
  </si>
  <si>
    <t>Reserve Funds Balance</t>
  </si>
  <si>
    <t>Grant Funds</t>
  </si>
  <si>
    <t>ARPA fund contributions from entities</t>
  </si>
  <si>
    <t>Bingham County</t>
  </si>
  <si>
    <t>as of 9/19/23; originally $1,500,000</t>
  </si>
  <si>
    <t>Bonneville County</t>
  </si>
  <si>
    <t>as of 10/4/23; originally $1,500,000</t>
  </si>
  <si>
    <t>now in checking</t>
  </si>
  <si>
    <t>$1.6M; roughly 45% of ARPA allotment</t>
  </si>
  <si>
    <t>~$400K (~45% of allotment similar to Ammon per Jeff in June 2021 board mtg)</t>
  </si>
  <si>
    <t>DEQ ARPA Grant</t>
  </si>
  <si>
    <t>Other potential grant funds</t>
  </si>
  <si>
    <t>Block Grant</t>
  </si>
  <si>
    <t>???</t>
  </si>
  <si>
    <t>Need to apply if direct connection to jobs can be made</t>
  </si>
  <si>
    <t>US Army Corps 595</t>
  </si>
  <si>
    <t>10/3/23 - Karen at the Corps has requested $2M in grant for EIRSD; won't know until Congress passes a year-long budget rather than just a stop-gap measure</t>
  </si>
  <si>
    <t>DEQ loan forgiveness</t>
  </si>
  <si>
    <t>Median household income may be too high for this</t>
  </si>
  <si>
    <t>Other Federal Grant(s)</t>
  </si>
  <si>
    <t>Grant Funds Balance</t>
  </si>
  <si>
    <t>Total Funds Currently Available</t>
  </si>
  <si>
    <t>UPCOMING ESTIMATED COSTS FOR UPGRADES</t>
  </si>
  <si>
    <t>Construction - GSE</t>
  </si>
  <si>
    <t>Subtotal</t>
  </si>
  <si>
    <t>Riverbend Lift Station</t>
  </si>
  <si>
    <t>x</t>
  </si>
  <si>
    <t>Headworks Screening</t>
  </si>
  <si>
    <t>Membrane System</t>
  </si>
  <si>
    <t>UV Disinfection</t>
  </si>
  <si>
    <t>Potential future costs not included above:</t>
  </si>
  <si>
    <t>Infrastructure for implementing reuse on adjacent land</t>
  </si>
  <si>
    <t>Current Capacity with Project 1 complete</t>
  </si>
  <si>
    <t>9,500-10,000</t>
  </si>
  <si>
    <t xml:space="preserve">Capacity with completion of 2 and 3 </t>
  </si>
  <si>
    <t>also used to cover O&amp;M expenses</t>
  </si>
  <si>
    <t>Scenario A</t>
  </si>
  <si>
    <t>Scenario B</t>
  </si>
  <si>
    <t>Scenario C-1</t>
  </si>
  <si>
    <t>Scenario C</t>
  </si>
  <si>
    <t>Scenario D</t>
  </si>
  <si>
    <t>Included?</t>
  </si>
  <si>
    <t>Cost</t>
  </si>
  <si>
    <t>CMS - J-U-B</t>
  </si>
  <si>
    <t>Ctrl Prog - AWerks</t>
  </si>
  <si>
    <t>Remaining</t>
  </si>
  <si>
    <t>Biological Treatment remaining</t>
  </si>
  <si>
    <t>Subtotals</t>
  </si>
  <si>
    <t>Sewer Fee as a % of ave household income</t>
  </si>
  <si>
    <t>Average Monthly Household Income (Census.gov)</t>
  </si>
  <si>
    <t>Total Monthly Sewer Fee</t>
  </si>
  <si>
    <t>Facility Maintenance Fee (debt service fee)</t>
  </si>
  <si>
    <t>Assessment Revenue</t>
  </si>
  <si>
    <t>Interest Income</t>
  </si>
  <si>
    <t>Forecasted Based on YTD through May</t>
  </si>
  <si>
    <t>Anticipated Connection Fee increase</t>
  </si>
  <si>
    <t>Increase</t>
  </si>
  <si>
    <t>Year 1</t>
  </si>
  <si>
    <t>Year 2</t>
  </si>
  <si>
    <t>Debt Service (including anticipated debt service)</t>
  </si>
  <si>
    <t>New Loan ($36.075mm loan, $33.5mm in proceeds)</t>
  </si>
  <si>
    <t>Grant Funds Remaining</t>
  </si>
  <si>
    <t>Cash Available for Projects</t>
  </si>
  <si>
    <t>Bond Proceeds</t>
  </si>
  <si>
    <t>Excess (Defiency) of funds</t>
  </si>
  <si>
    <t>Estimated Remaining Project Costs</t>
  </si>
  <si>
    <t>Balances on 4/16/24 per Janice</t>
  </si>
  <si>
    <t>Funds that could be applied toward Upgrades</t>
  </si>
  <si>
    <t>Funds that can't be applied toward Upgrades</t>
  </si>
  <si>
    <t>BoC Checking - 10000 - 0367</t>
  </si>
  <si>
    <t>BoC Sweep - Money Market 5% (acct 2678)</t>
  </si>
  <si>
    <t>used to cover O&amp;M expenses</t>
  </si>
  <si>
    <t>Ammon bond fund - Money Market (acct 2918)</t>
  </si>
  <si>
    <t>Shelley bond fund - Money Market (acct 2884)</t>
  </si>
  <si>
    <t>BoC County Debt Service</t>
  </si>
  <si>
    <t>BoC City Debt Service (pending)</t>
  </si>
  <si>
    <t>BoC Money Market for Emergency Reserves (pending)</t>
  </si>
  <si>
    <t>as of 4/22/24</t>
  </si>
  <si>
    <t>originally $4,659,278</t>
  </si>
  <si>
    <t>Potential revenue in 7 months remaining to FY end per Janice</t>
  </si>
  <si>
    <t>not included as currently available</t>
  </si>
  <si>
    <t>Project 1 only</t>
  </si>
  <si>
    <t>Project 1 and all Project 2/3 except bio and membrane (not recommend as it doesn't add capacity)</t>
  </si>
  <si>
    <t>Project 1 and Project 2 but only part of membrane (not recommended as it doesn't add capacity)</t>
  </si>
  <si>
    <t>Project 1 and Project 2/3 except no LS or headworks upgrades</t>
  </si>
  <si>
    <t>All of Project 1 and Project 2/3</t>
  </si>
  <si>
    <t>Complete Proj 1 Const, Proj 2 Design, and Proj 2 Loan Applic</t>
  </si>
  <si>
    <t>CM/GC - GSE</t>
  </si>
  <si>
    <t>Project 2 Construction</t>
  </si>
  <si>
    <t>IFC est (no cont)</t>
  </si>
  <si>
    <t>Contingency</t>
  </si>
  <si>
    <t>IFC est (w/cont)</t>
  </si>
  <si>
    <t>RPR - J-U-B</t>
  </si>
  <si>
    <t>NPW System</t>
  </si>
  <si>
    <t>Forklift</t>
  </si>
  <si>
    <t>Cost Savings</t>
  </si>
  <si>
    <t>Switching to a PEMB</t>
  </si>
  <si>
    <t>GSE should have something early next week; will need foundation redesign at some point</t>
  </si>
  <si>
    <t>TMOS mods</t>
  </si>
  <si>
    <t>No roof on new TMOS</t>
  </si>
  <si>
    <t>Reduced headworks pumping</t>
  </si>
  <si>
    <t>Not populating the 4th membrane train</t>
  </si>
  <si>
    <t>Not paving the new access road</t>
  </si>
  <si>
    <t>Unused contingency from Project 1</t>
  </si>
  <si>
    <t>CM/GC services</t>
  </si>
  <si>
    <t>Blackfoot Phase 2</t>
  </si>
  <si>
    <t>Construction cost</t>
  </si>
  <si>
    <t>CMS total (included bidding and award)</t>
  </si>
  <si>
    <t>Engr</t>
  </si>
  <si>
    <t>RPR</t>
  </si>
  <si>
    <t>Currently Available Funds</t>
  </si>
  <si>
    <t>Cap Fee</t>
  </si>
  <si>
    <t>before Project 1</t>
  </si>
  <si>
    <t>after Project 1</t>
  </si>
  <si>
    <t>Total Cost</t>
  </si>
  <si>
    <t>Added ERUs</t>
  </si>
  <si>
    <t>per year</t>
  </si>
  <si>
    <t>Before Apr 2024</t>
  </si>
  <si>
    <t>per month</t>
  </si>
  <si>
    <t>(281 in past 12 months)</t>
  </si>
  <si>
    <t>Month</t>
  </si>
  <si>
    <t>GSE  
Proj 1 Const</t>
  </si>
  <si>
    <t>GSE  
Proj 1 CM/GC</t>
  </si>
  <si>
    <t>J-U-B  
Proj 1 CMS</t>
  </si>
  <si>
    <t>AWerks 
Proj 1</t>
  </si>
  <si>
    <t>J-U-B 
Proj 2 Design/Bid</t>
  </si>
  <si>
    <t>Dupont 
Proj 2</t>
  </si>
  <si>
    <t>Clearwater
Proj 2</t>
  </si>
  <si>
    <t>GSE  
Proj 2 Const</t>
  </si>
  <si>
    <t>GSE  
Proj 2 CM/GC</t>
  </si>
  <si>
    <t>J-U-B  
Proj 2 CMS</t>
  </si>
  <si>
    <t>Awerks 
Proj 2</t>
  </si>
  <si>
    <t>Project 1+
Costs Remain</t>
  </si>
  <si>
    <t>Project 2
Costs Remain</t>
  </si>
  <si>
    <t>Total Project Costs Remain</t>
  </si>
  <si>
    <t>Available Funds for Projects</t>
  </si>
  <si>
    <t>Connection Fee</t>
  </si>
  <si>
    <t>Potential Fee Revenue</t>
  </si>
  <si>
    <t>Loan Draw</t>
  </si>
  <si>
    <t>Available Fund Balance</t>
  </si>
  <si>
    <t>Project 1 
% Remain</t>
  </si>
  <si>
    <t>Project 2
% Remain</t>
  </si>
  <si>
    <t>TOTAL</t>
  </si>
  <si>
    <t>Total Project Costs Remaining</t>
  </si>
  <si>
    <t xml:space="preserve">Current Available Funds </t>
  </si>
  <si>
    <t>Total Loan Draw</t>
  </si>
  <si>
    <t>Available Loan</t>
  </si>
  <si>
    <t>Delta</t>
  </si>
  <si>
    <t>based on:</t>
  </si>
  <si>
    <t>From GSE (3/13/24) for Project 1:</t>
  </si>
  <si>
    <t>From GSE (4/9/24) for Project 2:</t>
  </si>
  <si>
    <t>Contract Amount</t>
  </si>
  <si>
    <t>Afternoon Alan, we think it could look a bit more like this:</t>
  </si>
  <si>
    <t>January</t>
  </si>
  <si>
    <t>February</t>
  </si>
  <si>
    <t>Months Remaining</t>
  </si>
  <si>
    <t>13 Bills</t>
  </si>
  <si>
    <t>March</t>
  </si>
  <si>
    <t>Average/Month</t>
  </si>
  <si>
    <t>April</t>
  </si>
  <si>
    <t>May</t>
  </si>
  <si>
    <t>Forecasting</t>
  </si>
  <si>
    <t>June</t>
  </si>
  <si>
    <t>July</t>
  </si>
  <si>
    <t>August</t>
  </si>
  <si>
    <t>September</t>
  </si>
  <si>
    <t>October</t>
  </si>
  <si>
    <t>November</t>
  </si>
  <si>
    <t>December</t>
  </si>
  <si>
    <t>Accounted for an earlier start to the project, as well as a little bell curving of flow to resemble what we traditionally see on projects.</t>
  </si>
  <si>
    <t>Debt service coverage ratio</t>
  </si>
  <si>
    <t>Forecasted based on Unaudited YTD through May</t>
  </si>
  <si>
    <t>DEQ - Ammon Loan</t>
  </si>
  <si>
    <t>DEQ - Shelly Loan</t>
  </si>
  <si>
    <t>2024 Sewer Revenue Bonds</t>
  </si>
  <si>
    <t>Principal Payment Date (September 15)</t>
  </si>
  <si>
    <t>Principal Amount</t>
  </si>
  <si>
    <t>Total ERU's</t>
  </si>
  <si>
    <t>Debt Service</t>
  </si>
  <si>
    <t xml:space="preserve">Debt Service </t>
  </si>
  <si>
    <t xml:space="preserve"> - Shelley DEQ Loan</t>
  </si>
  <si>
    <t xml:space="preserve"> - Ammon DEQ Loan</t>
  </si>
  <si>
    <t xml:space="preserve"> - 2024 Sewer Revenue Bond</t>
  </si>
  <si>
    <r>
      <t>2025</t>
    </r>
    <r>
      <rPr>
        <b/>
        <sz val="9"/>
        <color theme="1"/>
        <rFont val="Calibri"/>
        <family val="2"/>
        <scheme val="minor"/>
      </rPr>
      <t>(1)</t>
    </r>
  </si>
  <si>
    <r>
      <t>2027</t>
    </r>
    <r>
      <rPr>
        <b/>
        <sz val="9"/>
        <color theme="1"/>
        <rFont val="Calibri"/>
        <family val="2"/>
        <scheme val="minor"/>
      </rPr>
      <t>(1)</t>
    </r>
  </si>
  <si>
    <r>
      <t>2026</t>
    </r>
    <r>
      <rPr>
        <b/>
        <sz val="9"/>
        <color theme="1"/>
        <rFont val="Calibri"/>
        <family val="2"/>
        <scheme val="minor"/>
      </rPr>
      <t>(1)</t>
    </r>
  </si>
  <si>
    <r>
      <t>2029</t>
    </r>
    <r>
      <rPr>
        <b/>
        <sz val="9"/>
        <color theme="1"/>
        <rFont val="Calibri"/>
        <family val="2"/>
        <scheme val="minor"/>
      </rPr>
      <t>(1)</t>
    </r>
  </si>
  <si>
    <r>
      <t>2028</t>
    </r>
    <r>
      <rPr>
        <b/>
        <sz val="9"/>
        <color theme="1"/>
        <rFont val="Calibri"/>
        <family val="2"/>
        <scheme val="minor"/>
      </rPr>
      <t>(1)</t>
    </r>
  </si>
  <si>
    <r>
      <t>2024</t>
    </r>
    <r>
      <rPr>
        <b/>
        <sz val="9"/>
        <color theme="1"/>
        <rFont val="Calibri"/>
        <family val="2"/>
        <scheme val="minor"/>
      </rPr>
      <t>(2)</t>
    </r>
  </si>
  <si>
    <t>2024(2)</t>
  </si>
  <si>
    <r>
      <t>2023</t>
    </r>
    <r>
      <rPr>
        <b/>
        <sz val="9"/>
        <color theme="1"/>
        <rFont val="Calibri"/>
        <family val="2"/>
        <scheme val="minor"/>
      </rPr>
      <t>(3)</t>
    </r>
  </si>
  <si>
    <r>
      <t>2022</t>
    </r>
    <r>
      <rPr>
        <sz val="9"/>
        <color theme="1"/>
        <rFont val="Calibri"/>
        <family val="2"/>
        <scheme val="minor"/>
      </rPr>
      <t>(3)</t>
    </r>
  </si>
  <si>
    <r>
      <t>2021</t>
    </r>
    <r>
      <rPr>
        <sz val="9"/>
        <color theme="1"/>
        <rFont val="Calibri"/>
        <family val="2"/>
        <scheme val="minor"/>
      </rPr>
      <t>(3)</t>
    </r>
  </si>
  <si>
    <r>
      <t>2020</t>
    </r>
    <r>
      <rPr>
        <sz val="9"/>
        <color theme="1"/>
        <rFont val="Calibri"/>
        <family val="2"/>
        <scheme val="minor"/>
      </rPr>
      <t>(3)</t>
    </r>
  </si>
  <si>
    <r>
      <t>2021</t>
    </r>
    <r>
      <rPr>
        <sz val="9"/>
        <color theme="1"/>
        <rFont val="Calibri"/>
        <family val="2"/>
        <scheme val="minor"/>
      </rPr>
      <t>(1)</t>
    </r>
  </si>
  <si>
    <r>
      <t>2020</t>
    </r>
    <r>
      <rPr>
        <sz val="9"/>
        <color theme="1"/>
        <rFont val="Calibri"/>
        <family val="2"/>
        <scheme val="minor"/>
      </rPr>
      <t>(1)</t>
    </r>
  </si>
  <si>
    <r>
      <t>2022</t>
    </r>
    <r>
      <rPr>
        <sz val="9"/>
        <color theme="1"/>
        <rFont val="Calibri"/>
        <family val="2"/>
        <scheme val="minor"/>
      </rPr>
      <t>(1)</t>
    </r>
  </si>
  <si>
    <r>
      <t>2023</t>
    </r>
    <r>
      <rPr>
        <sz val="9"/>
        <color theme="1"/>
        <rFont val="Calibri"/>
        <family val="2"/>
        <scheme val="minor"/>
      </rPr>
      <t>(1)</t>
    </r>
  </si>
  <si>
    <r>
      <t xml:space="preserve"> - Shelley DEQ Loan </t>
    </r>
    <r>
      <rPr>
        <sz val="9"/>
        <color theme="1"/>
        <rFont val="Calibri"/>
        <family val="2"/>
        <scheme val="minor"/>
      </rPr>
      <t>(3)</t>
    </r>
  </si>
  <si>
    <r>
      <t>Forecasted</t>
    </r>
    <r>
      <rPr>
        <sz val="9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</si>
</sst>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"/>
    <numFmt numFmtId="167" formatCode="_(* #,##0_);_(* \(#,##0\);_(* &quot;-&quot;??_);_(@_)"/>
    <numFmt numFmtId="168" formatCode="0.0%"/>
    <numFmt numFmtId="169" formatCode="#,##0.0"/>
    <numFmt numFmtId="170" formatCode="_(&quot;$&quot;* #,##0_);_(&quot;$&quot;* \(#,##0\);_(&quot;$&quot;* &quot;-&quot;??_);_(@_)"/>
    <numFmt numFmtId="171" formatCode="mmm\ yyyy"/>
    <numFmt numFmtId="172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Segoe UI"/>
      <family val="2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rgb="FF000000"/>
      <name val="Aptos"/>
      <family val="2"/>
    </font>
    <font>
      <sz val="11"/>
      <color theme="1"/>
      <name val="Aptos"/>
      <family val="2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66" fontId="0" fillId="0" borderId="0" xfId="0" applyNumberFormat="1"/>
    <xf numFmtId="167" fontId="0" fillId="0" borderId="0" xfId="1" applyNumberFormat="1" applyFont="1"/>
    <xf numFmtId="0" fontId="4" fillId="0" borderId="0" xfId="0" applyFont="1"/>
    <xf numFmtId="8" fontId="4" fillId="0" borderId="0" xfId="0" applyNumberFormat="1" applyFont="1"/>
    <xf numFmtId="5" fontId="4" fillId="0" borderId="0" xfId="2" applyNumberFormat="1" applyFont="1"/>
    <xf numFmtId="168" fontId="4" fillId="0" borderId="0" xfId="3" applyNumberFormat="1" applyFont="1"/>
    <xf numFmtId="6" fontId="4" fillId="0" borderId="0" xfId="0" applyNumberFormat="1" applyFont="1"/>
    <xf numFmtId="167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left" indent="1"/>
    </xf>
    <xf numFmtId="164" fontId="7" fillId="0" borderId="0" xfId="0" applyNumberFormat="1" applyFont="1"/>
    <xf numFmtId="0" fontId="6" fillId="0" borderId="0" xfId="0" applyFont="1" applyAlignment="1">
      <alignment horizontal="left" indent="1"/>
    </xf>
    <xf numFmtId="164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8" fontId="0" fillId="0" borderId="0" xfId="3" applyNumberFormat="1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horizontal="left" indent="2"/>
    </xf>
    <xf numFmtId="6" fontId="0" fillId="0" borderId="0" xfId="0" applyNumberFormat="1" applyAlignment="1">
      <alignment horizontal="left" indent="1"/>
    </xf>
    <xf numFmtId="6" fontId="0" fillId="0" borderId="0" xfId="0" applyNumberFormat="1"/>
    <xf numFmtId="6" fontId="0" fillId="0" borderId="0" xfId="0" applyNumberFormat="1" applyAlignment="1">
      <alignment horizontal="left"/>
    </xf>
    <xf numFmtId="6" fontId="9" fillId="0" borderId="0" xfId="0" applyNumberFormat="1" applyFont="1" applyAlignment="1">
      <alignment horizontal="left"/>
    </xf>
    <xf numFmtId="3" fontId="0" fillId="0" borderId="0" xfId="0" applyNumberFormat="1"/>
    <xf numFmtId="5" fontId="0" fillId="0" borderId="0" xfId="0" applyNumberFormat="1" applyAlignment="1">
      <alignment horizontal="right"/>
    </xf>
    <xf numFmtId="14" fontId="0" fillId="0" borderId="0" xfId="0" applyNumberFormat="1"/>
    <xf numFmtId="5" fontId="3" fillId="0" borderId="0" xfId="2" applyNumberFormat="1" applyFont="1"/>
    <xf numFmtId="10" fontId="0" fillId="0" borderId="0" xfId="3" applyNumberFormat="1" applyFont="1"/>
    <xf numFmtId="14" fontId="4" fillId="0" borderId="0" xfId="0" applyNumberFormat="1" applyFont="1"/>
    <xf numFmtId="5" fontId="11" fillId="0" borderId="0" xfId="2" applyNumberFormat="1" applyFont="1" applyFill="1"/>
    <xf numFmtId="4" fontId="0" fillId="0" borderId="0" xfId="0" applyNumberFormat="1"/>
    <xf numFmtId="10" fontId="4" fillId="0" borderId="0" xfId="3" applyNumberFormat="1" applyFont="1" applyFill="1"/>
    <xf numFmtId="0" fontId="4" fillId="0" borderId="0" xfId="0" applyFont="1" applyAlignment="1">
      <alignment horizontal="left" indent="1"/>
    </xf>
    <xf numFmtId="6" fontId="0" fillId="2" borderId="0" xfId="0" applyNumberFormat="1" applyFill="1"/>
    <xf numFmtId="6" fontId="0" fillId="3" borderId="0" xfId="0" applyNumberFormat="1" applyFill="1"/>
    <xf numFmtId="5" fontId="11" fillId="0" borderId="0" xfId="2" applyNumberFormat="1" applyFont="1"/>
    <xf numFmtId="0" fontId="13" fillId="0" borderId="0" xfId="0" applyFont="1"/>
    <xf numFmtId="168" fontId="12" fillId="0" borderId="0" xfId="3" applyNumberFormat="1" applyFont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 indent="1"/>
    </xf>
    <xf numFmtId="167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1" applyNumberFormat="1" applyFont="1" applyBorder="1"/>
    <xf numFmtId="167" fontId="0" fillId="0" borderId="2" xfId="1" applyNumberFormat="1" applyFont="1" applyBorder="1" applyAlignment="1">
      <alignment horizontal="right"/>
    </xf>
    <xf numFmtId="0" fontId="14" fillId="0" borderId="0" xfId="9" applyFont="1"/>
    <xf numFmtId="0" fontId="6" fillId="4" borderId="0" xfId="9" applyFont="1" applyFill="1"/>
    <xf numFmtId="0" fontId="14" fillId="4" borderId="0" xfId="9" applyFont="1" applyFill="1"/>
    <xf numFmtId="0" fontId="1" fillId="0" borderId="0" xfId="9"/>
    <xf numFmtId="0" fontId="6" fillId="0" borderId="0" xfId="9" applyFont="1"/>
    <xf numFmtId="14" fontId="3" fillId="0" borderId="0" xfId="9" applyNumberFormat="1" applyFont="1"/>
    <xf numFmtId="0" fontId="3" fillId="5" borderId="0" xfId="9" applyFont="1" applyFill="1" applyAlignment="1">
      <alignment wrapText="1"/>
    </xf>
    <xf numFmtId="14" fontId="3" fillId="5" borderId="0" xfId="9" applyNumberFormat="1" applyFont="1" applyFill="1"/>
    <xf numFmtId="0" fontId="3" fillId="0" borderId="0" xfId="9" applyFont="1" applyAlignment="1">
      <alignment wrapText="1"/>
    </xf>
    <xf numFmtId="4" fontId="1" fillId="0" borderId="0" xfId="9" applyNumberFormat="1"/>
    <xf numFmtId="169" fontId="1" fillId="0" borderId="0" xfId="9" applyNumberFormat="1"/>
    <xf numFmtId="0" fontId="1" fillId="0" borderId="0" xfId="9" applyAlignment="1">
      <alignment horizontal="left" indent="2"/>
    </xf>
    <xf numFmtId="4" fontId="1" fillId="4" borderId="0" xfId="9" applyNumberFormat="1" applyFill="1"/>
    <xf numFmtId="0" fontId="3" fillId="0" borderId="0" xfId="9" applyFont="1"/>
    <xf numFmtId="4" fontId="3" fillId="0" borderId="0" xfId="9" applyNumberFormat="1" applyFont="1"/>
    <xf numFmtId="169" fontId="3" fillId="0" borderId="0" xfId="9" applyNumberFormat="1" applyFont="1"/>
    <xf numFmtId="10" fontId="1" fillId="0" borderId="0" xfId="10" applyNumberFormat="1" applyFont="1"/>
    <xf numFmtId="167" fontId="0" fillId="0" borderId="0" xfId="1" applyNumberFormat="1" applyFont="1" applyAlignment="1">
      <alignment horizontal="left" indent="2"/>
    </xf>
    <xf numFmtId="9" fontId="0" fillId="0" borderId="0" xfId="3" applyFont="1"/>
    <xf numFmtId="167" fontId="0" fillId="0" borderId="0" xfId="0" applyNumberFormat="1" applyAlignment="1">
      <alignment horizontal="left" indent="1"/>
    </xf>
    <xf numFmtId="43" fontId="1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164" fontId="0" fillId="0" borderId="0" xfId="0" applyNumberFormat="1"/>
    <xf numFmtId="43" fontId="0" fillId="0" borderId="0" xfId="0" applyNumberFormat="1"/>
    <xf numFmtId="0" fontId="4" fillId="0" borderId="0" xfId="0" applyFont="1" applyAlignment="1">
      <alignment horizontal="right" indent="1"/>
    </xf>
    <xf numFmtId="0" fontId="0" fillId="0" borderId="7" xfId="0" applyBorder="1"/>
    <xf numFmtId="0" fontId="0" fillId="0" borderId="8" xfId="0" applyBorder="1"/>
    <xf numFmtId="43" fontId="0" fillId="6" borderId="0" xfId="1" applyFont="1" applyFill="1"/>
    <xf numFmtId="43" fontId="0" fillId="0" borderId="0" xfId="1" applyFont="1"/>
    <xf numFmtId="0" fontId="3" fillId="0" borderId="0" xfId="0" applyFont="1" applyAlignment="1">
      <alignment horizontal="center" vertical="center"/>
    </xf>
    <xf numFmtId="0" fontId="16" fillId="0" borderId="0" xfId="0" applyFont="1"/>
    <xf numFmtId="14" fontId="14" fillId="0" borderId="0" xfId="0" applyNumberFormat="1" applyFont="1"/>
    <xf numFmtId="0" fontId="17" fillId="0" borderId="0" xfId="0" applyFont="1" applyAlignment="1">
      <alignment horizontal="left" indent="3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 vertical="top" indent="2"/>
    </xf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left" indent="1"/>
    </xf>
    <xf numFmtId="0" fontId="0" fillId="0" borderId="0" xfId="0" applyAlignment="1">
      <alignment horizontal="left" indent="4"/>
    </xf>
    <xf numFmtId="164" fontId="12" fillId="0" borderId="0" xfId="0" applyNumberFormat="1" applyFont="1"/>
    <xf numFmtId="0" fontId="3" fillId="0" borderId="0" xfId="0" applyFont="1" applyAlignment="1">
      <alignment horizontal="left"/>
    </xf>
    <xf numFmtId="167" fontId="0" fillId="0" borderId="3" xfId="1" applyNumberFormat="1" applyFont="1" applyFill="1" applyBorder="1"/>
    <xf numFmtId="170" fontId="0" fillId="0" borderId="0" xfId="0" applyNumberFormat="1"/>
    <xf numFmtId="0" fontId="2" fillId="0" borderId="12" xfId="0" applyFont="1" applyBorder="1"/>
    <xf numFmtId="0" fontId="18" fillId="0" borderId="13" xfId="0" applyFont="1" applyBorder="1"/>
    <xf numFmtId="0" fontId="0" fillId="0" borderId="13" xfId="0" applyBorder="1"/>
    <xf numFmtId="0" fontId="0" fillId="0" borderId="12" xfId="0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164" fontId="0" fillId="0" borderId="13" xfId="0" applyNumberFormat="1" applyBorder="1"/>
    <xf numFmtId="164" fontId="11" fillId="0" borderId="0" xfId="0" applyNumberFormat="1" applyFont="1" applyAlignment="1">
      <alignment horizontal="center"/>
    </xf>
    <xf numFmtId="168" fontId="0" fillId="0" borderId="0" xfId="3" applyNumberFormat="1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0" xfId="0" applyAlignment="1">
      <alignment horizontal="left" indent="6"/>
    </xf>
    <xf numFmtId="164" fontId="0" fillId="8" borderId="13" xfId="0" applyNumberFormat="1" applyFill="1" applyBorder="1"/>
    <xf numFmtId="43" fontId="7" fillId="0" borderId="0" xfId="1" applyFont="1"/>
    <xf numFmtId="0" fontId="0" fillId="0" borderId="0" xfId="0" applyAlignment="1">
      <alignment horizontal="left" vertical="top" wrapText="1"/>
    </xf>
    <xf numFmtId="0" fontId="3" fillId="0" borderId="0" xfId="0" applyFont="1"/>
    <xf numFmtId="167" fontId="0" fillId="0" borderId="0" xfId="1" applyNumberFormat="1" applyFont="1" applyFill="1" applyBorder="1"/>
    <xf numFmtId="164" fontId="3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indent="2"/>
    </xf>
    <xf numFmtId="164" fontId="0" fillId="0" borderId="0" xfId="0" applyNumberFormat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left" indent="5"/>
    </xf>
    <xf numFmtId="170" fontId="12" fillId="0" borderId="0" xfId="0" applyNumberFormat="1" applyFont="1"/>
    <xf numFmtId="170" fontId="0" fillId="8" borderId="0" xfId="0" applyNumberFormat="1" applyFill="1"/>
    <xf numFmtId="0" fontId="12" fillId="0" borderId="0" xfId="0" applyFont="1"/>
    <xf numFmtId="0" fontId="3" fillId="0" borderId="0" xfId="0" applyFont="1" applyAlignment="1">
      <alignment horizontal="center" wrapText="1"/>
    </xf>
    <xf numFmtId="0" fontId="3" fillId="7" borderId="0" xfId="0" applyFont="1" applyFill="1" applyAlignment="1">
      <alignment horizontal="center" wrapText="1"/>
    </xf>
    <xf numFmtId="0" fontId="3" fillId="9" borderId="0" xfId="0" applyFont="1" applyFill="1" applyAlignment="1">
      <alignment horizontal="center" wrapText="1"/>
    </xf>
    <xf numFmtId="0" fontId="3" fillId="10" borderId="0" xfId="0" applyFont="1" applyFill="1" applyAlignment="1">
      <alignment horizontal="center" wrapText="1"/>
    </xf>
    <xf numFmtId="171" fontId="0" fillId="0" borderId="0" xfId="0" applyNumberFormat="1"/>
    <xf numFmtId="170" fontId="0" fillId="7" borderId="0" xfId="0" applyNumberFormat="1" applyFill="1"/>
    <xf numFmtId="170" fontId="0" fillId="9" borderId="0" xfId="0" applyNumberFormat="1" applyFill="1"/>
    <xf numFmtId="170" fontId="0" fillId="10" borderId="0" xfId="0" applyNumberFormat="1" applyFill="1"/>
    <xf numFmtId="168" fontId="0" fillId="0" borderId="0" xfId="0" applyNumberFormat="1"/>
    <xf numFmtId="170" fontId="12" fillId="10" borderId="0" xfId="0" applyNumberFormat="1" applyFont="1" applyFill="1"/>
    <xf numFmtId="0" fontId="0" fillId="9" borderId="0" xfId="0" applyFill="1"/>
    <xf numFmtId="172" fontId="0" fillId="0" borderId="0" xfId="0" applyNumberFormat="1"/>
    <xf numFmtId="170" fontId="0" fillId="0" borderId="14" xfId="2" applyNumberFormat="1" applyFont="1" applyBorder="1"/>
    <xf numFmtId="0" fontId="21" fillId="0" borderId="15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11" borderId="14" xfId="0" applyFill="1" applyBorder="1"/>
    <xf numFmtId="0" fontId="23" fillId="0" borderId="0" xfId="0" applyFont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Alignment="1">
      <alignment vertical="center"/>
    </xf>
    <xf numFmtId="2" fontId="0" fillId="0" borderId="14" xfId="2" applyNumberFormat="1" applyFont="1" applyBorder="1"/>
    <xf numFmtId="4" fontId="22" fillId="0" borderId="11" xfId="0" applyNumberFormat="1" applyFont="1" applyBorder="1" applyAlignment="1">
      <alignment horizontal="right" vertical="center"/>
    </xf>
    <xf numFmtId="170" fontId="0" fillId="0" borderId="0" xfId="2" applyNumberFormat="1" applyFont="1"/>
    <xf numFmtId="0" fontId="3" fillId="11" borderId="0" xfId="0" applyFont="1" applyFill="1" applyAlignment="1">
      <alignment wrapText="1"/>
    </xf>
    <xf numFmtId="170" fontId="0" fillId="0" borderId="0" xfId="2" applyNumberFormat="1" applyFont="1" applyAlignment="1">
      <alignment wrapText="1"/>
    </xf>
    <xf numFmtId="170" fontId="0" fillId="0" borderId="14" xfId="2" applyNumberFormat="1" applyFont="1" applyFill="1" applyBorder="1"/>
    <xf numFmtId="0" fontId="24" fillId="0" borderId="0" xfId="0" applyFont="1"/>
    <xf numFmtId="4" fontId="22" fillId="0" borderId="16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17" xfId="0" applyNumberFormat="1" applyFont="1" applyBorder="1" applyAlignment="1">
      <alignment horizontal="right" vertical="center"/>
    </xf>
    <xf numFmtId="170" fontId="0" fillId="0" borderId="14" xfId="0" applyNumberFormat="1" applyBorder="1"/>
    <xf numFmtId="0" fontId="0" fillId="11" borderId="0" xfId="0" applyFill="1"/>
    <xf numFmtId="0" fontId="0" fillId="12" borderId="0" xfId="0" applyFill="1"/>
    <xf numFmtId="0" fontId="0" fillId="12" borderId="1" xfId="0" applyFill="1" applyBorder="1" applyAlignment="1">
      <alignment horizontal="center"/>
    </xf>
    <xf numFmtId="167" fontId="0" fillId="12" borderId="1" xfId="1" applyNumberFormat="1" applyFont="1" applyFill="1" applyBorder="1"/>
    <xf numFmtId="167" fontId="0" fillId="12" borderId="0" xfId="1" applyNumberFormat="1" applyFont="1" applyFill="1" applyBorder="1"/>
    <xf numFmtId="43" fontId="0" fillId="12" borderId="0" xfId="1" applyFont="1" applyFill="1" applyBorder="1"/>
    <xf numFmtId="0" fontId="0" fillId="12" borderId="7" xfId="0" applyFill="1" applyBorder="1"/>
    <xf numFmtId="10" fontId="3" fillId="0" borderId="0" xfId="3" applyNumberFormat="1" applyFont="1" applyAlignment="1">
      <alignment horizontal="center"/>
    </xf>
    <xf numFmtId="0" fontId="0" fillId="12" borderId="4" xfId="0" applyFill="1" applyBorder="1"/>
    <xf numFmtId="167" fontId="0" fillId="12" borderId="6" xfId="1" applyNumberFormat="1" applyFont="1" applyFill="1" applyBorder="1"/>
    <xf numFmtId="167" fontId="0" fillId="12" borderId="8" xfId="1" applyNumberFormat="1" applyFont="1" applyFill="1" applyBorder="1"/>
    <xf numFmtId="167" fontId="0" fillId="12" borderId="18" xfId="1" applyNumberFormat="1" applyFont="1" applyFill="1" applyBorder="1"/>
    <xf numFmtId="0" fontId="0" fillId="12" borderId="9" xfId="0" applyFill="1" applyBorder="1"/>
    <xf numFmtId="167" fontId="0" fillId="12" borderId="11" xfId="0" applyNumberFormat="1" applyFill="1" applyBorder="1"/>
    <xf numFmtId="167" fontId="0" fillId="12" borderId="10" xfId="1" applyNumberFormat="1" applyFont="1" applyFill="1" applyBorder="1"/>
    <xf numFmtId="0" fontId="0" fillId="12" borderId="14" xfId="0" applyFill="1" applyBorder="1" applyAlignment="1">
      <alignment horizontal="center"/>
    </xf>
    <xf numFmtId="167" fontId="0" fillId="12" borderId="14" xfId="1" applyNumberFormat="1" applyFont="1" applyFill="1" applyBorder="1"/>
    <xf numFmtId="0" fontId="0" fillId="0" borderId="14" xfId="0" applyBorder="1"/>
    <xf numFmtId="0" fontId="3" fillId="0" borderId="14" xfId="0" applyFont="1" applyBorder="1" applyAlignment="1">
      <alignment horizontal="center"/>
    </xf>
    <xf numFmtId="167" fontId="3" fillId="0" borderId="14" xfId="0" applyNumberFormat="1" applyFont="1" applyBorder="1" applyAlignment="1">
      <alignment horizontal="center"/>
    </xf>
    <xf numFmtId="0" fontId="3" fillId="13" borderId="19" xfId="0" applyFont="1" applyFill="1" applyBorder="1" applyAlignment="1">
      <alignment horizontal="center" wrapText="1"/>
    </xf>
    <xf numFmtId="0" fontId="3" fillId="13" borderId="20" xfId="0" applyFont="1" applyFill="1" applyBorder="1" applyAlignment="1">
      <alignment horizontal="center" wrapText="1"/>
    </xf>
    <xf numFmtId="0" fontId="3" fillId="13" borderId="21" xfId="0" applyFont="1" applyFill="1" applyBorder="1" applyAlignment="1">
      <alignment horizontal="center" wrapText="1"/>
    </xf>
    <xf numFmtId="0" fontId="0" fillId="12" borderId="5" xfId="0" applyFill="1" applyBorder="1"/>
    <xf numFmtId="0" fontId="0" fillId="12" borderId="6" xfId="0" applyFill="1" applyBorder="1"/>
    <xf numFmtId="0" fontId="0" fillId="12" borderId="8" xfId="0" applyFill="1" applyBorder="1"/>
    <xf numFmtId="0" fontId="0" fillId="12" borderId="8" xfId="0" applyFill="1" applyBorder="1" applyAlignment="1">
      <alignment horizontal="center"/>
    </xf>
    <xf numFmtId="0" fontId="0" fillId="12" borderId="7" xfId="0" applyFill="1" applyBorder="1" applyAlignment="1">
      <alignment horizontal="left"/>
    </xf>
    <xf numFmtId="43" fontId="0" fillId="12" borderId="10" xfId="1" applyFont="1" applyFill="1" applyBorder="1"/>
    <xf numFmtId="0" fontId="0" fillId="12" borderId="11" xfId="0" applyFill="1" applyBorder="1"/>
    <xf numFmtId="0" fontId="0" fillId="12" borderId="10" xfId="0" applyFill="1" applyBorder="1"/>
    <xf numFmtId="167" fontId="0" fillId="12" borderId="3" xfId="1" applyNumberFormat="1" applyFont="1" applyFill="1" applyBorder="1"/>
    <xf numFmtId="167" fontId="0" fillId="12" borderId="2" xfId="1" applyNumberFormat="1" applyFont="1" applyFill="1" applyBorder="1" applyAlignment="1">
      <alignment horizontal="right"/>
    </xf>
    <xf numFmtId="0" fontId="0" fillId="12" borderId="6" xfId="0" applyFill="1" applyBorder="1" applyAlignment="1">
      <alignment horizontal="center" wrapText="1"/>
    </xf>
    <xf numFmtId="0" fontId="0" fillId="12" borderId="8" xfId="0" applyFill="1" applyBorder="1" applyAlignment="1">
      <alignment horizontal="center" wrapText="1"/>
    </xf>
    <xf numFmtId="0" fontId="10" fillId="12" borderId="7" xfId="0" applyFont="1" applyFill="1" applyBorder="1"/>
    <xf numFmtId="0" fontId="0" fillId="12" borderId="18" xfId="0" applyFill="1" applyBorder="1" applyAlignment="1">
      <alignment horizontal="center"/>
    </xf>
    <xf numFmtId="0" fontId="0" fillId="12" borderId="7" xfId="0" applyFill="1" applyBorder="1" applyAlignment="1">
      <alignment horizontal="right"/>
    </xf>
    <xf numFmtId="0" fontId="0" fillId="12" borderId="7" xfId="0" applyFill="1" applyBorder="1" applyAlignment="1">
      <alignment horizontal="left" indent="2"/>
    </xf>
    <xf numFmtId="0" fontId="0" fillId="12" borderId="7" xfId="0" applyFill="1" applyBorder="1" applyAlignment="1">
      <alignment horizontal="left" indent="3"/>
    </xf>
    <xf numFmtId="0" fontId="7" fillId="12" borderId="7" xfId="0" applyFont="1" applyFill="1" applyBorder="1" applyAlignment="1">
      <alignment horizontal="left" indent="1"/>
    </xf>
    <xf numFmtId="0" fontId="0" fillId="12" borderId="7" xfId="0" applyFill="1" applyBorder="1" applyAlignment="1">
      <alignment horizontal="left" indent="1"/>
    </xf>
    <xf numFmtId="9" fontId="0" fillId="12" borderId="0" xfId="3" applyFont="1" applyFill="1" applyBorder="1"/>
    <xf numFmtId="9" fontId="0" fillId="12" borderId="8" xfId="3" applyFont="1" applyFill="1" applyBorder="1"/>
    <xf numFmtId="167" fontId="0" fillId="12" borderId="0" xfId="0" applyNumberFormat="1" applyFill="1"/>
    <xf numFmtId="167" fontId="0" fillId="12" borderId="8" xfId="0" applyNumberFormat="1" applyFill="1" applyBorder="1"/>
    <xf numFmtId="167" fontId="0" fillId="12" borderId="22" xfId="1" applyNumberFormat="1" applyFont="1" applyFill="1" applyBorder="1"/>
    <xf numFmtId="43" fontId="0" fillId="12" borderId="8" xfId="1" applyFont="1" applyFill="1" applyBorder="1"/>
    <xf numFmtId="167" fontId="0" fillId="12" borderId="23" xfId="1" applyNumberFormat="1" applyFont="1" applyFill="1" applyBorder="1" applyAlignment="1">
      <alignment horizontal="right"/>
    </xf>
    <xf numFmtId="0" fontId="0" fillId="12" borderId="0" xfId="0" applyFill="1" applyAlignment="1">
      <alignment horizontal="left"/>
    </xf>
    <xf numFmtId="0" fontId="0" fillId="12" borderId="0" xfId="0" applyFill="1" applyAlignment="1">
      <alignment horizontal="left" indent="2"/>
    </xf>
    <xf numFmtId="0" fontId="0" fillId="12" borderId="0" xfId="0" applyFill="1" applyAlignment="1">
      <alignment horizontal="left" indent="3"/>
    </xf>
    <xf numFmtId="0" fontId="7" fillId="12" borderId="0" xfId="0" applyFont="1" applyFill="1" applyAlignment="1">
      <alignment horizontal="left" indent="1"/>
    </xf>
    <xf numFmtId="0" fontId="0" fillId="12" borderId="0" xfId="0" applyFill="1" applyAlignment="1">
      <alignment horizontal="left" indent="1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wrapText="1"/>
    </xf>
    <xf numFmtId="0" fontId="0" fillId="12" borderId="5" xfId="0" applyFill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top" wrapText="1"/>
    </xf>
  </cellXfs>
  <cellStyles count="13">
    <cellStyle name="Comma" xfId="1" builtinId="3"/>
    <cellStyle name="Comma 10" xfId="7" xr:uid="{7DEEB656-1AB9-468C-BF56-FC72C5B89FB9}"/>
    <cellStyle name="Comma 2" xfId="6" xr:uid="{E94EE8A8-F01F-43B0-A609-E70EDA452A3B}"/>
    <cellStyle name="Comma 2 2" xfId="11" xr:uid="{4EDDD0B0-419E-45DA-A49B-4B8324AE3F9F}"/>
    <cellStyle name="Currency" xfId="2" builtinId="4"/>
    <cellStyle name="Currency 2" xfId="12" xr:uid="{7E598F6D-1564-4337-A194-B68758158144}"/>
    <cellStyle name="Normal" xfId="0" builtinId="0"/>
    <cellStyle name="Normal 2" xfId="4" xr:uid="{027EB281-F28F-4697-A25A-C17F94F5CCEF}"/>
    <cellStyle name="Normal 2 2" xfId="9" xr:uid="{0F20ED71-14E8-4D04-8DA3-5E8910CFFAEF}"/>
    <cellStyle name="Normal 4" xfId="5" xr:uid="{49C590B3-63DB-46E4-A4D1-57FF92B1C979}"/>
    <cellStyle name="Percent" xfId="3" builtinId="5"/>
    <cellStyle name="Percent 0" xfId="8" xr:uid="{9E1412CF-0050-423B-9CDA-A266CD6EC14D}"/>
    <cellStyle name="Percent 2" xfId="10" xr:uid="{967433E3-093A-42AE-9AA0-C78BB64245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Debt Profile*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'Debt Profile'!$A$4</c:f>
              <c:strCache>
                <c:ptCount val="1"/>
                <c:pt idx="0">
                  <c:v>2024 Sewer Revenue Bonds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'Debt Profile'!$B$3:$AE$3</c:f>
              <c:numCache>
                <c:formatCode>m/d/yyyy</c:formatCode>
                <c:ptCount val="30"/>
                <c:pt idx="0">
                  <c:v>45930</c:v>
                </c:pt>
                <c:pt idx="1">
                  <c:v>46295</c:v>
                </c:pt>
                <c:pt idx="2">
                  <c:v>46660</c:v>
                </c:pt>
                <c:pt idx="3">
                  <c:v>47026</c:v>
                </c:pt>
                <c:pt idx="4">
                  <c:v>47391</c:v>
                </c:pt>
                <c:pt idx="5">
                  <c:v>47756</c:v>
                </c:pt>
                <c:pt idx="6">
                  <c:v>48121</c:v>
                </c:pt>
                <c:pt idx="7">
                  <c:v>48487</c:v>
                </c:pt>
                <c:pt idx="8">
                  <c:v>48852</c:v>
                </c:pt>
                <c:pt idx="9">
                  <c:v>49217</c:v>
                </c:pt>
                <c:pt idx="10">
                  <c:v>49582</c:v>
                </c:pt>
                <c:pt idx="11">
                  <c:v>49948</c:v>
                </c:pt>
                <c:pt idx="12">
                  <c:v>50313</c:v>
                </c:pt>
                <c:pt idx="13">
                  <c:v>50678</c:v>
                </c:pt>
                <c:pt idx="14">
                  <c:v>51043</c:v>
                </c:pt>
                <c:pt idx="15">
                  <c:v>51409</c:v>
                </c:pt>
                <c:pt idx="16">
                  <c:v>51774</c:v>
                </c:pt>
                <c:pt idx="17">
                  <c:v>52139</c:v>
                </c:pt>
                <c:pt idx="18">
                  <c:v>52504</c:v>
                </c:pt>
                <c:pt idx="19">
                  <c:v>52870</c:v>
                </c:pt>
                <c:pt idx="20">
                  <c:v>53235</c:v>
                </c:pt>
                <c:pt idx="21">
                  <c:v>53600</c:v>
                </c:pt>
                <c:pt idx="22">
                  <c:v>53965</c:v>
                </c:pt>
                <c:pt idx="23">
                  <c:v>54331</c:v>
                </c:pt>
                <c:pt idx="24">
                  <c:v>54696</c:v>
                </c:pt>
                <c:pt idx="25">
                  <c:v>55061</c:v>
                </c:pt>
                <c:pt idx="26">
                  <c:v>55426</c:v>
                </c:pt>
                <c:pt idx="27">
                  <c:v>55792</c:v>
                </c:pt>
                <c:pt idx="28">
                  <c:v>56157</c:v>
                </c:pt>
                <c:pt idx="29">
                  <c:v>56522</c:v>
                </c:pt>
              </c:numCache>
            </c:numRef>
          </c:cat>
          <c:val>
            <c:numRef>
              <c:f>'Debt Profile'!$B$4:$AE$4</c:f>
              <c:numCache>
                <c:formatCode>_(* #,##0_);_(* \(#,##0\);_(* "-"??_);_(@_)</c:formatCode>
                <c:ptCount val="30"/>
                <c:pt idx="0">
                  <c:v>2205800</c:v>
                </c:pt>
                <c:pt idx="1">
                  <c:v>2205800</c:v>
                </c:pt>
                <c:pt idx="2">
                  <c:v>2205800</c:v>
                </c:pt>
                <c:pt idx="3">
                  <c:v>2205800</c:v>
                </c:pt>
                <c:pt idx="4">
                  <c:v>2205800</c:v>
                </c:pt>
                <c:pt idx="5">
                  <c:v>2205800</c:v>
                </c:pt>
                <c:pt idx="6">
                  <c:v>2205800</c:v>
                </c:pt>
                <c:pt idx="7">
                  <c:v>2205800</c:v>
                </c:pt>
                <c:pt idx="8">
                  <c:v>2205800</c:v>
                </c:pt>
                <c:pt idx="9">
                  <c:v>2205800</c:v>
                </c:pt>
                <c:pt idx="10">
                  <c:v>2205800</c:v>
                </c:pt>
                <c:pt idx="11">
                  <c:v>2205800</c:v>
                </c:pt>
                <c:pt idx="12">
                  <c:v>2205800</c:v>
                </c:pt>
                <c:pt idx="13">
                  <c:v>2205800</c:v>
                </c:pt>
                <c:pt idx="14">
                  <c:v>2205800</c:v>
                </c:pt>
                <c:pt idx="15">
                  <c:v>2205800</c:v>
                </c:pt>
                <c:pt idx="16">
                  <c:v>2205800</c:v>
                </c:pt>
                <c:pt idx="17">
                  <c:v>2205800</c:v>
                </c:pt>
                <c:pt idx="18">
                  <c:v>2205800</c:v>
                </c:pt>
                <c:pt idx="19">
                  <c:v>2205800</c:v>
                </c:pt>
                <c:pt idx="20">
                  <c:v>2205800</c:v>
                </c:pt>
                <c:pt idx="21">
                  <c:v>2205800</c:v>
                </c:pt>
                <c:pt idx="22">
                  <c:v>2205800</c:v>
                </c:pt>
                <c:pt idx="23">
                  <c:v>2205800</c:v>
                </c:pt>
                <c:pt idx="24">
                  <c:v>2205800</c:v>
                </c:pt>
                <c:pt idx="25">
                  <c:v>2205800</c:v>
                </c:pt>
                <c:pt idx="26">
                  <c:v>2205800</c:v>
                </c:pt>
                <c:pt idx="27">
                  <c:v>2205800</c:v>
                </c:pt>
                <c:pt idx="28">
                  <c:v>2205800</c:v>
                </c:pt>
                <c:pt idx="29">
                  <c:v>2205800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0-4A9D-97ED-D97F9F6583FE}"/>
            </c:ext>
          </c:extLst>
        </c:ser>
        <c:ser>
          <c:idx val="1"/>
          <c:order val="1"/>
          <c:tx>
            <c:strRef>
              <c:f>'Debt Profile'!$A$5</c:f>
              <c:strCache>
                <c:ptCount val="1"/>
                <c:pt idx="0">
                  <c:v>DEQ - Ammon Loan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'Debt Profile'!$B$3:$AE$3</c:f>
              <c:numCache>
                <c:formatCode>m/d/yyyy</c:formatCode>
                <c:ptCount val="30"/>
                <c:pt idx="0">
                  <c:v>45930</c:v>
                </c:pt>
                <c:pt idx="1">
                  <c:v>46295</c:v>
                </c:pt>
                <c:pt idx="2">
                  <c:v>46660</c:v>
                </c:pt>
                <c:pt idx="3">
                  <c:v>47026</c:v>
                </c:pt>
                <c:pt idx="4">
                  <c:v>47391</c:v>
                </c:pt>
                <c:pt idx="5">
                  <c:v>47756</c:v>
                </c:pt>
                <c:pt idx="6">
                  <c:v>48121</c:v>
                </c:pt>
                <c:pt idx="7">
                  <c:v>48487</c:v>
                </c:pt>
                <c:pt idx="8">
                  <c:v>48852</c:v>
                </c:pt>
                <c:pt idx="9">
                  <c:v>49217</c:v>
                </c:pt>
                <c:pt idx="10">
                  <c:v>49582</c:v>
                </c:pt>
                <c:pt idx="11">
                  <c:v>49948</c:v>
                </c:pt>
                <c:pt idx="12">
                  <c:v>50313</c:v>
                </c:pt>
                <c:pt idx="13">
                  <c:v>50678</c:v>
                </c:pt>
                <c:pt idx="14">
                  <c:v>51043</c:v>
                </c:pt>
                <c:pt idx="15">
                  <c:v>51409</c:v>
                </c:pt>
                <c:pt idx="16">
                  <c:v>51774</c:v>
                </c:pt>
                <c:pt idx="17">
                  <c:v>52139</c:v>
                </c:pt>
                <c:pt idx="18">
                  <c:v>52504</c:v>
                </c:pt>
                <c:pt idx="19">
                  <c:v>52870</c:v>
                </c:pt>
                <c:pt idx="20">
                  <c:v>53235</c:v>
                </c:pt>
                <c:pt idx="21">
                  <c:v>53600</c:v>
                </c:pt>
                <c:pt idx="22">
                  <c:v>53965</c:v>
                </c:pt>
                <c:pt idx="23">
                  <c:v>54331</c:v>
                </c:pt>
                <c:pt idx="24">
                  <c:v>54696</c:v>
                </c:pt>
                <c:pt idx="25">
                  <c:v>55061</c:v>
                </c:pt>
                <c:pt idx="26">
                  <c:v>55426</c:v>
                </c:pt>
                <c:pt idx="27">
                  <c:v>55792</c:v>
                </c:pt>
                <c:pt idx="28">
                  <c:v>56157</c:v>
                </c:pt>
                <c:pt idx="29">
                  <c:v>56522</c:v>
                </c:pt>
              </c:numCache>
            </c:numRef>
          </c:cat>
          <c:val>
            <c:numRef>
              <c:f>'Debt Profile'!$B$5:$AE$5</c:f>
              <c:numCache>
                <c:formatCode>_(* #,##0_);_(* \(#,##0\);_(* "-"??_);_(@_)</c:formatCode>
                <c:ptCount val="30"/>
                <c:pt idx="0">
                  <c:v>1018575.14</c:v>
                </c:pt>
                <c:pt idx="1">
                  <c:v>1018575.14</c:v>
                </c:pt>
                <c:pt idx="2">
                  <c:v>1018575.14</c:v>
                </c:pt>
                <c:pt idx="3">
                  <c:v>1018575.14</c:v>
                </c:pt>
                <c:pt idx="4">
                  <c:v>1018575.14</c:v>
                </c:pt>
                <c:pt idx="5">
                  <c:v>1018575.14</c:v>
                </c:pt>
                <c:pt idx="6">
                  <c:v>1018575.14</c:v>
                </c:pt>
                <c:pt idx="7">
                  <c:v>1018575.14</c:v>
                </c:pt>
                <c:pt idx="8">
                  <c:v>1018575.14</c:v>
                </c:pt>
                <c:pt idx="9">
                  <c:v>1018575.14</c:v>
                </c:pt>
                <c:pt idx="10">
                  <c:v>1018575.14</c:v>
                </c:pt>
                <c:pt idx="11">
                  <c:v>1018575.14</c:v>
                </c:pt>
                <c:pt idx="12">
                  <c:v>1018575.14</c:v>
                </c:pt>
                <c:pt idx="13">
                  <c:v>1018575.14</c:v>
                </c:pt>
                <c:pt idx="14">
                  <c:v>1018575.14</c:v>
                </c:pt>
                <c:pt idx="15">
                  <c:v>1018575.14</c:v>
                </c:pt>
                <c:pt idx="16">
                  <c:v>1018575.14</c:v>
                </c:pt>
                <c:pt idx="17">
                  <c:v>1018575.14</c:v>
                </c:pt>
                <c:pt idx="18">
                  <c:v>1018575.14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50-4A9D-97ED-D97F9F6583FE}"/>
            </c:ext>
          </c:extLst>
        </c:ser>
        <c:ser>
          <c:idx val="2"/>
          <c:order val="2"/>
          <c:tx>
            <c:strRef>
              <c:f>'Debt Profile'!$A$6</c:f>
              <c:strCache>
                <c:ptCount val="1"/>
                <c:pt idx="0">
                  <c:v>DEQ - Shelly Loan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'Debt Profile'!$B$3:$AE$3</c:f>
              <c:numCache>
                <c:formatCode>m/d/yyyy</c:formatCode>
                <c:ptCount val="30"/>
                <c:pt idx="0">
                  <c:v>45930</c:v>
                </c:pt>
                <c:pt idx="1">
                  <c:v>46295</c:v>
                </c:pt>
                <c:pt idx="2">
                  <c:v>46660</c:v>
                </c:pt>
                <c:pt idx="3">
                  <c:v>47026</c:v>
                </c:pt>
                <c:pt idx="4">
                  <c:v>47391</c:v>
                </c:pt>
                <c:pt idx="5">
                  <c:v>47756</c:v>
                </c:pt>
                <c:pt idx="6">
                  <c:v>48121</c:v>
                </c:pt>
                <c:pt idx="7">
                  <c:v>48487</c:v>
                </c:pt>
                <c:pt idx="8">
                  <c:v>48852</c:v>
                </c:pt>
                <c:pt idx="9">
                  <c:v>49217</c:v>
                </c:pt>
                <c:pt idx="10">
                  <c:v>49582</c:v>
                </c:pt>
                <c:pt idx="11">
                  <c:v>49948</c:v>
                </c:pt>
                <c:pt idx="12">
                  <c:v>50313</c:v>
                </c:pt>
                <c:pt idx="13">
                  <c:v>50678</c:v>
                </c:pt>
                <c:pt idx="14">
                  <c:v>51043</c:v>
                </c:pt>
                <c:pt idx="15">
                  <c:v>51409</c:v>
                </c:pt>
                <c:pt idx="16">
                  <c:v>51774</c:v>
                </c:pt>
                <c:pt idx="17">
                  <c:v>52139</c:v>
                </c:pt>
                <c:pt idx="18">
                  <c:v>52504</c:v>
                </c:pt>
                <c:pt idx="19">
                  <c:v>52870</c:v>
                </c:pt>
                <c:pt idx="20">
                  <c:v>53235</c:v>
                </c:pt>
                <c:pt idx="21">
                  <c:v>53600</c:v>
                </c:pt>
                <c:pt idx="22">
                  <c:v>53965</c:v>
                </c:pt>
                <c:pt idx="23">
                  <c:v>54331</c:v>
                </c:pt>
                <c:pt idx="24">
                  <c:v>54696</c:v>
                </c:pt>
                <c:pt idx="25">
                  <c:v>55061</c:v>
                </c:pt>
                <c:pt idx="26">
                  <c:v>55426</c:v>
                </c:pt>
                <c:pt idx="27">
                  <c:v>55792</c:v>
                </c:pt>
                <c:pt idx="28">
                  <c:v>56157</c:v>
                </c:pt>
                <c:pt idx="29">
                  <c:v>56522</c:v>
                </c:pt>
              </c:numCache>
            </c:numRef>
          </c:cat>
          <c:val>
            <c:numRef>
              <c:f>'Debt Profile'!$B$6:$AE$6</c:f>
              <c:numCache>
                <c:formatCode>_(* #,##0_);_(* \(#,##0\);_(* "-"??_);_(@_)</c:formatCode>
                <c:ptCount val="30"/>
                <c:pt idx="0">
                  <c:v>487350</c:v>
                </c:pt>
                <c:pt idx="1">
                  <c:v>487350</c:v>
                </c:pt>
                <c:pt idx="2">
                  <c:v>487350</c:v>
                </c:pt>
                <c:pt idx="3">
                  <c:v>487350</c:v>
                </c:pt>
                <c:pt idx="4">
                  <c:v>487350</c:v>
                </c:pt>
                <c:pt idx="5">
                  <c:v>487350</c:v>
                </c:pt>
                <c:pt idx="6">
                  <c:v>487350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0-4A9D-97ED-D97F9F658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208096"/>
        <c:axId val="10242200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'Debt Profile'!$A$7</c15:sqref>
                        </c15:formulaRef>
                      </c:ext>
                    </c:extLst>
                    <c:strCache>
                      <c:ptCount val="1"/>
                      <c:pt idx="0">
                        <c:v>Total Debt Service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'Debt Profile'!$B$3:$AE$3</c15:sqref>
                        </c15:formulaRef>
                      </c:ext>
                    </c:extLst>
                    <c:numCache>
                      <c:formatCode>m/d/yyyy</c:formatCode>
                      <c:ptCount val="30"/>
                      <c:pt idx="0">
                        <c:v>45930</c:v>
                      </c:pt>
                      <c:pt idx="1">
                        <c:v>46295</c:v>
                      </c:pt>
                      <c:pt idx="2">
                        <c:v>46660</c:v>
                      </c:pt>
                      <c:pt idx="3">
                        <c:v>47026</c:v>
                      </c:pt>
                      <c:pt idx="4">
                        <c:v>47391</c:v>
                      </c:pt>
                      <c:pt idx="5">
                        <c:v>47756</c:v>
                      </c:pt>
                      <c:pt idx="6">
                        <c:v>48121</c:v>
                      </c:pt>
                      <c:pt idx="7">
                        <c:v>48487</c:v>
                      </c:pt>
                      <c:pt idx="8">
                        <c:v>48852</c:v>
                      </c:pt>
                      <c:pt idx="9">
                        <c:v>49217</c:v>
                      </c:pt>
                      <c:pt idx="10">
                        <c:v>49582</c:v>
                      </c:pt>
                      <c:pt idx="11">
                        <c:v>49948</c:v>
                      </c:pt>
                      <c:pt idx="12">
                        <c:v>50313</c:v>
                      </c:pt>
                      <c:pt idx="13">
                        <c:v>50678</c:v>
                      </c:pt>
                      <c:pt idx="14">
                        <c:v>51043</c:v>
                      </c:pt>
                      <c:pt idx="15">
                        <c:v>51409</c:v>
                      </c:pt>
                      <c:pt idx="16">
                        <c:v>51774</c:v>
                      </c:pt>
                      <c:pt idx="17">
                        <c:v>52139</c:v>
                      </c:pt>
                      <c:pt idx="18">
                        <c:v>52504</c:v>
                      </c:pt>
                      <c:pt idx="19">
                        <c:v>52870</c:v>
                      </c:pt>
                      <c:pt idx="20">
                        <c:v>53235</c:v>
                      </c:pt>
                      <c:pt idx="21">
                        <c:v>53600</c:v>
                      </c:pt>
                      <c:pt idx="22">
                        <c:v>53965</c:v>
                      </c:pt>
                      <c:pt idx="23">
                        <c:v>54331</c:v>
                      </c:pt>
                      <c:pt idx="24">
                        <c:v>54696</c:v>
                      </c:pt>
                      <c:pt idx="25">
                        <c:v>55061</c:v>
                      </c:pt>
                      <c:pt idx="26">
                        <c:v>55426</c:v>
                      </c:pt>
                      <c:pt idx="27">
                        <c:v>55792</c:v>
                      </c:pt>
                      <c:pt idx="28">
                        <c:v>56157</c:v>
                      </c:pt>
                      <c:pt idx="29">
                        <c:v>56522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'Debt Profile'!$B$7:$AE$7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30"/>
                      <c:pt idx="0">
                        <c:v>3711725.14</c:v>
                      </c:pt>
                      <c:pt idx="1">
                        <c:v>3711725.14</c:v>
                      </c:pt>
                      <c:pt idx="2">
                        <c:v>3711725.14</c:v>
                      </c:pt>
                      <c:pt idx="3">
                        <c:v>3711725.14</c:v>
                      </c:pt>
                      <c:pt idx="4">
                        <c:v>3711725.14</c:v>
                      </c:pt>
                      <c:pt idx="5">
                        <c:v>3711725.14</c:v>
                      </c:pt>
                      <c:pt idx="6">
                        <c:v>3711725.14</c:v>
                      </c:pt>
                      <c:pt idx="7">
                        <c:v>3224375.14</c:v>
                      </c:pt>
                      <c:pt idx="8">
                        <c:v>3224375.14</c:v>
                      </c:pt>
                      <c:pt idx="9">
                        <c:v>3224375.14</c:v>
                      </c:pt>
                      <c:pt idx="10">
                        <c:v>3224375.14</c:v>
                      </c:pt>
                      <c:pt idx="11">
                        <c:v>3224375.14</c:v>
                      </c:pt>
                      <c:pt idx="12">
                        <c:v>3224375.14</c:v>
                      </c:pt>
                      <c:pt idx="13">
                        <c:v>3224375.14</c:v>
                      </c:pt>
                      <c:pt idx="14">
                        <c:v>3224375.14</c:v>
                      </c:pt>
                      <c:pt idx="15">
                        <c:v>3224375.14</c:v>
                      </c:pt>
                      <c:pt idx="16">
                        <c:v>3224375.14</c:v>
                      </c:pt>
                      <c:pt idx="17">
                        <c:v>3224375.14</c:v>
                      </c:pt>
                      <c:pt idx="18">
                        <c:v>3224375.14</c:v>
                      </c:pt>
                      <c:pt idx="19">
                        <c:v>2205800</c:v>
                      </c:pt>
                      <c:pt idx="20">
                        <c:v>2205800</c:v>
                      </c:pt>
                      <c:pt idx="21">
                        <c:v>2205800</c:v>
                      </c:pt>
                      <c:pt idx="22">
                        <c:v>2205800</c:v>
                      </c:pt>
                      <c:pt idx="23">
                        <c:v>2205800</c:v>
                      </c:pt>
                      <c:pt idx="24">
                        <c:v>2205800</c:v>
                      </c:pt>
                      <c:pt idx="25">
                        <c:v>2205800</c:v>
                      </c:pt>
                      <c:pt idx="26">
                        <c:v>2205800</c:v>
                      </c:pt>
                      <c:pt idx="27">
                        <c:v>2205800</c:v>
                      </c:pt>
                      <c:pt idx="28">
                        <c:v>2205800</c:v>
                      </c:pt>
                      <c:pt idx="29">
                        <c:v>2205800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BC50-4A9D-97ED-D97F9F6583FE}"/>
                  </c:ext>
                </c:extLst>
              </c15:ser>
            </c15:filteredBarSeries>
          </c:ext>
        </c:extLst>
      </c:barChart>
      <c:dateAx>
        <c:axId val="10242080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220096"/>
        <c:crosses val="autoZero"/>
        <c:auto val="1"/>
        <c:lblOffset val="100"/>
        <c:baseTimeUnit val="years"/>
      </c:dateAx>
      <c:valAx>
        <c:axId val="10242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20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HISTORIC</a:t>
            </a:r>
            <a:r>
              <a:rPr lang="en-US" baseline="0"/>
              <a:t> AND </a:t>
            </a:r>
            <a:r>
              <a:rPr lang="en-US"/>
              <a:t>PROJECTED</a:t>
            </a:r>
            <a:r>
              <a:rPr lang="en-US" baseline="0"/>
              <a:t> ERU's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8"/>
          <c:order val="8"/>
          <c:tx>
            <c:strRef>
              <c:f>'ERU Forecast'!$A$56</c:f>
              <c:strCache>
                <c:ptCount val="1"/>
                <c:pt idx="0">
                  <c:v>Total ERU's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B0-4109-A26C-42859AD15E0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B0-4109-A26C-42859AD15E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B0-4109-A26C-42859AD15E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B0-4109-A26C-42859AD15E0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BCB0-4109-A26C-42859AD15E0B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'ERU Forecast'!$B$47:$M$47</c15:sqref>
                  </c15:fullRef>
                </c:ext>
              </c:extLst>
              <c:f>('ERU Forecast'!$B$47:$F$47,'ERU Forecast'!$H$47:$L$47)</c:f>
              <c:strCache>
                <c:ptCount val="10"/>
                <c:pt idx="0">
                  <c:v>2020(3)</c:v>
                </c:pt>
                <c:pt idx="1">
                  <c:v>2021(3)</c:v>
                </c:pt>
                <c:pt idx="2">
                  <c:v>2022(3)</c:v>
                </c:pt>
                <c:pt idx="3">
                  <c:v>2023(3)</c:v>
                </c:pt>
                <c:pt idx="4">
                  <c:v>2024(2)</c:v>
                </c:pt>
                <c:pt idx="5">
                  <c:v>2025(1)</c:v>
                </c:pt>
                <c:pt idx="6">
                  <c:v>2026(1)</c:v>
                </c:pt>
                <c:pt idx="7">
                  <c:v>2027(1)</c:v>
                </c:pt>
                <c:pt idx="8">
                  <c:v>2028(1)</c:v>
                </c:pt>
                <c:pt idx="9">
                  <c:v>2029(1)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'ERU Forecast'!$B$56:$M$56</c15:sqref>
                  </c15:fullRef>
                </c:ext>
              </c:extLst>
              <c:f>('ERU Forecast'!$B$56:$F$56,'ERU Forecast'!$H$56:$L$56)</c:f>
              <c:numCache>
                <c:formatCode>General</c:formatCode>
                <c:ptCount val="10"/>
                <c:pt idx="0">
                  <c:v>7914</c:v>
                </c:pt>
                <c:pt idx="1">
                  <c:v>8030</c:v>
                </c:pt>
                <c:pt idx="2">
                  <c:v>8405</c:v>
                </c:pt>
                <c:pt idx="3" formatCode="_(* #,##0_);_(* \(#,##0\);_(* &quot;-&quot;??_);_(@_)">
                  <c:v>8786</c:v>
                </c:pt>
                <c:pt idx="4" formatCode="_(* #,##0_);_(* \(#,##0\);_(* &quot;-&quot;??_);_(@_)">
                  <c:v>8965</c:v>
                </c:pt>
                <c:pt idx="5" formatCode="_(* #,##0_);_(* \(#,##0\);_(* &quot;-&quot;??_);_(@_)">
                  <c:v>9455</c:v>
                </c:pt>
                <c:pt idx="6" formatCode="_(* #,##0_);_(* \(#,##0\);_(* &quot;-&quot;??_);_(@_)">
                  <c:v>9650.0249999999996</c:v>
                </c:pt>
                <c:pt idx="7" formatCode="_(* #,##0_);_(* \(#,##0\);_(* &quot;-&quot;??_);_(@_)">
                  <c:v>9885.0249999999978</c:v>
                </c:pt>
                <c:pt idx="8" formatCode="_(* #,##0_);_(* \(#,##0\);_(* &quot;-&quot;??_);_(@_)">
                  <c:v>10125.899999999998</c:v>
                </c:pt>
                <c:pt idx="9" formatCode="_(* #,##0_);_(* \(#,##0\);_(* &quot;-&quot;??_);_(@_)">
                  <c:v>10372.796874999996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B0-4109-A26C-42859AD1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922495"/>
        <c:axId val="625921055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'ERU Forecast'!$A$48</c15:sqref>
                        </c15:formulaRef>
                      </c:ext>
                    </c:extLst>
                    <c:strCache>
                      <c:ptCount val="1"/>
                      <c:pt idx="0">
                        <c:v>O&amp;M fee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'ERU Forecast'!$B$48:$M$48</c15:sqref>
                        </c15:fullRef>
                        <c15:formulaRef>
                          <c15:sqref>('ERU Forecast'!$B$48:$F$48,'ERU Forecast'!$H$48:$L$48)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5" formatCode="_(* #,##0.00_);_(* \(#,##0.00\);_(* &quot;-&quot;??_);_(@_)">
                        <c:v>15.534225000000001</c:v>
                      </c:pt>
                      <c:pt idx="6" formatCode="_(* #,##0.00_);_(* \(#,##0.00\);_(* &quot;-&quot;??_);_(@_)">
                        <c:v>16.310936250000001</c:v>
                      </c:pt>
                      <c:pt idx="7" formatCode="_(* #,##0.00_);_(* \(#,##0.00\);_(* &quot;-&quot;??_);_(@_)">
                        <c:v>17.1264830625</c:v>
                      </c:pt>
                      <c:pt idx="8" formatCode="_(* #,##0.00_);_(* \(#,##0.00\);_(* &quot;-&quot;??_);_(@_)">
                        <c:v>17.982807215625002</c:v>
                      </c:pt>
                      <c:pt idx="9" formatCode="_(* #,##0.00_);_(* \(#,##0.00\);_(* &quot;-&quot;??_);_(@_)">
                        <c:v>18.881947576406251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CB0-4109-A26C-42859AD15E0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Forecast'!$B$49:$M$49</c15:sqref>
                        </c15:fullRef>
                        <c15:formulaRef>
                          <c15:sqref>('ERU Forecast'!$B$49:$F$49,'ERU Forecast'!$H$49:$L$49)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5" formatCode="_(* #,##0.00_);_(* \(#,##0.00\);_(* &quot;-&quot;??_);_(@_)">
                        <c:v>7091.9400000000005</c:v>
                      </c:pt>
                      <c:pt idx="6" formatCode="_(* #,##0.00_);_(* \(#,##0.00\);_(* &quot;-&quot;??_);_(@_)">
                        <c:v>8084.8116000000018</c:v>
                      </c:pt>
                      <c:pt idx="7" formatCode="_(* #,##0.00_);_(* \(#,##0.00\);_(* &quot;-&quot;??_);_(@_)">
                        <c:v>8084.8116000000018</c:v>
                      </c:pt>
                      <c:pt idx="8" formatCode="_(* #,##0.00_);_(* \(#,##0.00\);_(* &quot;-&quot;??_);_(@_)">
                        <c:v>8084.8116000000018</c:v>
                      </c:pt>
                      <c:pt idx="9" formatCode="_(* #,##0.00_);_(* \(#,##0.00\);_(* &quot;-&quot;??_);_(@_)">
                        <c:v>8084.8116000000018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CB0-4109-A26C-42859AD15E0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Forecast'!$A$50</c15:sqref>
                        </c15:formulaRef>
                      </c:ext>
                    </c:extLst>
                    <c:strCache>
                      <c:ptCount val="1"/>
                      <c:pt idx="0">
                        <c:v>ERUs Connected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Forecast'!$B$50:$M$50</c15:sqref>
                        </c15:fullRef>
                        <c15:formulaRef>
                          <c15:sqref>('ERU Forecast'!$B$50:$F$50,'ERU Forecast'!$H$50:$L$50)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CB0-4109-A26C-42859AD15E0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Forecast'!$A$51</c15:sqref>
                        </c15:formulaRef>
                      </c:ext>
                    </c:extLst>
                    <c:strCache>
                      <c:ptCount val="1"/>
                      <c:pt idx="0">
                        <c:v>Assumed annual population growth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Forecast'!$B$51:$M$51</c15:sqref>
                        </c15:fullRef>
                        <c15:formulaRef>
                          <c15:sqref>('ERU Forecast'!$B$51:$F$51,'ERU Forecast'!$H$51:$L$51)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6" formatCode="0.0%">
                        <c:v>2.5000000000000001E-2</c:v>
                      </c:pt>
                      <c:pt idx="7" formatCode="0.0%">
                        <c:v>2.5000000000000001E-2</c:v>
                      </c:pt>
                      <c:pt idx="8" formatCode="0.0%">
                        <c:v>2.5000000000000001E-2</c:v>
                      </c:pt>
                      <c:pt idx="9" formatCode="0.0%">
                        <c:v>2.5000000000000001E-2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CB0-4109-A26C-42859AD15E0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Forecast'!$A$52</c15:sqref>
                        </c15:formulaRef>
                      </c:ext>
                    </c:extLst>
                    <c:strCache>
                      <c:ptCount val="1"/>
                      <c:pt idx="0">
                        <c:v>Additional ERUs coming on board in 2024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Forecast'!$B$52:$M$52</c15:sqref>
                        </c15:fullRef>
                        <c15:formulaRef>
                          <c15:sqref>('ERU Forecast'!$B$52:$F$52,'ERU Forecast'!$H$52:$L$52)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5">
                        <c:v>250</c:v>
                      </c:pt>
                      <c:pt idx="6">
                        <c:v>250</c:v>
                      </c:pt>
                      <c:pt idx="7">
                        <c:v>250</c:v>
                      </c:pt>
                      <c:pt idx="8">
                        <c:v>250</c:v>
                      </c:pt>
                      <c:pt idx="9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CB0-4109-A26C-42859AD15E0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Forecast'!$A$53</c15:sqref>
                        </c15:formulaRef>
                      </c:ext>
                    </c:extLst>
                    <c:strCache>
                      <c:ptCount val="1"/>
                      <c:pt idx="0">
                        <c:v>Ammon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Forecast'!$B$53:$M$53</c15:sqref>
                        </c15:fullRef>
                        <c15:formulaRef>
                          <c15:sqref>('ERU Forecast'!$B$53:$F$53,'ERU Forecast'!$H$53:$L$53)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3">
                        <c:v>6201</c:v>
                      </c:pt>
                      <c:pt idx="5" formatCode="_(* #,##0_);_(* \(#,##0\);_(* &quot;-&quot;??_);_(@_)">
                        <c:v>6350</c:v>
                      </c:pt>
                      <c:pt idx="6" formatCode="#,##0">
                        <c:v>6500</c:v>
                      </c:pt>
                      <c:pt idx="7" formatCode="#,##0">
                        <c:v>6662.4999999999991</c:v>
                      </c:pt>
                      <c:pt idx="8" formatCode="#,##0">
                        <c:v>6829.0624999999982</c:v>
                      </c:pt>
                      <c:pt idx="9" formatCode="#,##0">
                        <c:v>6999.7890624999973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CB0-4109-A26C-42859AD15E0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Forecast'!$A$54</c15:sqref>
                        </c15:formulaRef>
                      </c:ext>
                    </c:extLst>
                    <c:strCache>
                      <c:ptCount val="1"/>
                      <c:pt idx="0">
                        <c:v>Shelley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Forecast'!$B$54:$M$54</c15:sqref>
                        </c15:fullRef>
                        <c15:formulaRef>
                          <c15:sqref>('ERU Forecast'!$B$54:$F$54,'ERU Forecast'!$H$54:$L$54)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3">
                        <c:v>2212</c:v>
                      </c:pt>
                      <c:pt idx="5" formatCode="_(* #,##0_);_(* \(#,##0\);_(* &quot;-&quot;??_);_(@_)">
                        <c:v>2270</c:v>
                      </c:pt>
                      <c:pt idx="6" formatCode="#,##0">
                        <c:v>2300</c:v>
                      </c:pt>
                      <c:pt idx="7" formatCode="#,##0">
                        <c:v>2357.5</c:v>
                      </c:pt>
                      <c:pt idx="8" formatCode="#,##0">
                        <c:v>2416.4375</c:v>
                      </c:pt>
                      <c:pt idx="9" formatCode="#,##0">
                        <c:v>2476.8484374999998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CB0-4109-A26C-42859AD15E0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Forecast'!$A$55</c15:sqref>
                        </c15:formulaRef>
                      </c:ext>
                    </c:extLst>
                    <c:strCache>
                      <c:ptCount val="1"/>
                      <c:pt idx="0">
                        <c:v>Counties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Forecast'!$B$55:$M$55</c15:sqref>
                        </c15:fullRef>
                        <c15:formulaRef>
                          <c15:sqref>('ERU Forecast'!$B$55:$F$55,'ERU Forecast'!$H$55:$L$55)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3">
                        <c:v>373</c:v>
                      </c:pt>
                      <c:pt idx="5" formatCode="_(* #,##0_);_(* \(#,##0\);_(* &quot;-&quot;??_);_(@_)">
                        <c:v>585</c:v>
                      </c:pt>
                      <c:pt idx="6" formatCode="#,##0">
                        <c:v>600</c:v>
                      </c:pt>
                      <c:pt idx="7" formatCode="#,##0">
                        <c:v>615</c:v>
                      </c:pt>
                      <c:pt idx="8" formatCode="#,##0">
                        <c:v>630.375</c:v>
                      </c:pt>
                      <c:pt idx="9" formatCode="#,##0">
                        <c:v>646.13437499999998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CB0-4109-A26C-42859AD15E0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'ERU Forecast'!$A$57</c15:sqref>
                        </c15:formulaRef>
                      </c:ext>
                    </c:extLst>
                    <c:strCache>
                      <c:ptCount val="1"/>
                      <c:pt idx="0">
                        <c:v>Resulting annual growth, ERUs/year =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'ERU Forecast'!$B$47:$M$47</c15:sqref>
                        </c15:fullRef>
                        <c15:formulaRef>
                          <c15:sqref>('ERU Forecast'!$B$47:$F$47,'ERU Forecast'!$H$47:$L$47)</c15:sqref>
                        </c15:formulaRef>
                      </c:ext>
                    </c:extLst>
                    <c:strCache>
                      <c:ptCount val="10"/>
                      <c:pt idx="0">
                        <c:v>2020(3)</c:v>
                      </c:pt>
                      <c:pt idx="1">
                        <c:v>2021(3)</c:v>
                      </c:pt>
                      <c:pt idx="2">
                        <c:v>2022(3)</c:v>
                      </c:pt>
                      <c:pt idx="3">
                        <c:v>2023(3)</c:v>
                      </c:pt>
                      <c:pt idx="4">
                        <c:v>2024(2)</c:v>
                      </c:pt>
                      <c:pt idx="5">
                        <c:v>2025(1)</c:v>
                      </c:pt>
                      <c:pt idx="6">
                        <c:v>2026(1)</c:v>
                      </c:pt>
                      <c:pt idx="7">
                        <c:v>2027(1)</c:v>
                      </c:pt>
                      <c:pt idx="8">
                        <c:v>2028(1)</c:v>
                      </c:pt>
                      <c:pt idx="9">
                        <c:v>2029(1)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'ERU Forecast'!$B$57:$M$57</c15:sqref>
                        </c15:fullRef>
                        <c15:formulaRef>
                          <c15:sqref>('ERU Forecast'!$B$57:$F$57,'ERU Forecast'!$H$57:$L$57)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5" formatCode="#,##0">
                        <c:v>200</c:v>
                      </c:pt>
                      <c:pt idx="6" formatCode="#,##0">
                        <c:v>195.02499999999964</c:v>
                      </c:pt>
                      <c:pt idx="7" formatCode="#,##0">
                        <c:v>234.99999999999818</c:v>
                      </c:pt>
                      <c:pt idx="8" formatCode="#,##0">
                        <c:v>240.875</c:v>
                      </c:pt>
                      <c:pt idx="9" formatCode="#,##0">
                        <c:v>246.89687499999854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CB0-4109-A26C-42859AD15E0B}"/>
                  </c:ext>
                </c:extLst>
              </c15:ser>
            </c15:filteredBarSeries>
          </c:ext>
        </c:extLst>
      </c:barChart>
      <c:catAx>
        <c:axId val="625922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921055"/>
        <c:crosses val="autoZero"/>
        <c:auto val="1"/>
        <c:lblAlgn val="ctr"/>
        <c:lblOffset val="100"/>
        <c:noMultiLvlLbl val="0"/>
      </c:catAx>
      <c:valAx>
        <c:axId val="62592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922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'ERU Sum by Month'!$C$6:$R$6</c:f>
              <c:numCache>
                <c:formatCode>m/d/yyyy</c:formatCode>
                <c:ptCount val="16"/>
                <c:pt idx="0">
                  <c:v>44820</c:v>
                </c:pt>
                <c:pt idx="1">
                  <c:v>44856</c:v>
                </c:pt>
                <c:pt idx="2">
                  <c:v>44879</c:v>
                </c:pt>
                <c:pt idx="3">
                  <c:v>44908</c:v>
                </c:pt>
                <c:pt idx="4">
                  <c:v>44940</c:v>
                </c:pt>
                <c:pt idx="5">
                  <c:v>44976</c:v>
                </c:pt>
                <c:pt idx="6">
                  <c:v>45005</c:v>
                </c:pt>
                <c:pt idx="7">
                  <c:v>45034</c:v>
                </c:pt>
                <c:pt idx="8">
                  <c:v>45062</c:v>
                </c:pt>
                <c:pt idx="9">
                  <c:v>45091</c:v>
                </c:pt>
                <c:pt idx="10">
                  <c:v>45125</c:v>
                </c:pt>
                <c:pt idx="11">
                  <c:v>45160</c:v>
                </c:pt>
                <c:pt idx="12">
                  <c:v>45188</c:v>
                </c:pt>
              </c:numCache>
            </c:numRef>
          </c:xVal>
          <c:yVal>
            <c:numRef>
              <c:f>'ERU Sum by Month'!$C$16:$R$16</c:f>
              <c:numCache>
                <c:formatCode>0.00%</c:formatCode>
                <c:ptCount val="16"/>
                <c:pt idx="1">
                  <c:v>2.8471439587164126E-3</c:v>
                </c:pt>
                <c:pt idx="2">
                  <c:v>7.5431417897171324E-2</c:v>
                </c:pt>
                <c:pt idx="3">
                  <c:v>2.121515705109317E-2</c:v>
                </c:pt>
                <c:pt idx="4">
                  <c:v>0.15530325313253721</c:v>
                </c:pt>
                <c:pt idx="5">
                  <c:v>4.4601893257448164E-2</c:v>
                </c:pt>
                <c:pt idx="6">
                  <c:v>2.3607012671411215E-2</c:v>
                </c:pt>
                <c:pt idx="7">
                  <c:v>4.5735404515793734E-2</c:v>
                </c:pt>
                <c:pt idx="8">
                  <c:v>4.1419777943968242E-3</c:v>
                </c:pt>
                <c:pt idx="9">
                  <c:v>3.5884754730001731E-2</c:v>
                </c:pt>
                <c:pt idx="10">
                  <c:v>6.467519064273837E-2</c:v>
                </c:pt>
                <c:pt idx="11">
                  <c:v>2.1899059024807526E-2</c:v>
                </c:pt>
                <c:pt idx="12">
                  <c:v>3.5521147606307278E-2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E6-478D-837F-2797762D0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3695648"/>
        <c:axId val="1983696064"/>
      </c:scatterChart>
      <c:valAx>
        <c:axId val="198369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696064"/>
        <c:crosses val="autoZero"/>
        <c:crossBetween val="midCat"/>
      </c:valAx>
      <c:valAx>
        <c:axId val="198369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695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198120</xdr:colOff>
      <xdr:row>9</xdr:row>
      <xdr:rowOff>72390</xdr:rowOff>
    </xdr:from>
    <xdr:to>
      <xdr:col>8</xdr:col>
      <xdr:colOff>388620</xdr:colOff>
      <xdr:row>25</xdr:row>
      <xdr:rowOff>68580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75F7D6-06E3-BB00-C97E-C38C65229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472440</xdr:colOff>
      <xdr:row>59</xdr:row>
      <xdr:rowOff>26670</xdr:rowOff>
    </xdr:from>
    <xdr:to>
      <xdr:col>5</xdr:col>
      <xdr:colOff>990600</xdr:colOff>
      <xdr:row>74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2CE1C0-06C0-F82F-D448-D55CC0C1A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735061</xdr:colOff>
      <xdr:row>18</xdr:row>
      <xdr:rowOff>28286</xdr:rowOff>
    </xdr:from>
    <xdr:to>
      <xdr:col>11</xdr:col>
      <xdr:colOff>702349</xdr:colOff>
      <xdr:row>35</xdr:row>
      <xdr:rowOff>182803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D6C08B-B7D9-4B5B-A722-C10E3D9C6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KYFILES\public\Post%20Falls,%20ID\2011%20Sewer%20(1906)\Analysis\Post%20Falls%20Sewer%207-25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KYFILES\public\Moscow,%20ID\Models\Water\Moscow%20Water%20-%2001%2027%202012%20Revised%20CI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KYFILES\public\Post%20Falls,%20ID\1906%20Sewer%202012\Analysis\Post%20Falls%20Sewer%2010-12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Summary"/>
      <sheetName val="Charts"/>
      <sheetName val="Assumptions"/>
      <sheetName val="O&amp;M"/>
      <sheetName val="Existing Debt"/>
      <sheetName val="CIP"/>
      <sheetName val="Capital Funding"/>
      <sheetName val="Tests"/>
      <sheetName val="Funds"/>
      <sheetName val="CAP FEE"/>
      <sheetName val="old cap fee"/>
      <sheetName val="CAP FEE Rthd"/>
      <sheetName val="CAP FEE Coll"/>
      <sheetName val="Annual Cap Fee"/>
      <sheetName val="Plant"/>
      <sheetName val="Orig. Depr."/>
      <sheetName val="Repl. Depr."/>
      <sheetName val="Customer Base"/>
      <sheetName val="Reference"/>
      <sheetName val="CIP2"/>
    </sheetNames>
    <sheetDataSet>
      <sheetData sheetId="0"/>
      <sheetData sheetId="1"/>
      <sheetData sheetId="2">
        <row r="67">
          <cell r="C67" t="str">
            <v>FY 2012 / 2013</v>
          </cell>
        </row>
        <row r="68">
          <cell r="C68">
            <v>4000847.5845569517</v>
          </cell>
          <cell r="D68">
            <v>3006269.567533019</v>
          </cell>
          <cell r="E68">
            <v>3911279.6744614537</v>
          </cell>
          <cell r="F68">
            <v>29996560.855337199</v>
          </cell>
          <cell r="G68">
            <v>182651.95025162469</v>
          </cell>
          <cell r="H68">
            <v>13044703.941528117</v>
          </cell>
          <cell r="I68">
            <v>938284.10037451831</v>
          </cell>
          <cell r="J68">
            <v>4541098.4909478938</v>
          </cell>
          <cell r="K68">
            <v>1079142.8077719577</v>
          </cell>
          <cell r="L68">
            <v>764919.53742382373</v>
          </cell>
          <cell r="M68">
            <v>28441547.644775342</v>
          </cell>
          <cell r="N68">
            <v>1065947.6447753434</v>
          </cell>
          <cell r="O68">
            <v>308547.64477534336</v>
          </cell>
        </row>
        <row r="89">
          <cell r="C89">
            <v>5059317.43</v>
          </cell>
          <cell r="D89">
            <v>5098905.8796611093</v>
          </cell>
          <cell r="E89">
            <v>5057897.3956398722</v>
          </cell>
          <cell r="F89">
            <v>7050728.4234856144</v>
          </cell>
          <cell r="G89">
            <v>7140764.8954279898</v>
          </cell>
          <cell r="H89">
            <v>7981637.5027468875</v>
          </cell>
          <cell r="I89">
            <v>8067135.4689600999</v>
          </cell>
          <cell r="J89">
            <v>8364205.0646342449</v>
          </cell>
          <cell r="K89">
            <v>8460797.5745523535</v>
          </cell>
          <cell r="L89">
            <v>8565239.2362179663</v>
          </cell>
          <cell r="M89">
            <v>10383972.893128691</v>
          </cell>
          <cell r="N89">
            <v>10546518.503678147</v>
          </cell>
          <cell r="O89">
            <v>10714992.493069116</v>
          </cell>
          <cell r="P89">
            <v>10738603.65616085</v>
          </cell>
          <cell r="Q89">
            <v>10920383.91856206</v>
          </cell>
          <cell r="R89">
            <v>10848548.985176474</v>
          </cell>
          <cell r="S89">
            <v>11045299.022876821</v>
          </cell>
          <cell r="T89">
            <v>11250149.379208283</v>
          </cell>
          <cell r="U89">
            <v>11463456.33913349</v>
          </cell>
          <cell r="V89">
            <v>11685592.921948753</v>
          </cell>
        </row>
        <row r="90">
          <cell r="C90">
            <v>4179700</v>
          </cell>
          <cell r="D90">
            <v>4221497</v>
          </cell>
          <cell r="E90">
            <v>4263711.9700000007</v>
          </cell>
          <cell r="F90">
            <v>4306349.0897000004</v>
          </cell>
          <cell r="G90">
            <v>4349412.5805970002</v>
          </cell>
          <cell r="H90">
            <v>4392906.7064029705</v>
          </cell>
          <cell r="I90">
            <v>4436835.7734670006</v>
          </cell>
          <cell r="J90">
            <v>4481204.1312016705</v>
          </cell>
          <cell r="K90">
            <v>4526016.1725136871</v>
          </cell>
          <cell r="L90">
            <v>4571276.3342388244</v>
          </cell>
          <cell r="M90">
            <v>4616989.0975812124</v>
          </cell>
          <cell r="N90">
            <v>4663158.9885570249</v>
          </cell>
          <cell r="O90">
            <v>4709790.578442595</v>
          </cell>
          <cell r="P90">
            <v>4756888.4842270203</v>
          </cell>
          <cell r="Q90">
            <v>4804457.3690692913</v>
          </cell>
          <cell r="R90">
            <v>4852501.9427599842</v>
          </cell>
          <cell r="S90">
            <v>4901026.9621875845</v>
          </cell>
          <cell r="T90">
            <v>4950037.2318094606</v>
          </cell>
          <cell r="U90">
            <v>4999537.6041275552</v>
          </cell>
          <cell r="V90">
            <v>5049532.9801688315</v>
          </cell>
        </row>
        <row r="91">
          <cell r="C91">
            <v>4284192.5</v>
          </cell>
          <cell r="D91">
            <v>4759737.8674999997</v>
          </cell>
          <cell r="E91">
            <v>5288068.770792501</v>
          </cell>
          <cell r="F91">
            <v>5875044.404350468</v>
          </cell>
          <cell r="G91">
            <v>6408498.43626549</v>
          </cell>
          <cell r="H91">
            <v>6925664.2600721158</v>
          </cell>
          <cell r="I91">
            <v>7414616.1568332072</v>
          </cell>
          <cell r="J91">
            <v>7863200.4343216158</v>
          </cell>
          <cell r="K91">
            <v>8259505.7362114266</v>
          </cell>
          <cell r="L91">
            <v>8675784.8253164832</v>
          </cell>
          <cell r="M91">
            <v>9113044.3805124331</v>
          </cell>
          <cell r="N91">
            <v>9480300.0690470859</v>
          </cell>
          <cell r="O91">
            <v>9575103.0697375555</v>
          </cell>
          <cell r="P91">
            <v>9670854.1004349291</v>
          </cell>
          <cell r="Q91">
            <v>9767562.6414392814</v>
          </cell>
          <cell r="R91">
            <v>9865238.2678536735</v>
          </cell>
          <cell r="S91">
            <v>9963890.6505322102</v>
          </cell>
          <cell r="T91">
            <v>10063529.557037532</v>
          </cell>
          <cell r="U91">
            <v>10164164.85260791</v>
          </cell>
          <cell r="V91">
            <v>10265806.50113399</v>
          </cell>
        </row>
        <row r="99">
          <cell r="C99">
            <v>0</v>
          </cell>
        </row>
        <row r="100">
          <cell r="C100">
            <v>20</v>
          </cell>
        </row>
      </sheetData>
      <sheetData sheetId="3">
        <row r="6">
          <cell r="E6">
            <v>2013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Summary"/>
      <sheetName val="Charts"/>
      <sheetName val="Assumptions"/>
      <sheetName val="Historical O&amp;M"/>
      <sheetName val="O&amp;M"/>
      <sheetName val="Existing Debt"/>
      <sheetName val="CIP Input"/>
      <sheetName val="CIP Source"/>
      <sheetName val="Capital Funding"/>
      <sheetName val="Tests"/>
      <sheetName val="Funds"/>
      <sheetName val="Func Alloc"/>
      <sheetName val="Cust Alloc"/>
      <sheetName val="Alloc Factors"/>
      <sheetName val="Unit Costs"/>
      <sheetName val="Plant"/>
      <sheetName val="Mains"/>
      <sheetName val="Reference"/>
      <sheetName val="2010 Price Out"/>
      <sheetName val="2010 City Data"/>
      <sheetName val="2011 Price Out"/>
      <sheetName val="2012 Price Out"/>
      <sheetName val="2013 Future Stats"/>
      <sheetName val="Stats"/>
      <sheetName val="Future Statistics"/>
    </sheetNames>
    <sheetDataSet>
      <sheetData sheetId="0" refreshError="1"/>
      <sheetData sheetId="1" refreshError="1"/>
      <sheetData sheetId="2">
        <row r="71">
          <cell r="C71">
            <v>2011</v>
          </cell>
          <cell r="D71">
            <v>2012</v>
          </cell>
          <cell r="E71">
            <v>2013</v>
          </cell>
          <cell r="F71">
            <v>2014</v>
          </cell>
          <cell r="G71">
            <v>2015</v>
          </cell>
          <cell r="H71">
            <v>2016</v>
          </cell>
          <cell r="I71">
            <v>2017</v>
          </cell>
          <cell r="J71">
            <v>2018</v>
          </cell>
        </row>
        <row r="72">
          <cell r="C72">
            <v>32</v>
          </cell>
          <cell r="D72">
            <v>33.199999999999996</v>
          </cell>
          <cell r="E72">
            <v>37.515999999999991</v>
          </cell>
          <cell r="F72">
            <v>40.142119999999991</v>
          </cell>
          <cell r="G72">
            <v>42.952068399999995</v>
          </cell>
          <cell r="H72">
            <v>45.958713187999997</v>
          </cell>
          <cell r="I72">
            <v>49.17582311116</v>
          </cell>
          <cell r="J72">
            <v>52.618130728941203</v>
          </cell>
          <cell r="K72">
            <v>56.301399879967093</v>
          </cell>
          <cell r="L72">
            <v>58.271948875765936</v>
          </cell>
          <cell r="M72">
            <v>58.271948875765936</v>
          </cell>
          <cell r="N72">
            <v>58.271948875765936</v>
          </cell>
          <cell r="O72">
            <v>58.271948875765936</v>
          </cell>
        </row>
        <row r="74">
          <cell r="C74" t="str">
            <v>n/a</v>
          </cell>
          <cell r="D74" t="str">
            <v>n/a</v>
          </cell>
          <cell r="E74">
            <v>3.4346149386106331</v>
          </cell>
          <cell r="F74">
            <v>4.5591650547040823</v>
          </cell>
          <cell r="G74">
            <v>1.6224159388817558</v>
          </cell>
          <cell r="H74">
            <v>2.2944720151117992</v>
          </cell>
          <cell r="I74">
            <v>2.0374353374154399</v>
          </cell>
          <cell r="J74">
            <v>2.5024166954148259</v>
          </cell>
          <cell r="K74">
            <v>1.4919732852752052</v>
          </cell>
          <cell r="L74">
            <v>1.6216324050928288</v>
          </cell>
          <cell r="M74">
            <v>1.1052114103019015</v>
          </cell>
          <cell r="N74">
            <v>0.96923507453117297</v>
          </cell>
          <cell r="O74">
            <v>0.90645277733550556</v>
          </cell>
        </row>
        <row r="75">
          <cell r="C75">
            <v>1.25</v>
          </cell>
          <cell r="D75">
            <v>1.25</v>
          </cell>
          <cell r="E75">
            <v>1.25</v>
          </cell>
          <cell r="F75">
            <v>1.25</v>
          </cell>
          <cell r="G75">
            <v>1.25</v>
          </cell>
          <cell r="H75">
            <v>1.25</v>
          </cell>
          <cell r="I75">
            <v>1.25</v>
          </cell>
          <cell r="J75">
            <v>1.25</v>
          </cell>
          <cell r="K75">
            <v>1.25</v>
          </cell>
          <cell r="L75">
            <v>1.25</v>
          </cell>
          <cell r="M75">
            <v>1.25</v>
          </cell>
          <cell r="N75">
            <v>1.25</v>
          </cell>
          <cell r="O75">
            <v>1.25</v>
          </cell>
        </row>
        <row r="77">
          <cell r="C77">
            <v>0</v>
          </cell>
          <cell r="D77">
            <v>549050</v>
          </cell>
          <cell r="E77">
            <v>704702.39813414507</v>
          </cell>
          <cell r="F77">
            <v>626908.35418318736</v>
          </cell>
          <cell r="G77">
            <v>1366287.6017433594</v>
          </cell>
          <cell r="H77">
            <v>302174.21260221145</v>
          </cell>
          <cell r="I77">
            <v>410388.37741471961</v>
          </cell>
          <cell r="J77">
            <v>391119.94190390117</v>
          </cell>
          <cell r="K77">
            <v>689161.02419007826</v>
          </cell>
          <cell r="L77">
            <v>5392861.4019004079</v>
          </cell>
          <cell r="M77">
            <v>0</v>
          </cell>
          <cell r="N77">
            <v>0</v>
          </cell>
          <cell r="O77">
            <v>0</v>
          </cell>
        </row>
        <row r="78">
          <cell r="C78">
            <v>0</v>
          </cell>
          <cell r="D78">
            <v>1538050</v>
          </cell>
          <cell r="E78">
            <v>1554764.9995791179</v>
          </cell>
          <cell r="F78">
            <v>816825.49482785095</v>
          </cell>
          <cell r="G78">
            <v>1497879.3824138781</v>
          </cell>
          <cell r="H78">
            <v>1532140.4683257258</v>
          </cell>
          <cell r="I78">
            <v>1477007.9320266689</v>
          </cell>
          <cell r="J78">
            <v>1110629.0049530035</v>
          </cell>
          <cell r="K78">
            <v>1219119.529214045</v>
          </cell>
          <cell r="L78">
            <v>1400406.1245020772</v>
          </cell>
          <cell r="M78">
            <v>0</v>
          </cell>
          <cell r="N78">
            <v>0</v>
          </cell>
          <cell r="O78">
            <v>0</v>
          </cell>
        </row>
        <row r="80">
          <cell r="C80">
            <v>776294.38356164377</v>
          </cell>
          <cell r="D80">
            <v>749708.63013698626</v>
          </cell>
          <cell r="E80">
            <v>752008.55216065049</v>
          </cell>
          <cell r="F80">
            <v>857895.68186817074</v>
          </cell>
          <cell r="G80">
            <v>768155.67200042342</v>
          </cell>
          <cell r="H80">
            <v>911167.6248880456</v>
          </cell>
          <cell r="I80">
            <v>932149.74261444365</v>
          </cell>
          <cell r="J80">
            <v>969157.23842170322</v>
          </cell>
          <cell r="K80">
            <v>991693.96548675024</v>
          </cell>
          <cell r="L80">
            <v>1030390.1371594141</v>
          </cell>
          <cell r="M80">
            <v>1163473.7054002746</v>
          </cell>
          <cell r="N80">
            <v>1102527.0742513959</v>
          </cell>
          <cell r="O80">
            <v>926630.86775549455</v>
          </cell>
        </row>
        <row r="81">
          <cell r="C81">
            <v>3705498.7064383561</v>
          </cell>
          <cell r="D81">
            <v>1973768.1672249143</v>
          </cell>
          <cell r="E81">
            <v>1546388.4559057779</v>
          </cell>
          <cell r="F81">
            <v>294466.45694030588</v>
          </cell>
          <cell r="G81">
            <v>1746219.2008716865</v>
          </cell>
          <cell r="H81">
            <v>235575.71054651681</v>
          </cell>
          <cell r="I81">
            <v>1017668.0433792565</v>
          </cell>
          <cell r="J81">
            <v>333780.93548739422</v>
          </cell>
          <cell r="K81">
            <v>6884308.240390175</v>
          </cell>
          <cell r="L81">
            <v>711866.57022820972</v>
          </cell>
          <cell r="M81">
            <v>794271.02515447373</v>
          </cell>
          <cell r="N81">
            <v>1809163.603599838</v>
          </cell>
          <cell r="O81">
            <v>1844349.0694038209</v>
          </cell>
        </row>
        <row r="86">
          <cell r="C86">
            <v>3148305</v>
          </cell>
          <cell r="D86">
            <v>3317485</v>
          </cell>
          <cell r="E86">
            <v>3602604.360428202</v>
          </cell>
          <cell r="F86">
            <v>3718168.2861342151</v>
          </cell>
          <cell r="G86">
            <v>3817380.4209050527</v>
          </cell>
          <cell r="H86">
            <v>3894483.8874431937</v>
          </cell>
          <cell r="I86">
            <v>4025992.237893939</v>
          </cell>
          <cell r="J86">
            <v>4141591.7617112426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C88">
            <v>0</v>
          </cell>
          <cell r="D88">
            <v>0</v>
          </cell>
          <cell r="E88">
            <v>150772.34659024148</v>
          </cell>
          <cell r="F88">
            <v>150772.34659024148</v>
          </cell>
          <cell r="G88">
            <v>514399.77071964729</v>
          </cell>
          <cell r="H88">
            <v>514399.77071964729</v>
          </cell>
          <cell r="I88">
            <v>709516.92513054796</v>
          </cell>
          <cell r="J88">
            <v>709516.92513054796</v>
          </cell>
        </row>
        <row r="89">
          <cell r="C89">
            <v>0</v>
          </cell>
          <cell r="D89">
            <v>0</v>
          </cell>
          <cell r="E89">
            <v>50000</v>
          </cell>
          <cell r="F89">
            <v>100000</v>
          </cell>
          <cell r="G89">
            <v>150000</v>
          </cell>
          <cell r="H89">
            <v>200000</v>
          </cell>
          <cell r="I89">
            <v>250000</v>
          </cell>
          <cell r="J89">
            <v>300000</v>
          </cell>
        </row>
        <row r="105">
          <cell r="C105">
            <v>0</v>
          </cell>
        </row>
        <row r="106">
          <cell r="C106">
            <v>6</v>
          </cell>
        </row>
      </sheetData>
      <sheetData sheetId="3">
        <row r="1">
          <cell r="B1" t="str">
            <v>City of Moscow</v>
          </cell>
        </row>
      </sheetData>
      <sheetData sheetId="4" refreshError="1"/>
      <sheetData sheetId="5" refreshError="1"/>
      <sheetData sheetId="6" refreshError="1"/>
      <sheetData sheetId="7">
        <row r="8">
          <cell r="AR8">
            <v>2011</v>
          </cell>
          <cell r="AS8">
            <v>2012</v>
          </cell>
          <cell r="AT8">
            <v>2013</v>
          </cell>
          <cell r="AU8">
            <v>2014</v>
          </cell>
          <cell r="AV8">
            <v>2015</v>
          </cell>
          <cell r="AW8">
            <v>2016</v>
          </cell>
          <cell r="AX8">
            <v>2017</v>
          </cell>
          <cell r="AY8">
            <v>2018</v>
          </cell>
        </row>
        <row r="167">
          <cell r="AR167">
            <v>0</v>
          </cell>
          <cell r="AS167">
            <v>2087100</v>
          </cell>
          <cell r="AT167">
            <v>2259467.3977132635</v>
          </cell>
          <cell r="AU167">
            <v>1443733.849011038</v>
          </cell>
          <cell r="AV167">
            <v>2864166.9841572368</v>
          </cell>
          <cell r="AW167">
            <v>1834314.6809279372</v>
          </cell>
          <cell r="AX167">
            <v>1887396.3094413884</v>
          </cell>
          <cell r="AY167">
            <v>1501748.9468569048</v>
          </cell>
        </row>
        <row r="205">
          <cell r="D205">
            <v>0</v>
          </cell>
        </row>
        <row r="206">
          <cell r="D206">
            <v>10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harts"/>
      <sheetName val="Summary"/>
      <sheetName val="Assumptions"/>
      <sheetName val="O&amp;M"/>
      <sheetName val="Existing Debt"/>
      <sheetName val="CIP"/>
      <sheetName val="Capital Funding"/>
      <sheetName val="Tests"/>
      <sheetName val="Funds"/>
      <sheetName val="CAP FEE"/>
      <sheetName val="CIP2"/>
      <sheetName val="Plant"/>
      <sheetName val="Repl. Depr."/>
      <sheetName val="Customer Base"/>
      <sheetName val="Reference"/>
      <sheetName val="CIP Coll"/>
      <sheetName val="Orig. Depr."/>
    </sheetNames>
    <sheetDataSet>
      <sheetData sheetId="0"/>
      <sheetData sheetId="1">
        <row r="67">
          <cell r="C67">
            <v>2013</v>
          </cell>
        </row>
      </sheetData>
      <sheetData sheetId="2"/>
      <sheetData sheetId="3"/>
      <sheetData sheetId="4"/>
      <sheetData sheetId="5"/>
      <sheetData sheetId="6">
        <row r="7">
          <cell r="AT7">
            <v>2013</v>
          </cell>
        </row>
        <row r="180">
          <cell r="E180">
            <v>6788447.5845569521</v>
          </cell>
        </row>
        <row r="219">
          <cell r="D219">
            <v>0</v>
          </cell>
        </row>
        <row r="220">
          <cell r="D220">
            <v>20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ce Perry" id="{2BF6E7EA-4B16-408B-A611-578D50759168}" userId="S::jperry@clearwaterfinancial.biz::259a4dd3-a3b4-407c-ad72-019539e7be9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4-07-01T20:20:48.12" personId="{2BF6E7EA-4B16-408B-A611-578D50759168}" id="{C760D476-30F9-4F75-B44D-B32FC3C6A2A4}">
    <text>$2.3mm in connection fee revenue</text>
  </threadedComment>
  <threadedComment ref="A12" dT="2024-06-28T22:17:30.33" personId="{2BF6E7EA-4B16-408B-A611-578D50759168}" id="{93D01A4A-AD2F-466C-BBD0-67B160535516}">
    <text>Made up of account 62-340-101 and 62-340-103 per Jennifer from Ammon</text>
  </threadedComment>
  <threadedComment ref="O22" dT="2023-09-26T16:40:06.62" personId="{2BF6E7EA-4B16-408B-A611-578D50759168}" id="{A83D2307-BFC9-428C-8DC1-AB78B3E5D788}">
    <text>Shelly loan rolls off</text>
  </threadedComment>
  <threadedComment ref="AA22" dT="2023-09-26T16:41:07.37" personId="{2BF6E7EA-4B16-408B-A611-578D50759168}" id="{0F61C41E-8FBF-4AF6-A975-D60B1CBC005B}">
    <text>Ammon Loan rolls off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6076-9068-4419-8DA5-83F20ED9183F}">
  <dimension ref="A3:M69"/>
  <sheetViews>
    <sheetView topLeftCell="A24" workbookViewId="0">
      <selection activeCell="H36" sqref="A12:H36"/>
    </sheetView>
  </sheetViews>
  <sheetFormatPr defaultRowHeight="14.4" x14ac:dyDescent="0.3"/>
  <cols>
    <col min="1" max="1" width="2.109375" customWidth="1"/>
    <col min="2" max="2" width="51.88671875" customWidth="1"/>
    <col min="3" max="6" width="12" customWidth="1"/>
    <col min="7" max="7" width="13.44140625" customWidth="1"/>
    <col min="8" max="8" width="1.6640625" customWidth="1"/>
    <col min="11" max="11" width="36.6640625" customWidth="1"/>
    <col min="12" max="12" width="17.109375" customWidth="1"/>
  </cols>
  <sheetData>
    <row r="3" spans="1:13" ht="15" thickBot="1" x14ac:dyDescent="0.35"/>
    <row r="4" spans="1:13" x14ac:dyDescent="0.3">
      <c r="K4" s="166" t="s">
        <v>156</v>
      </c>
      <c r="L4" s="167">
        <f>-'Const cost summary'!B35-'Const cost summary'!B59</f>
        <v>-44560672.25</v>
      </c>
    </row>
    <row r="5" spans="1:13" x14ac:dyDescent="0.3">
      <c r="K5" s="164" t="s">
        <v>152</v>
      </c>
      <c r="L5" s="168">
        <f>'Const cost summary'!B22</f>
        <v>2440971</v>
      </c>
    </row>
    <row r="6" spans="1:13" x14ac:dyDescent="0.3">
      <c r="K6" s="164" t="s">
        <v>153</v>
      </c>
      <c r="L6" s="168">
        <f>'Const cost summary'!C14</f>
        <v>8845217</v>
      </c>
    </row>
    <row r="7" spans="1:13" x14ac:dyDescent="0.3">
      <c r="K7" s="164" t="s">
        <v>154</v>
      </c>
      <c r="L7" s="169">
        <v>33500000</v>
      </c>
    </row>
    <row r="8" spans="1:13" ht="15" thickBot="1" x14ac:dyDescent="0.35">
      <c r="K8" s="170" t="s">
        <v>155</v>
      </c>
      <c r="L8" s="171">
        <f>SUM(L4:L7)</f>
        <v>225515.75</v>
      </c>
    </row>
    <row r="11" spans="1:13" ht="15" thickBot="1" x14ac:dyDescent="0.35"/>
    <row r="12" spans="1:13" ht="9" customHeight="1" x14ac:dyDescent="0.3">
      <c r="A12" s="166"/>
      <c r="B12" s="181"/>
      <c r="C12" s="181"/>
      <c r="D12" s="181"/>
      <c r="E12" s="181"/>
      <c r="F12" s="181"/>
      <c r="G12" s="181"/>
      <c r="H12" s="182"/>
    </row>
    <row r="13" spans="1:13" ht="13.2" customHeight="1" x14ac:dyDescent="0.3">
      <c r="A13" s="164"/>
      <c r="B13" s="159"/>
      <c r="C13" s="159"/>
      <c r="D13" s="159"/>
      <c r="E13" s="159"/>
      <c r="F13" s="159"/>
      <c r="G13" s="213" t="s">
        <v>262</v>
      </c>
      <c r="H13" s="183"/>
    </row>
    <row r="14" spans="1:13" ht="13.8" customHeight="1" x14ac:dyDescent="0.3">
      <c r="A14" s="164"/>
      <c r="B14" s="159"/>
      <c r="C14" s="159"/>
      <c r="D14" s="159"/>
      <c r="E14" s="159"/>
      <c r="F14" s="159"/>
      <c r="G14" s="213"/>
      <c r="H14" s="183"/>
    </row>
    <row r="15" spans="1:13" x14ac:dyDescent="0.3">
      <c r="A15" s="164"/>
      <c r="B15" s="159"/>
      <c r="C15" s="212" t="s">
        <v>56</v>
      </c>
      <c r="D15" s="212"/>
      <c r="E15" s="212"/>
      <c r="F15" s="212"/>
      <c r="G15" s="213"/>
      <c r="H15" s="183"/>
    </row>
    <row r="16" spans="1:13" x14ac:dyDescent="0.3">
      <c r="A16" s="164"/>
      <c r="B16" s="159"/>
      <c r="C16" s="160" t="s">
        <v>286</v>
      </c>
      <c r="D16" s="160" t="s">
        <v>285</v>
      </c>
      <c r="E16" s="160" t="s">
        <v>287</v>
      </c>
      <c r="F16" s="160" t="s">
        <v>288</v>
      </c>
      <c r="G16" s="160" t="s">
        <v>280</v>
      </c>
      <c r="H16" s="184"/>
      <c r="I16" s="51"/>
      <c r="J16" s="51"/>
      <c r="K16" s="51"/>
      <c r="L16" s="51"/>
      <c r="M16" s="51"/>
    </row>
    <row r="17" spans="1:8" ht="15.6" customHeight="1" x14ac:dyDescent="0.3">
      <c r="A17" s="164"/>
      <c r="B17" s="207" t="s">
        <v>53</v>
      </c>
      <c r="C17" s="162"/>
      <c r="D17" s="162"/>
      <c r="E17" s="162"/>
      <c r="F17" s="162"/>
      <c r="G17" s="162"/>
      <c r="H17" s="183"/>
    </row>
    <row r="18" spans="1:8" ht="15.6" customHeight="1" x14ac:dyDescent="0.3">
      <c r="A18" s="164"/>
      <c r="B18" s="208" t="s">
        <v>143</v>
      </c>
      <c r="C18" s="162">
        <f>'Historical Financial Info'!B8</f>
        <v>1140549</v>
      </c>
      <c r="D18" s="162">
        <f>'Historical Financial Info'!C8</f>
        <v>1465258</v>
      </c>
      <c r="E18" s="162">
        <f>'Historical Financial Info'!D8</f>
        <v>1712923</v>
      </c>
      <c r="F18" s="162">
        <f>'Historical Financial Info'!E8</f>
        <v>4643109</v>
      </c>
      <c r="G18" s="162">
        <f>'Historical Financial Info'!F8</f>
        <v>1603097.31</v>
      </c>
      <c r="H18" s="168">
        <f>'Historical Financial Info'!G8</f>
        <v>0</v>
      </c>
    </row>
    <row r="19" spans="1:8" ht="15.6" customHeight="1" x14ac:dyDescent="0.3">
      <c r="A19" s="164"/>
      <c r="B19" s="208" t="s">
        <v>73</v>
      </c>
      <c r="C19" s="162">
        <f>'Historical Financial Info'!B9</f>
        <v>0</v>
      </c>
      <c r="D19" s="162">
        <f>'Historical Financial Info'!C9</f>
        <v>0</v>
      </c>
      <c r="E19" s="162">
        <f>'Historical Financial Info'!D9</f>
        <v>0</v>
      </c>
      <c r="F19" s="162">
        <f>'Historical Financial Info'!E9</f>
        <v>0</v>
      </c>
      <c r="G19" s="162">
        <f>'Historical Financial Info'!F9</f>
        <v>0</v>
      </c>
      <c r="H19" s="168">
        <f>'Historical Financial Info'!G9</f>
        <v>0</v>
      </c>
    </row>
    <row r="20" spans="1:8" ht="15.6" customHeight="1" x14ac:dyDescent="0.3">
      <c r="A20" s="164"/>
      <c r="B20" s="208" t="s">
        <v>142</v>
      </c>
      <c r="C20" s="162">
        <f>'Historical Financial Info'!B10</f>
        <v>0</v>
      </c>
      <c r="D20" s="162">
        <f>'Historical Financial Info'!C10</f>
        <v>0</v>
      </c>
      <c r="E20" s="162">
        <f>'Historical Financial Info'!D10</f>
        <v>0</v>
      </c>
      <c r="F20" s="162">
        <f>'Historical Financial Info'!E10</f>
        <v>0</v>
      </c>
      <c r="G20" s="162">
        <f>'Historical Financial Info'!F10</f>
        <v>1495381.5</v>
      </c>
      <c r="H20" s="168">
        <f>'Historical Financial Info'!G10</f>
        <v>0</v>
      </c>
    </row>
    <row r="21" spans="1:8" ht="15.6" customHeight="1" x14ac:dyDescent="0.3">
      <c r="A21" s="164"/>
      <c r="B21" s="209" t="s">
        <v>86</v>
      </c>
      <c r="C21" s="162">
        <f>'Historical Financial Info'!B11</f>
        <v>547892</v>
      </c>
      <c r="D21" s="162">
        <f>'Historical Financial Info'!C11</f>
        <v>573374</v>
      </c>
      <c r="E21" s="162">
        <f>'Historical Financial Info'!D11</f>
        <v>609073</v>
      </c>
      <c r="F21" s="162">
        <f>'Historical Financial Info'!E11</f>
        <v>626242</v>
      </c>
      <c r="G21" s="162">
        <f>'Historical Financial Info'!F11</f>
        <v>509355</v>
      </c>
      <c r="H21" s="168">
        <f>'Historical Financial Info'!G11</f>
        <v>0</v>
      </c>
    </row>
    <row r="22" spans="1:8" ht="15.6" customHeight="1" x14ac:dyDescent="0.3">
      <c r="A22" s="164"/>
      <c r="B22" s="209" t="s">
        <v>83</v>
      </c>
      <c r="C22" s="162">
        <f>'Historical Financial Info'!B12</f>
        <v>1451058.96</v>
      </c>
      <c r="D22" s="162">
        <f>'Historical Financial Info'!C12</f>
        <v>1508376.96</v>
      </c>
      <c r="E22" s="162">
        <f>'Historical Financial Info'!D12</f>
        <v>1528440.96</v>
      </c>
      <c r="F22" s="162">
        <f>'Historical Financial Info'!E12</f>
        <v>1612362.96</v>
      </c>
      <c r="G22" s="162">
        <f>'Historical Financial Info'!F12</f>
        <v>1294425</v>
      </c>
      <c r="H22" s="168">
        <f>'Historical Financial Info'!G12</f>
        <v>0</v>
      </c>
    </row>
    <row r="23" spans="1:8" ht="15.6" customHeight="1" x14ac:dyDescent="0.3">
      <c r="A23" s="164"/>
      <c r="B23" s="210" t="s">
        <v>79</v>
      </c>
      <c r="C23" s="162">
        <f>'Historical Financial Info'!B13</f>
        <v>0</v>
      </c>
      <c r="D23" s="162">
        <f>'Historical Financial Info'!C13</f>
        <v>0</v>
      </c>
      <c r="E23" s="162">
        <f>'Historical Financial Info'!D13</f>
        <v>0</v>
      </c>
      <c r="F23" s="162">
        <f>'Historical Financial Info'!E13</f>
        <v>0</v>
      </c>
      <c r="G23" s="162">
        <f>'Historical Financial Info'!F13</f>
        <v>2363382</v>
      </c>
      <c r="H23" s="168">
        <f>'Historical Financial Info'!G13</f>
        <v>0</v>
      </c>
    </row>
    <row r="24" spans="1:8" ht="15.6" customHeight="1" x14ac:dyDescent="0.3">
      <c r="A24" s="164"/>
      <c r="B24" s="211" t="s">
        <v>81</v>
      </c>
      <c r="C24" s="162">
        <f>'Historical Financial Info'!B14</f>
        <v>0</v>
      </c>
      <c r="D24" s="162">
        <f>'Historical Financial Info'!C14</f>
        <v>0</v>
      </c>
      <c r="E24" s="162">
        <f>'Historical Financial Info'!D14</f>
        <v>0</v>
      </c>
      <c r="F24" s="162">
        <f>'Historical Financial Info'!E14</f>
        <v>0</v>
      </c>
      <c r="G24" s="162">
        <f>'Historical Financial Info'!F14</f>
        <v>259875</v>
      </c>
      <c r="H24" s="168">
        <f>'Historical Financial Info'!G14</f>
        <v>0</v>
      </c>
    </row>
    <row r="25" spans="1:8" ht="15.6" customHeight="1" x14ac:dyDescent="0.3">
      <c r="A25" s="164"/>
      <c r="B25" s="159" t="s">
        <v>54</v>
      </c>
      <c r="C25" s="162">
        <f>'Historical Financial Info'!B15</f>
        <v>915574</v>
      </c>
      <c r="D25" s="162">
        <f>'Historical Financial Info'!C15</f>
        <v>1659534</v>
      </c>
      <c r="E25" s="162">
        <f>'Historical Financial Info'!D15</f>
        <v>2420316</v>
      </c>
      <c r="F25" s="162">
        <f>'Historical Financial Info'!E15</f>
        <v>1007229</v>
      </c>
      <c r="G25" s="162">
        <f>'Historical Financial Info'!F15</f>
        <v>0</v>
      </c>
      <c r="H25" s="168">
        <f>'Historical Financial Info'!G15</f>
        <v>0</v>
      </c>
    </row>
    <row r="26" spans="1:8" ht="15.6" customHeight="1" x14ac:dyDescent="0.3">
      <c r="A26" s="164"/>
      <c r="B26" s="208" t="s">
        <v>144</v>
      </c>
      <c r="C26" s="161">
        <f>'Historical Financial Info'!B16</f>
        <v>0</v>
      </c>
      <c r="D26" s="161">
        <f>'Historical Financial Info'!C16</f>
        <v>0</v>
      </c>
      <c r="E26" s="161">
        <f>'Historical Financial Info'!D16</f>
        <v>0</v>
      </c>
      <c r="F26" s="161">
        <f>'Historical Financial Info'!E16</f>
        <v>0</v>
      </c>
      <c r="G26" s="161">
        <f>'Historical Financial Info'!F16</f>
        <v>788062.5</v>
      </c>
      <c r="H26" s="168">
        <f>'Historical Financial Info'!G16</f>
        <v>0</v>
      </c>
    </row>
    <row r="27" spans="1:8" ht="15.6" customHeight="1" x14ac:dyDescent="0.3">
      <c r="A27" s="164"/>
      <c r="B27" s="159" t="s">
        <v>55</v>
      </c>
      <c r="C27" s="162">
        <f>SUM(C17:C26)</f>
        <v>4055073.96</v>
      </c>
      <c r="D27" s="162">
        <f t="shared" ref="D27:G27" si="0">SUM(D17:D26)</f>
        <v>5206542.96</v>
      </c>
      <c r="E27" s="162">
        <f t="shared" si="0"/>
        <v>6270752.96</v>
      </c>
      <c r="F27" s="162">
        <f t="shared" si="0"/>
        <v>7888942.96</v>
      </c>
      <c r="G27" s="162">
        <f t="shared" si="0"/>
        <v>8313578.3100000005</v>
      </c>
      <c r="H27" s="183"/>
    </row>
    <row r="28" spans="1:8" ht="18" customHeight="1" x14ac:dyDescent="0.3">
      <c r="A28" s="164"/>
      <c r="B28" s="159" t="s">
        <v>58</v>
      </c>
      <c r="C28" s="161">
        <f>'Historical Financial Info'!B20</f>
        <v>1095827</v>
      </c>
      <c r="D28" s="161">
        <f>'Historical Financial Info'!C20</f>
        <v>1361378</v>
      </c>
      <c r="E28" s="161">
        <f>'Historical Financial Info'!D20</f>
        <v>1451497</v>
      </c>
      <c r="F28" s="161">
        <f>'Historical Financial Info'!E20</f>
        <v>1439917</v>
      </c>
      <c r="G28" s="161">
        <f>'Historical Financial Info'!F20</f>
        <v>1557867.27</v>
      </c>
      <c r="H28" s="183"/>
    </row>
    <row r="29" spans="1:8" ht="15.6" customHeight="1" x14ac:dyDescent="0.3">
      <c r="A29" s="164"/>
      <c r="B29" s="159" t="s">
        <v>60</v>
      </c>
      <c r="C29" s="162">
        <f>C27-C28</f>
        <v>2959246.96</v>
      </c>
      <c r="D29" s="162">
        <f t="shared" ref="D29:G29" si="1">D27-D28</f>
        <v>3845164.96</v>
      </c>
      <c r="E29" s="162">
        <f t="shared" si="1"/>
        <v>4819255.96</v>
      </c>
      <c r="F29" s="162">
        <f t="shared" si="1"/>
        <v>6449025.96</v>
      </c>
      <c r="G29" s="162">
        <f t="shared" si="1"/>
        <v>6755711.040000001</v>
      </c>
      <c r="H29" s="183"/>
    </row>
    <row r="30" spans="1:8" ht="15.6" customHeight="1" x14ac:dyDescent="0.3">
      <c r="A30" s="164"/>
      <c r="B30" s="159" t="s">
        <v>270</v>
      </c>
      <c r="C30" s="162"/>
      <c r="D30" s="162"/>
      <c r="E30" s="162"/>
      <c r="F30" s="162"/>
      <c r="G30" s="162"/>
      <c r="H30" s="183"/>
    </row>
    <row r="31" spans="1:8" ht="15.6" customHeight="1" x14ac:dyDescent="0.3">
      <c r="A31" s="164"/>
      <c r="B31" s="159" t="s">
        <v>272</v>
      </c>
      <c r="C31" s="162">
        <f>Inputs!$B$21</f>
        <v>1068522.8400000001</v>
      </c>
      <c r="D31" s="162">
        <f>Inputs!$B$21</f>
        <v>1068522.8400000001</v>
      </c>
      <c r="E31" s="162">
        <f>Inputs!$B$21</f>
        <v>1068522.8400000001</v>
      </c>
      <c r="F31" s="162">
        <f>Inputs!$B$21</f>
        <v>1068522.8400000001</v>
      </c>
      <c r="G31" s="162">
        <f>Inputs!B23</f>
        <v>1018575.14</v>
      </c>
      <c r="H31" s="183"/>
    </row>
    <row r="32" spans="1:8" ht="15.6" customHeight="1" x14ac:dyDescent="0.3">
      <c r="A32" s="164"/>
      <c r="B32" s="159" t="s">
        <v>289</v>
      </c>
      <c r="C32" s="161">
        <f>Inputs!$B$24</f>
        <v>487350</v>
      </c>
      <c r="D32" s="161">
        <f>Inputs!$B$24</f>
        <v>487350</v>
      </c>
      <c r="E32" s="161">
        <f>Inputs!$B$24</f>
        <v>487350</v>
      </c>
      <c r="F32" s="161">
        <f>Inputs!$B$24</f>
        <v>487350</v>
      </c>
      <c r="G32" s="161">
        <f>Inputs!$B$24</f>
        <v>487350</v>
      </c>
      <c r="H32" s="183"/>
    </row>
    <row r="33" spans="1:8" ht="15.6" customHeight="1" x14ac:dyDescent="0.3">
      <c r="A33" s="164"/>
      <c r="C33" s="162">
        <f>SUM(C31:C32)</f>
        <v>1555872.84</v>
      </c>
      <c r="D33" s="162">
        <f t="shared" ref="D33:G33" si="2">SUM(D31:D32)</f>
        <v>1555872.84</v>
      </c>
      <c r="E33" s="162">
        <f t="shared" si="2"/>
        <v>1555872.84</v>
      </c>
      <c r="F33" s="162">
        <f t="shared" si="2"/>
        <v>1555872.84</v>
      </c>
      <c r="G33" s="162">
        <f t="shared" si="2"/>
        <v>1505925.1400000001</v>
      </c>
      <c r="H33" s="183"/>
    </row>
    <row r="34" spans="1:8" ht="15.6" customHeight="1" x14ac:dyDescent="0.3">
      <c r="A34" s="164"/>
      <c r="B34" s="159" t="s">
        <v>261</v>
      </c>
      <c r="C34" s="163">
        <f>C29/C33</f>
        <v>1.901985100530452</v>
      </c>
      <c r="D34" s="163">
        <f t="shared" ref="D34:G34" si="3">D29/D33</f>
        <v>2.4713876745865684</v>
      </c>
      <c r="E34" s="163">
        <f t="shared" si="3"/>
        <v>3.0974613323798361</v>
      </c>
      <c r="F34" s="163">
        <f t="shared" si="3"/>
        <v>4.1449569619069893</v>
      </c>
      <c r="G34" s="163">
        <f t="shared" si="3"/>
        <v>4.486086898051254</v>
      </c>
      <c r="H34" s="183"/>
    </row>
    <row r="35" spans="1:8" ht="15.6" customHeight="1" x14ac:dyDescent="0.3">
      <c r="A35" s="164"/>
      <c r="B35" s="207" t="s">
        <v>61</v>
      </c>
      <c r="C35" s="162">
        <f>'Historical Financial Info'!B27</f>
        <v>1395142.96</v>
      </c>
      <c r="D35" s="162">
        <f>'Historical Financial Info'!C27</f>
        <v>2283040.96</v>
      </c>
      <c r="E35" s="162">
        <f>'Historical Financial Info'!D27</f>
        <v>3255151.96</v>
      </c>
      <c r="F35" s="162">
        <f>'Historical Financial Info'!E27</f>
        <v>4885581.96</v>
      </c>
      <c r="G35" s="162">
        <f>'Historical Financial Info'!F27</f>
        <v>5192267.040000001</v>
      </c>
      <c r="H35" s="183"/>
    </row>
    <row r="36" spans="1:8" ht="5.4" customHeight="1" thickBot="1" x14ac:dyDescent="0.35">
      <c r="A36" s="170"/>
      <c r="B36" s="188"/>
      <c r="C36" s="186"/>
      <c r="D36" s="186"/>
      <c r="E36" s="186"/>
      <c r="F36" s="186"/>
      <c r="G36" s="186"/>
      <c r="H36" s="187"/>
    </row>
    <row r="37" spans="1:8" ht="15" thickBot="1" x14ac:dyDescent="0.35">
      <c r="B37" s="82"/>
      <c r="H37" s="83"/>
    </row>
    <row r="38" spans="1:8" ht="7.8" customHeight="1" x14ac:dyDescent="0.3">
      <c r="A38" s="166"/>
      <c r="B38" s="181"/>
      <c r="C38" s="181"/>
      <c r="D38" s="181"/>
      <c r="E38" s="181"/>
      <c r="F38" s="181"/>
      <c r="G38" s="181"/>
      <c r="H38" s="182"/>
    </row>
    <row r="39" spans="1:8" x14ac:dyDescent="0.3">
      <c r="A39" s="164"/>
      <c r="B39" s="159"/>
      <c r="C39" s="212" t="s">
        <v>290</v>
      </c>
      <c r="D39" s="212"/>
      <c r="E39" s="212"/>
      <c r="F39" s="212"/>
      <c r="G39" s="212"/>
      <c r="H39" s="183"/>
    </row>
    <row r="40" spans="1:8" x14ac:dyDescent="0.3">
      <c r="A40" s="164"/>
      <c r="B40" s="159"/>
      <c r="C40" s="160">
        <v>2025</v>
      </c>
      <c r="D40" s="160">
        <v>2026</v>
      </c>
      <c r="E40" s="160">
        <v>2027</v>
      </c>
      <c r="F40" s="160">
        <v>2028</v>
      </c>
      <c r="G40" s="160">
        <v>2029</v>
      </c>
      <c r="H40" s="183"/>
    </row>
    <row r="41" spans="1:8" x14ac:dyDescent="0.3">
      <c r="A41" s="164"/>
      <c r="B41" s="159" t="s">
        <v>55</v>
      </c>
      <c r="C41" s="162">
        <f>'Historical Financial Info'!H17</f>
        <v>6913690.2685000002</v>
      </c>
      <c r="D41" s="162">
        <f>'Historical Financial Info'!I17</f>
        <v>6672973.6033208715</v>
      </c>
      <c r="E41" s="162">
        <f>'Historical Financial Info'!J17</f>
        <v>6733191.0248186523</v>
      </c>
      <c r="F41" s="162">
        <f>'Historical Financial Info'!K17</f>
        <v>6805771.8851663666</v>
      </c>
      <c r="G41" s="162">
        <f>'Historical Financial Info'!L17</f>
        <v>7084836.3757772641</v>
      </c>
      <c r="H41" s="183"/>
    </row>
    <row r="42" spans="1:8" x14ac:dyDescent="0.3">
      <c r="A42" s="164"/>
      <c r="B42" s="159" t="s">
        <v>58</v>
      </c>
      <c r="C42" s="161">
        <f>'Historical Financial Info'!H20</f>
        <v>1620181.9608</v>
      </c>
      <c r="D42" s="161">
        <f>'Historical Financial Info'!I20</f>
        <v>1684989.239232</v>
      </c>
      <c r="E42" s="161">
        <f>'Historical Financial Info'!J20</f>
        <v>1752388.8088012801</v>
      </c>
      <c r="F42" s="161">
        <f>'Historical Financial Info'!K20</f>
        <v>1822484.3611533314</v>
      </c>
      <c r="G42" s="161">
        <f>'Historical Financial Info'!L20</f>
        <v>1895383.7355994647</v>
      </c>
      <c r="H42" s="183"/>
    </row>
    <row r="43" spans="1:8" x14ac:dyDescent="0.3">
      <c r="A43" s="164"/>
      <c r="B43" s="159" t="s">
        <v>60</v>
      </c>
      <c r="C43" s="162">
        <f>C41-C42</f>
        <v>5293508.3077000007</v>
      </c>
      <c r="D43" s="162">
        <f t="shared" ref="D43:G43" si="4">D41-D42</f>
        <v>4987984.3640888715</v>
      </c>
      <c r="E43" s="162">
        <f t="shared" si="4"/>
        <v>4980802.216017372</v>
      </c>
      <c r="F43" s="162">
        <f t="shared" si="4"/>
        <v>4983287.524013035</v>
      </c>
      <c r="G43" s="162">
        <f t="shared" si="4"/>
        <v>5189452.6401777994</v>
      </c>
      <c r="H43" s="183"/>
    </row>
    <row r="44" spans="1:8" x14ac:dyDescent="0.3">
      <c r="A44" s="164"/>
      <c r="B44" s="159" t="s">
        <v>150</v>
      </c>
      <c r="C44" s="162"/>
      <c r="D44" s="162"/>
      <c r="E44" s="162"/>
      <c r="F44" s="162"/>
      <c r="G44" s="162"/>
      <c r="H44" s="183"/>
    </row>
    <row r="45" spans="1:8" x14ac:dyDescent="0.3">
      <c r="A45" s="164"/>
      <c r="B45" s="159" t="s">
        <v>271</v>
      </c>
      <c r="C45" s="162">
        <f>Inputs!$B$24</f>
        <v>487350</v>
      </c>
      <c r="D45" s="162">
        <f>Inputs!$B$24</f>
        <v>487350</v>
      </c>
      <c r="E45" s="162">
        <f>Inputs!$B$24</f>
        <v>487350</v>
      </c>
      <c r="F45" s="162">
        <f>Inputs!$B$24</f>
        <v>487350</v>
      </c>
      <c r="G45" s="162">
        <f>Inputs!$B$24</f>
        <v>487350</v>
      </c>
      <c r="H45" s="183"/>
    </row>
    <row r="46" spans="1:8" x14ac:dyDescent="0.3">
      <c r="A46" s="164"/>
      <c r="B46" s="159" t="s">
        <v>272</v>
      </c>
      <c r="C46" s="162">
        <f>Inputs!$B$23</f>
        <v>1018575.14</v>
      </c>
      <c r="D46" s="162">
        <f>Inputs!$B$23</f>
        <v>1018575.14</v>
      </c>
      <c r="E46" s="162">
        <f>Inputs!$B$23</f>
        <v>1018575.14</v>
      </c>
      <c r="F46" s="162">
        <f>Inputs!$B$23</f>
        <v>1018575.14</v>
      </c>
      <c r="G46" s="162">
        <f>Inputs!$B$23</f>
        <v>1018575.14</v>
      </c>
      <c r="H46" s="183"/>
    </row>
    <row r="47" spans="1:8" x14ac:dyDescent="0.3">
      <c r="A47" s="164"/>
      <c r="B47" s="159" t="s">
        <v>273</v>
      </c>
      <c r="C47" s="161">
        <f>Inputs!$B$25</f>
        <v>2205800</v>
      </c>
      <c r="D47" s="161">
        <f>Inputs!$B$25</f>
        <v>2205800</v>
      </c>
      <c r="E47" s="161">
        <f>Inputs!$B$25</f>
        <v>2205800</v>
      </c>
      <c r="F47" s="161">
        <f>Inputs!$B$25</f>
        <v>2205800</v>
      </c>
      <c r="G47" s="161">
        <f>Inputs!$B$25</f>
        <v>2205800</v>
      </c>
      <c r="H47" s="183"/>
    </row>
    <row r="48" spans="1:8" x14ac:dyDescent="0.3">
      <c r="A48" s="164"/>
      <c r="B48" s="159"/>
      <c r="C48" s="162">
        <f>SUM(C45:C47)</f>
        <v>3711725.14</v>
      </c>
      <c r="D48" s="162">
        <f t="shared" ref="D48:G48" si="5">SUM(D45:D47)</f>
        <v>3711725.14</v>
      </c>
      <c r="E48" s="162">
        <f t="shared" si="5"/>
        <v>3711725.14</v>
      </c>
      <c r="F48" s="162">
        <f t="shared" si="5"/>
        <v>3711725.14</v>
      </c>
      <c r="G48" s="162">
        <f t="shared" si="5"/>
        <v>3711725.14</v>
      </c>
      <c r="H48" s="183"/>
    </row>
    <row r="49" spans="1:8" x14ac:dyDescent="0.3">
      <c r="A49" s="164"/>
      <c r="B49" s="159" t="s">
        <v>261</v>
      </c>
      <c r="C49" s="163">
        <f>C43/C48</f>
        <v>1.4261584864282275</v>
      </c>
      <c r="D49" s="163">
        <f t="shared" ref="D49:G49" si="6">D43/D48</f>
        <v>1.3438452945599499</v>
      </c>
      <c r="E49" s="163">
        <f t="shared" si="6"/>
        <v>1.3419103053566546</v>
      </c>
      <c r="F49" s="163">
        <f t="shared" si="6"/>
        <v>1.3425798883408255</v>
      </c>
      <c r="G49" s="163">
        <f t="shared" si="6"/>
        <v>1.3981241725721638</v>
      </c>
      <c r="H49" s="183"/>
    </row>
    <row r="50" spans="1:8" ht="8.4" customHeight="1" thickBot="1" x14ac:dyDescent="0.35">
      <c r="A50" s="170"/>
      <c r="B50" s="188"/>
      <c r="C50" s="188"/>
      <c r="D50" s="188"/>
      <c r="E50" s="188"/>
      <c r="F50" s="188"/>
      <c r="G50" s="188"/>
      <c r="H50" s="187"/>
    </row>
    <row r="52" spans="1:8" ht="15" thickBot="1" x14ac:dyDescent="0.35"/>
    <row r="53" spans="1:8" ht="72" x14ac:dyDescent="0.3">
      <c r="D53" s="178" t="s">
        <v>266</v>
      </c>
      <c r="E53" s="179" t="s">
        <v>267</v>
      </c>
      <c r="F53" s="179" t="s">
        <v>266</v>
      </c>
      <c r="G53" s="180" t="s">
        <v>267</v>
      </c>
    </row>
    <row r="54" spans="1:8" x14ac:dyDescent="0.3">
      <c r="D54" s="173">
        <v>2025</v>
      </c>
      <c r="E54" s="174">
        <v>525000</v>
      </c>
      <c r="F54" s="173">
        <v>2040</v>
      </c>
      <c r="G54" s="174">
        <v>1145000</v>
      </c>
    </row>
    <row r="55" spans="1:8" x14ac:dyDescent="0.3">
      <c r="D55" s="173">
        <v>2026</v>
      </c>
      <c r="E55" s="174">
        <v>620000</v>
      </c>
      <c r="F55" s="173">
        <v>2041</v>
      </c>
      <c r="G55" s="174">
        <v>1200000</v>
      </c>
    </row>
    <row r="56" spans="1:8" x14ac:dyDescent="0.3">
      <c r="D56" s="173">
        <v>2027</v>
      </c>
      <c r="E56" s="174">
        <v>645000</v>
      </c>
      <c r="F56" s="173">
        <v>2042</v>
      </c>
      <c r="G56" s="174">
        <v>1250000</v>
      </c>
    </row>
    <row r="57" spans="1:8" x14ac:dyDescent="0.3">
      <c r="D57" s="173">
        <v>2028</v>
      </c>
      <c r="E57" s="174">
        <v>675000</v>
      </c>
      <c r="F57" s="173">
        <v>2043</v>
      </c>
      <c r="G57" s="174">
        <v>1310000</v>
      </c>
    </row>
    <row r="58" spans="1:8" x14ac:dyDescent="0.3">
      <c r="D58" s="173">
        <v>2029</v>
      </c>
      <c r="E58" s="174">
        <v>705000</v>
      </c>
      <c r="F58" s="173">
        <v>2044</v>
      </c>
      <c r="G58" s="174">
        <v>1370000</v>
      </c>
    </row>
    <row r="59" spans="1:8" x14ac:dyDescent="0.3">
      <c r="D59" s="173">
        <v>2030</v>
      </c>
      <c r="E59" s="174">
        <v>740000</v>
      </c>
      <c r="F59" s="173">
        <v>2045</v>
      </c>
      <c r="G59" s="174">
        <v>1430000</v>
      </c>
    </row>
    <row r="60" spans="1:8" x14ac:dyDescent="0.3">
      <c r="D60" s="173">
        <v>2031</v>
      </c>
      <c r="E60" s="174">
        <v>770000</v>
      </c>
      <c r="F60" s="173">
        <v>2046</v>
      </c>
      <c r="G60" s="174">
        <v>1495000</v>
      </c>
    </row>
    <row r="61" spans="1:8" x14ac:dyDescent="0.3">
      <c r="D61" s="173">
        <v>2032</v>
      </c>
      <c r="E61" s="174">
        <v>805000</v>
      </c>
      <c r="F61" s="173">
        <v>2047</v>
      </c>
      <c r="G61" s="174">
        <v>1560000</v>
      </c>
    </row>
    <row r="62" spans="1:8" x14ac:dyDescent="0.3">
      <c r="D62" s="173">
        <v>2033</v>
      </c>
      <c r="E62" s="174">
        <v>845000</v>
      </c>
      <c r="F62" s="173">
        <v>2048</v>
      </c>
      <c r="G62" s="174">
        <v>1630000</v>
      </c>
    </row>
    <row r="63" spans="1:8" x14ac:dyDescent="0.3">
      <c r="D63" s="173">
        <v>2034</v>
      </c>
      <c r="E63" s="174">
        <v>880000</v>
      </c>
      <c r="F63" s="173">
        <v>2049</v>
      </c>
      <c r="G63" s="174">
        <v>1705000</v>
      </c>
    </row>
    <row r="64" spans="1:8" x14ac:dyDescent="0.3">
      <c r="D64" s="173">
        <v>2035</v>
      </c>
      <c r="E64" s="174">
        <v>920000</v>
      </c>
      <c r="F64" s="173">
        <v>2050</v>
      </c>
      <c r="G64" s="174">
        <v>1780000</v>
      </c>
    </row>
    <row r="65" spans="4:7" x14ac:dyDescent="0.3">
      <c r="D65" s="173">
        <v>2036</v>
      </c>
      <c r="E65" s="174">
        <v>960000</v>
      </c>
      <c r="F65" s="173">
        <v>2051</v>
      </c>
      <c r="G65" s="174">
        <v>1860000</v>
      </c>
    </row>
    <row r="66" spans="4:7" x14ac:dyDescent="0.3">
      <c r="D66" s="173">
        <v>2037</v>
      </c>
      <c r="E66" s="174">
        <v>1005000</v>
      </c>
      <c r="F66" s="173">
        <v>2052</v>
      </c>
      <c r="G66" s="174">
        <v>1945000</v>
      </c>
    </row>
    <row r="67" spans="4:7" x14ac:dyDescent="0.3">
      <c r="D67" s="173">
        <v>2038</v>
      </c>
      <c r="E67" s="174">
        <v>1050000</v>
      </c>
      <c r="F67" s="173">
        <v>2053</v>
      </c>
      <c r="G67" s="174">
        <v>2030000</v>
      </c>
    </row>
    <row r="68" spans="4:7" x14ac:dyDescent="0.3">
      <c r="D68" s="173">
        <v>2039</v>
      </c>
      <c r="E68" s="174">
        <v>1095000</v>
      </c>
      <c r="F68" s="173">
        <v>2054</v>
      </c>
      <c r="G68" s="174">
        <v>2125000</v>
      </c>
    </row>
    <row r="69" spans="4:7" x14ac:dyDescent="0.3">
      <c r="D69" s="175"/>
      <c r="E69" s="175"/>
      <c r="F69" s="176" t="s">
        <v>29</v>
      </c>
      <c r="G69" s="177">
        <f>SUM(G54:G68)+SUM(E54:E68)</f>
        <v>36075000</v>
      </c>
    </row>
  </sheetData>
  <mergeCells count="3">
    <mergeCell ref="C15:F15"/>
    <mergeCell ref="G13:G15"/>
    <mergeCell ref="C39:G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550ED-CDA0-439E-A0E2-0FE5F412A6DB}">
  <dimension ref="B1:P47"/>
  <sheetViews>
    <sheetView tabSelected="1" workbookViewId="0">
      <selection activeCell="H29" sqref="H29"/>
    </sheetView>
  </sheetViews>
  <sheetFormatPr defaultRowHeight="14.4" x14ac:dyDescent="0.3"/>
  <cols>
    <col min="2" max="2" width="20.21875" bestFit="1" customWidth="1"/>
    <col min="3" max="3" width="18.5546875" bestFit="1" customWidth="1"/>
    <col min="6" max="6" width="15.21875" bestFit="1" customWidth="1"/>
    <col min="7" max="7" width="16.21875" customWidth="1"/>
    <col min="8" max="8" width="20" customWidth="1"/>
    <col min="9" max="10" width="16.5546875" customWidth="1"/>
    <col min="12" max="12" width="24.44140625" customWidth="1"/>
    <col min="13" max="15" width="17.5546875" customWidth="1"/>
    <col min="16" max="16" width="24.21875" customWidth="1"/>
    <col min="17" max="17" width="28.21875" customWidth="1"/>
  </cols>
  <sheetData>
    <row r="1" spans="2:16" x14ac:dyDescent="0.3">
      <c r="O1" t="s">
        <v>56</v>
      </c>
    </row>
    <row r="2" spans="2:16" x14ac:dyDescent="0.3">
      <c r="L2" t="s">
        <v>239</v>
      </c>
      <c r="M2" s="138">
        <v>35000000</v>
      </c>
      <c r="N2" s="138"/>
      <c r="O2" s="138">
        <v>26900000</v>
      </c>
    </row>
    <row r="4" spans="2:16" ht="15" thickBot="1" x14ac:dyDescent="0.35">
      <c r="B4" s="116" t="s">
        <v>240</v>
      </c>
      <c r="E4" s="116" t="s">
        <v>241</v>
      </c>
    </row>
    <row r="5" spans="2:16" ht="15" thickBot="1" x14ac:dyDescent="0.35">
      <c r="L5" s="139"/>
      <c r="M5" s="140">
        <v>2024</v>
      </c>
      <c r="N5" s="141"/>
      <c r="O5" s="141"/>
    </row>
    <row r="6" spans="2:16" ht="15" thickBot="1" x14ac:dyDescent="0.35">
      <c r="B6" s="142" t="s">
        <v>242</v>
      </c>
      <c r="C6" s="138">
        <v>19392041</v>
      </c>
      <c r="E6" s="143" t="s">
        <v>243</v>
      </c>
      <c r="L6" s="144" t="s">
        <v>244</v>
      </c>
      <c r="M6" s="145"/>
      <c r="N6" s="146"/>
      <c r="O6" s="146"/>
    </row>
    <row r="7" spans="2:16" ht="15" thickBot="1" x14ac:dyDescent="0.35">
      <c r="B7" s="142" t="s">
        <v>136</v>
      </c>
      <c r="C7" s="138">
        <f>C6-6620042</f>
        <v>12771999</v>
      </c>
      <c r="E7" s="143"/>
      <c r="L7" s="144" t="s">
        <v>245</v>
      </c>
      <c r="M7" s="145"/>
      <c r="N7" s="146"/>
      <c r="O7" s="146"/>
    </row>
    <row r="8" spans="2:16" ht="15" thickBot="1" x14ac:dyDescent="0.35">
      <c r="B8" s="142" t="s">
        <v>246</v>
      </c>
      <c r="C8" s="147" t="s">
        <v>247</v>
      </c>
      <c r="E8" s="139"/>
      <c r="F8" s="140">
        <v>2024</v>
      </c>
      <c r="G8" s="140">
        <v>2025</v>
      </c>
      <c r="H8" s="140">
        <v>2026</v>
      </c>
      <c r="L8" s="144" t="s">
        <v>248</v>
      </c>
      <c r="M8" s="145"/>
      <c r="N8" s="146"/>
      <c r="O8" s="146"/>
    </row>
    <row r="9" spans="2:16" ht="15" thickBot="1" x14ac:dyDescent="0.35">
      <c r="B9" s="142" t="s">
        <v>249</v>
      </c>
      <c r="C9" s="138">
        <f>C7/13</f>
        <v>982461.4615384615</v>
      </c>
      <c r="E9" s="144" t="s">
        <v>244</v>
      </c>
      <c r="F9" s="145"/>
      <c r="G9" s="148">
        <v>20214000</v>
      </c>
      <c r="H9" s="148">
        <v>10105500</v>
      </c>
      <c r="I9" s="85"/>
      <c r="J9" s="85"/>
      <c r="L9" s="144" t="s">
        <v>250</v>
      </c>
      <c r="M9" s="145"/>
      <c r="N9" s="146"/>
      <c r="O9" s="146"/>
    </row>
    <row r="10" spans="2:16" ht="15" thickBot="1" x14ac:dyDescent="0.35">
      <c r="C10" s="149"/>
      <c r="E10" s="144" t="s">
        <v>245</v>
      </c>
      <c r="F10" s="145"/>
      <c r="G10" s="148">
        <v>19114000</v>
      </c>
      <c r="H10" s="148">
        <v>9380000</v>
      </c>
      <c r="L10" s="144" t="s">
        <v>251</v>
      </c>
      <c r="M10" s="145"/>
      <c r="N10" s="146"/>
      <c r="O10" s="146"/>
    </row>
    <row r="11" spans="2:16" ht="15" thickBot="1" x14ac:dyDescent="0.35">
      <c r="B11" s="150" t="s">
        <v>252</v>
      </c>
      <c r="C11" s="151"/>
      <c r="E11" s="144" t="s">
        <v>248</v>
      </c>
      <c r="F11" s="145"/>
      <c r="G11" s="148">
        <v>18114000</v>
      </c>
      <c r="H11" s="148">
        <v>8199500</v>
      </c>
      <c r="L11" s="144" t="s">
        <v>253</v>
      </c>
      <c r="M11" s="145"/>
      <c r="N11" s="146"/>
      <c r="O11" s="146"/>
    </row>
    <row r="12" spans="2:16" ht="15" thickBot="1" x14ac:dyDescent="0.35">
      <c r="B12" s="142" t="s">
        <v>248</v>
      </c>
      <c r="C12" s="152">
        <v>600000</v>
      </c>
      <c r="E12" s="144" t="s">
        <v>250</v>
      </c>
      <c r="F12" s="145"/>
      <c r="G12" s="148">
        <v>17033500</v>
      </c>
      <c r="H12" s="148">
        <v>7019000</v>
      </c>
      <c r="L12" s="144" t="s">
        <v>254</v>
      </c>
      <c r="M12" s="153"/>
      <c r="N12" s="153"/>
      <c r="O12" s="153"/>
    </row>
    <row r="13" spans="2:16" ht="15" thickBot="1" x14ac:dyDescent="0.35">
      <c r="B13" s="142" t="s">
        <v>250</v>
      </c>
      <c r="C13" s="152">
        <v>500000</v>
      </c>
      <c r="E13" s="144" t="s">
        <v>251</v>
      </c>
      <c r="F13" s="145"/>
      <c r="G13" s="148">
        <v>15933500</v>
      </c>
      <c r="H13" s="148">
        <v>5838500</v>
      </c>
      <c r="L13" s="144" t="s">
        <v>255</v>
      </c>
      <c r="M13" s="154">
        <v>35000000</v>
      </c>
      <c r="N13" s="155"/>
      <c r="O13" s="155"/>
    </row>
    <row r="14" spans="2:16" ht="15" thickBot="1" x14ac:dyDescent="0.35">
      <c r="B14" s="142" t="s">
        <v>251</v>
      </c>
      <c r="C14" s="152">
        <v>400000</v>
      </c>
      <c r="E14" s="144" t="s">
        <v>253</v>
      </c>
      <c r="F14" s="145"/>
      <c r="G14" s="148">
        <v>14863500</v>
      </c>
      <c r="H14" s="148">
        <v>4658000</v>
      </c>
      <c r="L14" s="144" t="s">
        <v>256</v>
      </c>
      <c r="M14" s="148">
        <v>33050000</v>
      </c>
      <c r="N14" s="155">
        <f>+(M13-M14)*0.95</f>
        <v>1852500</v>
      </c>
      <c r="O14" s="155">
        <f>+($O$2/$M$2)*N14</f>
        <v>1423778.5714285714</v>
      </c>
      <c r="P14" s="40"/>
    </row>
    <row r="15" spans="2:16" ht="15" thickBot="1" x14ac:dyDescent="0.35">
      <c r="B15" s="142" t="s">
        <v>253</v>
      </c>
      <c r="C15" s="152">
        <v>1200000</v>
      </c>
      <c r="E15" s="144" t="s">
        <v>254</v>
      </c>
      <c r="F15" s="153"/>
      <c r="G15" s="156">
        <v>14761500</v>
      </c>
      <c r="H15" s="148">
        <v>3477500</v>
      </c>
      <c r="L15" s="144" t="s">
        <v>257</v>
      </c>
      <c r="M15" s="148">
        <v>23145000</v>
      </c>
      <c r="N15" s="155">
        <f t="shared" ref="N15:N42" si="0">+(M14-M15)*0.95</f>
        <v>9409750</v>
      </c>
      <c r="O15" s="155">
        <f t="shared" ref="O15:O43" si="1">+($O$2/$M$2)*N15</f>
        <v>7232065</v>
      </c>
      <c r="P15" s="40"/>
    </row>
    <row r="16" spans="2:16" ht="15" thickBot="1" x14ac:dyDescent="0.35">
      <c r="B16" s="142" t="s">
        <v>254</v>
      </c>
      <c r="C16" s="152">
        <v>2000000</v>
      </c>
      <c r="E16" s="144" t="s">
        <v>255</v>
      </c>
      <c r="F16" s="154">
        <v>35000000</v>
      </c>
      <c r="G16" s="148">
        <v>13681000</v>
      </c>
      <c r="H16" s="148">
        <v>2297000</v>
      </c>
      <c r="L16" s="144" t="s">
        <v>258</v>
      </c>
      <c r="M16" s="148">
        <v>22314500</v>
      </c>
      <c r="N16" s="155">
        <f t="shared" si="0"/>
        <v>788975</v>
      </c>
      <c r="O16" s="155">
        <f t="shared" si="1"/>
        <v>606383.64285714284</v>
      </c>
      <c r="P16" s="40"/>
    </row>
    <row r="17" spans="2:16" ht="15" thickBot="1" x14ac:dyDescent="0.35">
      <c r="B17" s="142" t="s">
        <v>255</v>
      </c>
      <c r="C17" s="152">
        <v>1505250</v>
      </c>
      <c r="E17" s="144" t="s">
        <v>256</v>
      </c>
      <c r="F17" s="148">
        <v>33050000</v>
      </c>
      <c r="G17" s="148">
        <v>12781000</v>
      </c>
      <c r="H17" s="148">
        <v>1116500</v>
      </c>
      <c r="L17" s="144" t="s">
        <v>259</v>
      </c>
      <c r="M17" s="148">
        <v>21294500</v>
      </c>
      <c r="N17" s="155">
        <f t="shared" si="0"/>
        <v>969000</v>
      </c>
      <c r="O17" s="155">
        <f t="shared" si="1"/>
        <v>744745.71428571432</v>
      </c>
      <c r="P17" s="40"/>
    </row>
    <row r="18" spans="2:16" ht="15" thickBot="1" x14ac:dyDescent="0.35">
      <c r="B18" s="142" t="s">
        <v>256</v>
      </c>
      <c r="C18" s="152">
        <v>1449500</v>
      </c>
      <c r="E18" s="144" t="s">
        <v>257</v>
      </c>
      <c r="F18" s="148">
        <v>23145000</v>
      </c>
      <c r="G18" s="148">
        <v>11980500</v>
      </c>
      <c r="H18" s="148">
        <v>616500</v>
      </c>
      <c r="L18" s="144" t="s">
        <v>244</v>
      </c>
      <c r="M18" s="148">
        <v>20214000</v>
      </c>
      <c r="N18" s="155">
        <f t="shared" si="0"/>
        <v>1026475</v>
      </c>
      <c r="O18" s="155">
        <f t="shared" si="1"/>
        <v>788919.35714285716</v>
      </c>
      <c r="P18" s="40"/>
    </row>
    <row r="19" spans="2:16" ht="15" thickBot="1" x14ac:dyDescent="0.35">
      <c r="B19" s="142" t="s">
        <v>257</v>
      </c>
      <c r="C19" s="152">
        <v>1500000</v>
      </c>
      <c r="E19" s="144" t="s">
        <v>258</v>
      </c>
      <c r="F19" s="148">
        <v>22314500</v>
      </c>
      <c r="G19" s="148">
        <v>11230500</v>
      </c>
      <c r="H19" s="148">
        <v>216500</v>
      </c>
      <c r="L19" s="144" t="s">
        <v>245</v>
      </c>
      <c r="M19" s="148">
        <v>19114000</v>
      </c>
      <c r="N19" s="155">
        <f t="shared" si="0"/>
        <v>1045000</v>
      </c>
      <c r="O19" s="155">
        <f t="shared" si="1"/>
        <v>803157.14285714284</v>
      </c>
      <c r="P19" s="40"/>
    </row>
    <row r="20" spans="2:16" ht="15" thickBot="1" x14ac:dyDescent="0.35">
      <c r="B20" s="142" t="s">
        <v>258</v>
      </c>
      <c r="C20" s="152">
        <v>550000</v>
      </c>
      <c r="E20" s="144" t="s">
        <v>259</v>
      </c>
      <c r="F20" s="148">
        <v>21294500</v>
      </c>
      <c r="G20" s="148">
        <v>10605500</v>
      </c>
      <c r="H20" s="148">
        <v>66500</v>
      </c>
      <c r="L20" s="144" t="s">
        <v>248</v>
      </c>
      <c r="M20" s="148">
        <v>18114000</v>
      </c>
      <c r="N20" s="155">
        <f t="shared" si="0"/>
        <v>950000</v>
      </c>
      <c r="O20" s="155">
        <f t="shared" si="1"/>
        <v>730142.85714285716</v>
      </c>
      <c r="P20" s="40"/>
    </row>
    <row r="21" spans="2:16" ht="15" thickBot="1" x14ac:dyDescent="0.35">
      <c r="B21" s="142" t="s">
        <v>259</v>
      </c>
      <c r="C21" s="152">
        <v>750000</v>
      </c>
      <c r="E21" s="143"/>
      <c r="L21" s="144" t="s">
        <v>250</v>
      </c>
      <c r="M21" s="148">
        <v>17033500</v>
      </c>
      <c r="N21" s="155">
        <f t="shared" si="0"/>
        <v>1026475</v>
      </c>
      <c r="O21" s="155">
        <f t="shared" si="1"/>
        <v>788919.35714285716</v>
      </c>
      <c r="P21" s="40"/>
    </row>
    <row r="22" spans="2:16" ht="15" thickBot="1" x14ac:dyDescent="0.35">
      <c r="B22" s="142" t="s">
        <v>244</v>
      </c>
      <c r="C22" s="152">
        <v>750000</v>
      </c>
      <c r="E22" s="143" t="s">
        <v>260</v>
      </c>
      <c r="L22" s="144" t="s">
        <v>251</v>
      </c>
      <c r="M22" s="148">
        <v>15933500</v>
      </c>
      <c r="N22" s="155">
        <f t="shared" si="0"/>
        <v>1045000</v>
      </c>
      <c r="O22" s="155">
        <f t="shared" si="1"/>
        <v>803157.14285714284</v>
      </c>
      <c r="P22" s="40"/>
    </row>
    <row r="23" spans="2:16" ht="15" thickBot="1" x14ac:dyDescent="0.35">
      <c r="B23" s="142" t="s">
        <v>245</v>
      </c>
      <c r="C23" s="152">
        <v>600000</v>
      </c>
      <c r="F23" s="149"/>
      <c r="L23" s="144" t="s">
        <v>253</v>
      </c>
      <c r="M23" s="148">
        <v>14863500</v>
      </c>
      <c r="N23" s="155">
        <f t="shared" si="0"/>
        <v>1016500</v>
      </c>
      <c r="O23" s="155">
        <f t="shared" si="1"/>
        <v>781252.85714285716</v>
      </c>
      <c r="P23" s="40"/>
    </row>
    <row r="24" spans="2:16" ht="15" thickBot="1" x14ac:dyDescent="0.35">
      <c r="B24" s="142" t="s">
        <v>248</v>
      </c>
      <c r="C24" s="152">
        <v>900000</v>
      </c>
      <c r="F24" s="149"/>
      <c r="L24" s="144" t="s">
        <v>254</v>
      </c>
      <c r="M24" s="156">
        <v>14761500</v>
      </c>
      <c r="N24" s="155">
        <f t="shared" si="0"/>
        <v>96900</v>
      </c>
      <c r="O24" s="155">
        <f t="shared" si="1"/>
        <v>74474.571428571435</v>
      </c>
      <c r="P24" s="40"/>
    </row>
    <row r="25" spans="2:16" ht="15" thickBot="1" x14ac:dyDescent="0.35">
      <c r="B25" s="142" t="s">
        <v>29</v>
      </c>
      <c r="C25" s="157">
        <f>SUM(C12:C24)</f>
        <v>12704750</v>
      </c>
      <c r="L25" s="144" t="s">
        <v>255</v>
      </c>
      <c r="M25" s="148">
        <v>13681000</v>
      </c>
      <c r="N25" s="155">
        <f t="shared" si="0"/>
        <v>1026475</v>
      </c>
      <c r="O25" s="155">
        <f t="shared" si="1"/>
        <v>788919.35714285716</v>
      </c>
      <c r="P25" s="40"/>
    </row>
    <row r="26" spans="2:16" ht="15" thickBot="1" x14ac:dyDescent="0.35">
      <c r="B26" s="158"/>
      <c r="C26" s="100"/>
      <c r="L26" s="144" t="s">
        <v>256</v>
      </c>
      <c r="M26" s="148">
        <v>12781000</v>
      </c>
      <c r="N26" s="155">
        <f t="shared" si="0"/>
        <v>855000</v>
      </c>
      <c r="O26" s="155">
        <f t="shared" si="1"/>
        <v>657128.57142857148</v>
      </c>
      <c r="P26" s="40"/>
    </row>
    <row r="27" spans="2:16" ht="15" thickBot="1" x14ac:dyDescent="0.35">
      <c r="B27" s="158"/>
      <c r="C27" s="100"/>
      <c r="L27" s="144" t="s">
        <v>257</v>
      </c>
      <c r="M27" s="148">
        <v>11980500</v>
      </c>
      <c r="N27" s="155">
        <f t="shared" si="0"/>
        <v>760475</v>
      </c>
      <c r="O27" s="155">
        <f t="shared" si="1"/>
        <v>584479.35714285716</v>
      </c>
      <c r="P27" s="40"/>
    </row>
    <row r="28" spans="2:16" ht="15" thickBot="1" x14ac:dyDescent="0.35">
      <c r="B28" s="158"/>
      <c r="C28" s="100"/>
      <c r="L28" s="144" t="s">
        <v>258</v>
      </c>
      <c r="M28" s="148">
        <v>11230500</v>
      </c>
      <c r="N28" s="155">
        <f t="shared" si="0"/>
        <v>712500</v>
      </c>
      <c r="O28" s="155">
        <f t="shared" si="1"/>
        <v>547607.14285714284</v>
      </c>
      <c r="P28" s="40"/>
    </row>
    <row r="29" spans="2:16" ht="15" thickBot="1" x14ac:dyDescent="0.35">
      <c r="B29" s="158"/>
      <c r="C29" s="100"/>
      <c r="L29" s="144" t="s">
        <v>259</v>
      </c>
      <c r="M29" s="148">
        <v>10605500</v>
      </c>
      <c r="N29" s="155">
        <f t="shared" si="0"/>
        <v>593750</v>
      </c>
      <c r="O29" s="155">
        <f t="shared" si="1"/>
        <v>456339.28571428574</v>
      </c>
      <c r="P29" s="40"/>
    </row>
    <row r="30" spans="2:16" ht="15" thickBot="1" x14ac:dyDescent="0.35">
      <c r="B30" s="158"/>
      <c r="C30" s="100"/>
      <c r="L30" s="144" t="s">
        <v>244</v>
      </c>
      <c r="M30" s="148">
        <v>10105500</v>
      </c>
      <c r="N30" s="155">
        <f t="shared" si="0"/>
        <v>475000</v>
      </c>
      <c r="O30" s="155">
        <f t="shared" si="1"/>
        <v>365071.42857142858</v>
      </c>
      <c r="P30" s="40"/>
    </row>
    <row r="31" spans="2:16" ht="15" thickBot="1" x14ac:dyDescent="0.35">
      <c r="B31" s="158"/>
      <c r="C31" s="100"/>
      <c r="L31" s="144" t="s">
        <v>245</v>
      </c>
      <c r="M31" s="148">
        <v>9380000</v>
      </c>
      <c r="N31" s="155">
        <f t="shared" si="0"/>
        <v>689225</v>
      </c>
      <c r="O31" s="155">
        <f t="shared" si="1"/>
        <v>529718.64285714284</v>
      </c>
      <c r="P31" s="40"/>
    </row>
    <row r="32" spans="2:16" ht="15" thickBot="1" x14ac:dyDescent="0.35">
      <c r="B32" s="158"/>
      <c r="C32" s="100"/>
      <c r="L32" s="144" t="s">
        <v>248</v>
      </c>
      <c r="M32" s="148">
        <v>8199500</v>
      </c>
      <c r="N32" s="155">
        <f>+(M31-M32)*0.95</f>
        <v>1121475</v>
      </c>
      <c r="O32" s="155">
        <f t="shared" si="1"/>
        <v>861933.64285714284</v>
      </c>
      <c r="P32" s="40"/>
    </row>
    <row r="33" spans="2:16" ht="15" thickBot="1" x14ac:dyDescent="0.35">
      <c r="B33" s="158"/>
      <c r="C33" s="100"/>
      <c r="L33" s="144" t="s">
        <v>250</v>
      </c>
      <c r="M33" s="148">
        <v>7019000</v>
      </c>
      <c r="N33" s="155">
        <f t="shared" si="0"/>
        <v>1121475</v>
      </c>
      <c r="O33" s="155">
        <f t="shared" si="1"/>
        <v>861933.64285714284</v>
      </c>
      <c r="P33" s="40"/>
    </row>
    <row r="34" spans="2:16" ht="15" thickBot="1" x14ac:dyDescent="0.35">
      <c r="B34" s="158"/>
      <c r="C34" s="100"/>
      <c r="L34" s="144" t="s">
        <v>251</v>
      </c>
      <c r="M34" s="148">
        <v>5838500</v>
      </c>
      <c r="N34" s="155">
        <f t="shared" si="0"/>
        <v>1121475</v>
      </c>
      <c r="O34" s="155">
        <f t="shared" si="1"/>
        <v>861933.64285714284</v>
      </c>
      <c r="P34" s="40"/>
    </row>
    <row r="35" spans="2:16" ht="15" thickBot="1" x14ac:dyDescent="0.35">
      <c r="B35" s="158"/>
      <c r="C35" s="100"/>
      <c r="L35" s="144" t="s">
        <v>253</v>
      </c>
      <c r="M35" s="148">
        <v>4658000</v>
      </c>
      <c r="N35" s="155">
        <f t="shared" si="0"/>
        <v>1121475</v>
      </c>
      <c r="O35" s="155">
        <f t="shared" si="1"/>
        <v>861933.64285714284</v>
      </c>
      <c r="P35" s="40"/>
    </row>
    <row r="36" spans="2:16" ht="15" thickBot="1" x14ac:dyDescent="0.35">
      <c r="B36" s="158"/>
      <c r="C36" s="100"/>
      <c r="L36" s="144" t="s">
        <v>254</v>
      </c>
      <c r="M36" s="148">
        <v>3477500</v>
      </c>
      <c r="N36" s="155">
        <f t="shared" si="0"/>
        <v>1121475</v>
      </c>
      <c r="O36" s="155">
        <f t="shared" si="1"/>
        <v>861933.64285714284</v>
      </c>
      <c r="P36" s="40"/>
    </row>
    <row r="37" spans="2:16" ht="15" thickBot="1" x14ac:dyDescent="0.35">
      <c r="B37" s="158"/>
      <c r="C37" s="100"/>
      <c r="L37" s="144" t="s">
        <v>255</v>
      </c>
      <c r="M37" s="148">
        <v>2297000</v>
      </c>
      <c r="N37" s="155">
        <f t="shared" si="0"/>
        <v>1121475</v>
      </c>
      <c r="O37" s="155">
        <f t="shared" si="1"/>
        <v>861933.64285714284</v>
      </c>
      <c r="P37" s="40"/>
    </row>
    <row r="38" spans="2:16" ht="15" thickBot="1" x14ac:dyDescent="0.35">
      <c r="B38" s="158"/>
      <c r="C38" s="100"/>
      <c r="L38" s="144" t="s">
        <v>256</v>
      </c>
      <c r="M38" s="148">
        <v>1116500</v>
      </c>
      <c r="N38" s="155">
        <f t="shared" si="0"/>
        <v>1121475</v>
      </c>
      <c r="O38" s="155">
        <f t="shared" si="1"/>
        <v>861933.64285714284</v>
      </c>
      <c r="P38" s="40"/>
    </row>
    <row r="39" spans="2:16" ht="15" thickBot="1" x14ac:dyDescent="0.35">
      <c r="B39" s="158"/>
      <c r="C39" s="100"/>
      <c r="L39" s="144" t="s">
        <v>257</v>
      </c>
      <c r="M39" s="148">
        <v>616500</v>
      </c>
      <c r="N39" s="155">
        <f t="shared" si="0"/>
        <v>475000</v>
      </c>
      <c r="O39" s="155">
        <f t="shared" si="1"/>
        <v>365071.42857142858</v>
      </c>
      <c r="P39" s="40"/>
    </row>
    <row r="40" spans="2:16" ht="15" thickBot="1" x14ac:dyDescent="0.35">
      <c r="B40" s="158"/>
      <c r="C40" s="100"/>
      <c r="L40" s="144" t="s">
        <v>258</v>
      </c>
      <c r="M40" s="148">
        <v>216500</v>
      </c>
      <c r="N40" s="155">
        <f t="shared" si="0"/>
        <v>380000</v>
      </c>
      <c r="O40" s="155">
        <f t="shared" si="1"/>
        <v>292057.14285714284</v>
      </c>
      <c r="P40" s="40"/>
    </row>
    <row r="41" spans="2:16" ht="15" thickBot="1" x14ac:dyDescent="0.35">
      <c r="B41" s="158"/>
      <c r="C41" s="100"/>
      <c r="L41" s="144" t="s">
        <v>259</v>
      </c>
      <c r="M41" s="148">
        <v>66500</v>
      </c>
      <c r="N41" s="155">
        <f t="shared" si="0"/>
        <v>142500</v>
      </c>
      <c r="O41" s="155">
        <f t="shared" si="1"/>
        <v>109521.42857142857</v>
      </c>
      <c r="P41" s="40"/>
    </row>
    <row r="42" spans="2:16" ht="15" thickBot="1" x14ac:dyDescent="0.35">
      <c r="B42" s="158"/>
      <c r="C42" s="100"/>
      <c r="L42" s="144" t="s">
        <v>244</v>
      </c>
      <c r="N42" s="155">
        <f t="shared" si="0"/>
        <v>63175</v>
      </c>
      <c r="O42" s="155">
        <f t="shared" si="1"/>
        <v>48554.5</v>
      </c>
      <c r="P42" s="40"/>
    </row>
    <row r="43" spans="2:16" ht="15" thickBot="1" x14ac:dyDescent="0.35">
      <c r="B43" s="158"/>
      <c r="C43" s="100"/>
      <c r="L43" s="144" t="s">
        <v>245</v>
      </c>
      <c r="N43">
        <f>+M2*0.05</f>
        <v>1750000</v>
      </c>
      <c r="O43" s="155">
        <f t="shared" si="1"/>
        <v>1345000</v>
      </c>
    </row>
    <row r="44" spans="2:16" x14ac:dyDescent="0.3">
      <c r="B44" s="158"/>
      <c r="C44" s="100"/>
    </row>
    <row r="45" spans="2:16" x14ac:dyDescent="0.3">
      <c r="B45" s="158"/>
      <c r="C45" s="100"/>
    </row>
    <row r="46" spans="2:16" x14ac:dyDescent="0.3">
      <c r="B46" s="158"/>
      <c r="C46" s="100"/>
    </row>
    <row r="47" spans="2:16" x14ac:dyDescent="0.3">
      <c r="B47" s="158"/>
      <c r="C47" s="10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4AE5-DBE4-47FA-801E-F059B7D73CC4}">
  <sheetPr>
    <pageSetUpPr fitToPage="1"/>
  </sheetPr>
  <dimension ref="A1:AL63"/>
  <sheetViews>
    <sheetView zoomScaleNormal="100" workbookViewId="0">
      <selection activeCell="B12" sqref="B12"/>
    </sheetView>
  </sheetViews>
  <sheetFormatPr defaultRowHeight="14.4" x14ac:dyDescent="0.3"/>
  <cols>
    <col min="1" max="1" width="50.5546875" customWidth="1"/>
    <col min="2" max="6" width="11.6640625" customWidth="1"/>
    <col min="7" max="7" width="3.33203125" customWidth="1"/>
    <col min="8" max="13" width="11.6640625" customWidth="1"/>
    <col min="14" max="14" width="14.33203125" customWidth="1"/>
    <col min="15" max="32" width="11.6640625" customWidth="1"/>
    <col min="33" max="38" width="11.5546875" customWidth="1"/>
  </cols>
  <sheetData>
    <row r="1" spans="1:38" x14ac:dyDescent="0.3">
      <c r="A1" s="166"/>
      <c r="B1" s="181"/>
      <c r="C1" s="181"/>
      <c r="D1" s="181"/>
      <c r="E1" s="181"/>
      <c r="F1" s="214" t="s">
        <v>145</v>
      </c>
      <c r="G1" s="191"/>
    </row>
    <row r="2" spans="1:38" ht="14.4" customHeight="1" x14ac:dyDescent="0.3">
      <c r="A2" s="164"/>
      <c r="B2" s="159"/>
      <c r="C2" s="159"/>
      <c r="D2" s="159"/>
      <c r="E2" s="159"/>
      <c r="F2" s="213"/>
      <c r="G2" s="192"/>
    </row>
    <row r="3" spans="1:38" x14ac:dyDescent="0.3">
      <c r="A3" s="193"/>
      <c r="B3" s="159"/>
      <c r="C3" s="159"/>
      <c r="D3" s="159"/>
      <c r="E3" s="159"/>
      <c r="F3" s="213"/>
      <c r="G3" s="192"/>
    </row>
    <row r="4" spans="1:38" x14ac:dyDescent="0.3">
      <c r="A4" s="164"/>
      <c r="B4" s="212" t="s">
        <v>56</v>
      </c>
      <c r="C4" s="212"/>
      <c r="D4" s="212"/>
      <c r="E4" s="212"/>
      <c r="F4" s="159"/>
      <c r="G4" s="183"/>
      <c r="H4" t="s">
        <v>57</v>
      </c>
    </row>
    <row r="5" spans="1:38" x14ac:dyDescent="0.3">
      <c r="A5" s="164"/>
      <c r="B5" s="160">
        <v>2020</v>
      </c>
      <c r="C5" s="160">
        <v>2021</v>
      </c>
      <c r="D5" s="160">
        <v>2022</v>
      </c>
      <c r="E5" s="160">
        <v>2023</v>
      </c>
      <c r="F5" s="160">
        <v>2024</v>
      </c>
      <c r="G5" s="194"/>
      <c r="H5" s="52">
        <v>2025</v>
      </c>
      <c r="I5" s="52">
        <v>2026</v>
      </c>
      <c r="J5" s="52">
        <v>2027</v>
      </c>
      <c r="K5" s="52">
        <v>2028</v>
      </c>
      <c r="L5" s="52">
        <v>2029</v>
      </c>
      <c r="M5" s="52">
        <v>2030</v>
      </c>
      <c r="N5" s="52">
        <v>2031</v>
      </c>
      <c r="O5" s="52">
        <v>2032</v>
      </c>
      <c r="P5" s="52">
        <v>2033</v>
      </c>
      <c r="Q5" s="52">
        <v>2034</v>
      </c>
      <c r="R5" s="52">
        <v>2035</v>
      </c>
      <c r="S5" s="52">
        <v>2036</v>
      </c>
      <c r="T5" s="52">
        <v>2037</v>
      </c>
      <c r="U5" s="52">
        <v>2038</v>
      </c>
      <c r="V5" s="52">
        <v>2039</v>
      </c>
      <c r="W5" s="52">
        <v>2040</v>
      </c>
      <c r="X5" s="52">
        <v>2041</v>
      </c>
      <c r="Y5" s="52">
        <v>2042</v>
      </c>
      <c r="Z5" s="52">
        <v>2043</v>
      </c>
      <c r="AA5" s="52">
        <v>2044</v>
      </c>
      <c r="AB5" s="52">
        <v>2045</v>
      </c>
      <c r="AC5" s="52">
        <v>2046</v>
      </c>
      <c r="AD5" s="52">
        <v>2047</v>
      </c>
      <c r="AE5" s="52">
        <v>2048</v>
      </c>
      <c r="AF5" s="52">
        <v>2049</v>
      </c>
      <c r="AG5" s="52">
        <v>2050</v>
      </c>
      <c r="AH5" s="52">
        <v>2051</v>
      </c>
      <c r="AI5" s="52">
        <v>2052</v>
      </c>
      <c r="AJ5" s="52">
        <v>2053</v>
      </c>
      <c r="AK5" s="52">
        <v>2054</v>
      </c>
      <c r="AL5" s="52">
        <v>2055</v>
      </c>
    </row>
    <row r="6" spans="1:38" x14ac:dyDescent="0.3">
      <c r="A6" s="195"/>
      <c r="B6" s="159"/>
      <c r="C6" s="159"/>
      <c r="D6" s="159"/>
      <c r="E6" s="159"/>
      <c r="F6" s="159"/>
      <c r="G6" s="183"/>
    </row>
    <row r="7" spans="1:38" x14ac:dyDescent="0.3">
      <c r="A7" s="185" t="s">
        <v>53</v>
      </c>
      <c r="B7" s="159"/>
      <c r="C7" s="159"/>
      <c r="D7" s="159"/>
      <c r="E7" s="159"/>
      <c r="F7" s="162"/>
      <c r="G7" s="168"/>
    </row>
    <row r="8" spans="1:38" x14ac:dyDescent="0.3">
      <c r="A8" s="196" t="s">
        <v>143</v>
      </c>
      <c r="B8" s="162">
        <v>1140549</v>
      </c>
      <c r="C8" s="162">
        <v>1465258</v>
      </c>
      <c r="D8" s="162">
        <v>1712923</v>
      </c>
      <c r="E8" s="162">
        <v>4643109</v>
      </c>
      <c r="F8" s="162">
        <f>1068731.54/8*12</f>
        <v>1603097.31</v>
      </c>
      <c r="G8" s="168"/>
    </row>
    <row r="9" spans="1:38" x14ac:dyDescent="0.3">
      <c r="A9" s="196" t="s">
        <v>73</v>
      </c>
      <c r="B9" s="159"/>
      <c r="C9" s="159"/>
      <c r="D9" s="159"/>
      <c r="E9" s="162"/>
      <c r="F9" s="162"/>
      <c r="G9" s="168"/>
      <c r="H9" s="5">
        <f>('ERU Forecast'!H56*'ERU Forecast'!H48)*12</f>
        <v>1762513.1685000001</v>
      </c>
      <c r="I9" s="5">
        <f>('ERU Forecast'!I56*'ERU Forecast'!I48)*12</f>
        <v>1888811.311030875</v>
      </c>
      <c r="J9" s="5">
        <f>('ERU Forecast'!J56*'ERU Forecast'!J48)*12</f>
        <v>2031548.5588186684</v>
      </c>
      <c r="K9" s="5">
        <f>('ERU Forecast'!K56*'ERU Forecast'!K48)*12</f>
        <v>2185105.2910163659</v>
      </c>
      <c r="L9" s="5">
        <f>('ERU Forecast'!L56*'ERU Forecast'!L48)*12</f>
        <v>2350303.2817735262</v>
      </c>
      <c r="M9" s="5">
        <f>('ERU Forecast'!M56*'ERU Forecast'!M48)*12</f>
        <v>2528026.8049417785</v>
      </c>
      <c r="N9" s="5">
        <f>('ERU Forecast'!N56*'ERU Forecast'!N48)*12</f>
        <v>2719227.3916482609</v>
      </c>
      <c r="O9" s="5">
        <f>('ERU Forecast'!O56*'ERU Forecast'!O48)*12</f>
        <v>2924928.9502325961</v>
      </c>
      <c r="P9" s="5">
        <f>('ERU Forecast'!P56*'ERU Forecast'!P48)*12</f>
        <v>3146233.2761575445</v>
      </c>
      <c r="Q9" s="5">
        <f>('ERU Forecast'!Q56*'ERU Forecast'!Q48)*12</f>
        <v>3352094.3055924433</v>
      </c>
      <c r="R9" s="5">
        <f>('ERU Forecast'!R56*'ERU Forecast'!R48)*12</f>
        <v>3571470.5482983869</v>
      </c>
      <c r="S9" s="5">
        <f>('ERU Forecast'!S56*'ERU Forecast'!S48)*12</f>
        <v>3805251.1437643962</v>
      </c>
      <c r="T9" s="5">
        <f>('ERU Forecast'!T56*'ERU Forecast'!T48)*12</f>
        <v>4054383.800102294</v>
      </c>
      <c r="U9" s="5">
        <f>('ERU Forecast'!U56*'ERU Forecast'!U48)*12</f>
        <v>4319878.6549924724</v>
      </c>
      <c r="V9" s="5">
        <f>('ERU Forecast'!V56*'ERU Forecast'!V48)*12</f>
        <v>4602812.3912687385</v>
      </c>
      <c r="W9" s="5">
        <f>('ERU Forecast'!W56*'ERU Forecast'!W48)*12</f>
        <v>4904332.6239411086</v>
      </c>
      <c r="X9" s="5">
        <f>('ERU Forecast'!X56*'ERU Forecast'!X48)*12</f>
        <v>5225662.5765637998</v>
      </c>
      <c r="Y9" s="5">
        <f>('ERU Forecast'!Y56*'ERU Forecast'!Y48)*12</f>
        <v>5568106.0660372926</v>
      </c>
      <c r="Z9" s="5">
        <f>('ERU Forecast'!Z56*'ERU Forecast'!Z48)*12</f>
        <v>5933052.8161928467</v>
      </c>
      <c r="AA9" s="5">
        <f>('ERU Forecast'!AA56*'ERU Forecast'!AA48)*12</f>
        <v>6321984.121850552</v>
      </c>
      <c r="AB9" s="5">
        <f>('ERU Forecast'!AB56*'ERU Forecast'!AB48)*12</f>
        <v>6736478.8864732264</v>
      </c>
      <c r="AC9" s="5">
        <f>('ERU Forecast'!AC56*'ERU Forecast'!AC48)*12</f>
        <v>7178220.0580642167</v>
      </c>
      <c r="AD9" s="5">
        <f>('ERU Forecast'!AD56*'ERU Forecast'!AD48)*12</f>
        <v>7649001.4895835631</v>
      </c>
      <c r="AE9" s="5">
        <f>('ERU Forecast'!AE56*'ERU Forecast'!AE48)*12</f>
        <v>8150735.2518906668</v>
      </c>
      <c r="AF9" s="5">
        <f>('ERU Forecast'!AF56*'ERU Forecast'!AF48)*12</f>
        <v>8685459.4290698282</v>
      </c>
      <c r="AG9" s="5">
        <f>('ERU Forecast'!AG56*'ERU Forecast'!AG48)*12</f>
        <v>9255346.4279649854</v>
      </c>
      <c r="AH9" s="5">
        <f>('ERU Forecast'!AH56*'ERU Forecast'!AH48)*12</f>
        <v>9862711.8358502891</v>
      </c>
      <c r="AI9" s="5">
        <f>('ERU Forecast'!AI56*'ERU Forecast'!AI48)*12</f>
        <v>10510023.862401605</v>
      </c>
      <c r="AJ9" s="5">
        <f>('ERU Forecast'!AJ56*'ERU Forecast'!AJ48)*12</f>
        <v>11199913.404520717</v>
      </c>
      <c r="AK9" s="5">
        <f>('ERU Forecast'!AK56*'ERU Forecast'!AK48)*12</f>
        <v>11935184.77510771</v>
      </c>
      <c r="AL9" s="5">
        <f>('ERU Forecast'!AL56*'ERU Forecast'!AL48)*12</f>
        <v>12718827.139588993</v>
      </c>
    </row>
    <row r="10" spans="1:38" x14ac:dyDescent="0.3">
      <c r="A10" s="196" t="s">
        <v>142</v>
      </c>
      <c r="B10" s="162"/>
      <c r="C10" s="162"/>
      <c r="D10" s="162"/>
      <c r="E10" s="159"/>
      <c r="F10" s="162">
        <f>996921/8*12</f>
        <v>1495381.5</v>
      </c>
      <c r="G10" s="168"/>
      <c r="H10" s="5">
        <f>'ERU Forecast'!H56*Inputs!$B$12*12</f>
        <v>2496120</v>
      </c>
      <c r="I10" s="5">
        <f>'ERU Forecast'!I56*Inputs!$B$12*12</f>
        <v>2547606.5999999996</v>
      </c>
      <c r="J10" s="5">
        <f>'ERU Forecast'!J56*Inputs!$B$12*12</f>
        <v>2609646.5999999996</v>
      </c>
      <c r="K10" s="5">
        <f>'ERU Forecast'!K56*Inputs!$B$12*12</f>
        <v>2673237.5999999996</v>
      </c>
      <c r="L10" s="5">
        <f>'ERU Forecast'!L56*Inputs!$B$12*12</f>
        <v>2738418.3749999991</v>
      </c>
      <c r="M10" s="5">
        <f>'ERU Forecast'!M56*Inputs!$B$12*12</f>
        <v>2805228.6693749996</v>
      </c>
      <c r="N10" s="5">
        <f>'ERU Forecast'!N56*Inputs!$B$12*12</f>
        <v>2873709.221109374</v>
      </c>
      <c r="O10" s="5">
        <f>'ERU Forecast'!O56*Inputs!$B$12*12</f>
        <v>2943901.7866371078</v>
      </c>
      <c r="P10" s="5">
        <f>'ERU Forecast'!P56*Inputs!$B$12*12</f>
        <v>3015849.1663030349</v>
      </c>
      <c r="Q10" s="5">
        <f>'ERU Forecast'!Q56*Inputs!$B$12*12</f>
        <v>3089595.2304606102</v>
      </c>
      <c r="R10" s="5">
        <f>'ERU Forecast'!R56*Inputs!$B$12*12</f>
        <v>3165184.9462221256</v>
      </c>
      <c r="S10" s="5">
        <f>'ERU Forecast'!S56*Inputs!$B$12*12</f>
        <v>3242664.4048776785</v>
      </c>
      <c r="T10" s="5">
        <f>'ERU Forecast'!T56*Inputs!$B$12*12</f>
        <v>3322080.8499996196</v>
      </c>
      <c r="U10" s="5">
        <f>'ERU Forecast'!U56*Inputs!$B$12*12</f>
        <v>3403482.7062496105</v>
      </c>
      <c r="V10" s="5">
        <f>'ERU Forecast'!V56*Inputs!$B$12*12</f>
        <v>3486919.6089058509</v>
      </c>
      <c r="W10" s="5">
        <f>'ERU Forecast'!W56*Inputs!$B$12*12</f>
        <v>3572442.4341284968</v>
      </c>
      <c r="X10" s="5">
        <f>'ERU Forecast'!X56*Inputs!$B$12*12</f>
        <v>3660103.329981708</v>
      </c>
      <c r="Y10" s="5">
        <f>'ERU Forecast'!Y56*Inputs!$B$12*12</f>
        <v>3749955.7482312508</v>
      </c>
      <c r="Z10" s="5">
        <f>'ERU Forecast'!Z56*Inputs!$B$12*12</f>
        <v>3842054.4769370314</v>
      </c>
      <c r="AA10" s="5">
        <f>'ERU Forecast'!AA56*Inputs!$B$12*12</f>
        <v>3936455.6738604568</v>
      </c>
      <c r="AB10" s="5">
        <f>'ERU Forecast'!AB56*Inputs!$B$12*12</f>
        <v>4033216.9007069687</v>
      </c>
      <c r="AC10" s="5">
        <f>'ERU Forecast'!AC56*Inputs!$B$12*12</f>
        <v>4132397.1582246423</v>
      </c>
      <c r="AD10" s="5">
        <f>'ERU Forecast'!AD56*Inputs!$B$12*12</f>
        <v>4234056.9221802587</v>
      </c>
      <c r="AE10" s="5">
        <f>'ERU Forecast'!AE56*Inputs!$B$12*12</f>
        <v>4338258.1802347638</v>
      </c>
      <c r="AF10" s="5">
        <f>'ERU Forecast'!AF56*Inputs!$B$12*12</f>
        <v>4445064.469740632</v>
      </c>
      <c r="AG10" s="5">
        <f>'ERU Forecast'!AG56*Inputs!$B$12*12</f>
        <v>4554540.9164841473</v>
      </c>
      <c r="AH10" s="5">
        <f>'ERU Forecast'!AH56*Inputs!$B$12*12</f>
        <v>4666754.2743962519</v>
      </c>
      <c r="AI10" s="5">
        <f>'ERU Forecast'!AI56*Inputs!$B$12*12</f>
        <v>4781772.9662561566</v>
      </c>
      <c r="AJ10" s="5">
        <f>'ERU Forecast'!AJ56*Inputs!$B$12*12</f>
        <v>4899667.125412561</v>
      </c>
      <c r="AK10" s="5">
        <f>'ERU Forecast'!AK56*Inputs!$B$12*12</f>
        <v>5020508.6385478741</v>
      </c>
      <c r="AL10" s="5">
        <f>'ERU Forecast'!AL56*Inputs!$B$12*12</f>
        <v>5144371.1895115711</v>
      </c>
    </row>
    <row r="11" spans="1:38" x14ac:dyDescent="0.3">
      <c r="A11" s="197" t="s">
        <v>86</v>
      </c>
      <c r="B11" s="162">
        <v>547892</v>
      </c>
      <c r="C11" s="162">
        <v>573374</v>
      </c>
      <c r="D11" s="162">
        <v>609073</v>
      </c>
      <c r="E11" s="162">
        <v>626242</v>
      </c>
      <c r="F11" s="162">
        <f>339570/8*12</f>
        <v>509355</v>
      </c>
      <c r="G11" s="16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x14ac:dyDescent="0.3">
      <c r="A12" s="197" t="s">
        <v>83</v>
      </c>
      <c r="B12" s="162">
        <v>1451058.96</v>
      </c>
      <c r="C12" s="162">
        <f>1068552.96+439824</f>
        <v>1508376.96</v>
      </c>
      <c r="D12" s="162">
        <f>1068552.96+459888</f>
        <v>1528440.96</v>
      </c>
      <c r="E12" s="162">
        <f>1068522.96+543840</f>
        <v>1612362.96</v>
      </c>
      <c r="F12" s="162">
        <f>862950/8*12</f>
        <v>1294425</v>
      </c>
      <c r="G12" s="168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5.6" x14ac:dyDescent="0.3">
      <c r="A13" s="198" t="s">
        <v>79</v>
      </c>
      <c r="B13" s="162"/>
      <c r="C13" s="162"/>
      <c r="D13" s="162"/>
      <c r="E13" s="162"/>
      <c r="F13" s="162">
        <f>1426667/8*12+(148921/8*12)</f>
        <v>2363382</v>
      </c>
      <c r="G13" s="168"/>
      <c r="H13" s="54">
        <f>'ERU Forecast'!H49*'ERU Forecast'!H57+('ERU Forecast'!H57*Inputs!$B$7)</f>
        <v>1534788</v>
      </c>
      <c r="I13" s="54">
        <f>'ERU Forecast'!I49*'ERU Forecast'!I57+('ERU Forecast'!I57*Inputs!$B$7)</f>
        <v>1690244.9322899971</v>
      </c>
      <c r="J13" s="54">
        <f>'ERU Forecast'!J49*'ERU Forecast'!J57+('ERU Forecast'!J57*Inputs!$B$7)</f>
        <v>2036700.7259999849</v>
      </c>
      <c r="K13" s="54">
        <f>'ERU Forecast'!K49*'ERU Forecast'!K57</f>
        <v>1947428.9941500004</v>
      </c>
      <c r="L13" s="54">
        <f>'ERU Forecast'!L49*'ERU Forecast'!L57</f>
        <v>1996114.7190037386</v>
      </c>
      <c r="M13" s="54">
        <f>'ERU Forecast'!M49*'ERU Forecast'!M57</f>
        <v>2046017.5869788514</v>
      </c>
      <c r="N13" s="54">
        <f>'ERU Forecast'!N49*'ERU Forecast'!N57</f>
        <v>2097168.0266533005</v>
      </c>
      <c r="O13" s="54">
        <f>'ERU Forecast'!O49*'ERU Forecast'!O57</f>
        <v>2149597.227319641</v>
      </c>
      <c r="P13" s="54">
        <f>'ERU Forecast'!P49*'ERU Forecast'!P57</f>
        <v>2203337.1580026196</v>
      </c>
      <c r="Q13" s="54">
        <f>'ERU Forecast'!Q49*'ERU Forecast'!Q57</f>
        <v>2258420.5869526807</v>
      </c>
      <c r="R13" s="54">
        <f>'ERU Forecast'!R49*'ERU Forecast'!R57</f>
        <v>2314881.1016265275</v>
      </c>
      <c r="S13" s="54">
        <f>'ERU Forecast'!S49*'ERU Forecast'!S57</f>
        <v>2372753.1291671777</v>
      </c>
      <c r="T13" s="54">
        <f>'ERU Forecast'!T49*'ERU Forecast'!T57</f>
        <v>2432071.9573963396</v>
      </c>
      <c r="U13" s="54">
        <f>'ERU Forecast'!U49*'ERU Forecast'!U57</f>
        <v>2492873.7563312827</v>
      </c>
      <c r="V13" s="54">
        <f>'ERU Forecast'!V49*'ERU Forecast'!V57</f>
        <v>2555195.6002395451</v>
      </c>
      <c r="W13" s="54">
        <f>'ERU Forecast'!W49*'ERU Forecast'!W57</f>
        <v>2619075.4902455322</v>
      </c>
      <c r="X13" s="54">
        <f>'ERU Forecast'!X49*'ERU Forecast'!X57</f>
        <v>2684552.377501661</v>
      </c>
      <c r="Y13" s="54">
        <f>'ERU Forecast'!Y49*'ERU Forecast'!Y57</f>
        <v>2751666.1869392139</v>
      </c>
      <c r="Z13" s="54">
        <f>'ERU Forecast'!Z49*'ERU Forecast'!Z57</f>
        <v>2820457.8416126869</v>
      </c>
      <c r="AA13" s="54">
        <f>'ERU Forecast'!AA49*'ERU Forecast'!AA57</f>
        <v>2890969.2876530206</v>
      </c>
      <c r="AB13" s="54">
        <f>'ERU Forecast'!AB49*'ERU Forecast'!AB57</f>
        <v>2963243.5198443541</v>
      </c>
      <c r="AC13" s="54">
        <f>'ERU Forecast'!AC49*'ERU Forecast'!AC57</f>
        <v>3037324.6078404333</v>
      </c>
      <c r="AD13" s="54">
        <f>'ERU Forecast'!AD49*'ERU Forecast'!AD57</f>
        <v>3113257.723036462</v>
      </c>
      <c r="AE13" s="54">
        <f>'ERU Forecast'!AE49*'ERU Forecast'!AE57</f>
        <v>3191089.1661123317</v>
      </c>
      <c r="AF13" s="54">
        <f>'ERU Forecast'!AF49*'ERU Forecast'!AF57</f>
        <v>3270866.3952651783</v>
      </c>
      <c r="AG13" s="54">
        <f>'ERU Forecast'!AG49*'ERU Forecast'!AG57</f>
        <v>3352638.0551468031</v>
      </c>
      <c r="AH13" s="54">
        <f>'ERU Forecast'!AH49*'ERU Forecast'!AH57</f>
        <v>3436454.0065254937</v>
      </c>
      <c r="AI13" s="54">
        <f>'ERU Forecast'!AI49*'ERU Forecast'!AI57</f>
        <v>3522365.356688593</v>
      </c>
      <c r="AJ13" s="54">
        <f>'ERU Forecast'!AJ49*'ERU Forecast'!AJ57</f>
        <v>3610424.4906058498</v>
      </c>
      <c r="AK13" s="54">
        <f>'ERU Forecast'!AK49*'ERU Forecast'!AK57</f>
        <v>3700685.1028709332</v>
      </c>
      <c r="AL13" s="54">
        <f>'ERU Forecast'!AL49*'ERU Forecast'!AL57</f>
        <v>3793202.2304427582</v>
      </c>
    </row>
    <row r="14" spans="1:38" x14ac:dyDescent="0.3">
      <c r="A14" s="199" t="s">
        <v>81</v>
      </c>
      <c r="B14" s="162"/>
      <c r="C14" s="162"/>
      <c r="D14" s="162"/>
      <c r="E14" s="162"/>
      <c r="F14" s="162">
        <f>173250/8*12</f>
        <v>259875</v>
      </c>
      <c r="G14" s="168"/>
      <c r="H14" s="54">
        <v>200000</v>
      </c>
      <c r="I14" s="54">
        <v>100000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</row>
    <row r="15" spans="1:38" x14ac:dyDescent="0.3">
      <c r="A15" s="164" t="s">
        <v>54</v>
      </c>
      <c r="B15" s="162">
        <v>915574</v>
      </c>
      <c r="C15" s="162">
        <v>1659534</v>
      </c>
      <c r="D15" s="162">
        <v>2420316</v>
      </c>
      <c r="E15" s="162">
        <v>1007229</v>
      </c>
      <c r="F15" s="159"/>
      <c r="G15" s="183"/>
    </row>
    <row r="16" spans="1:38" x14ac:dyDescent="0.3">
      <c r="A16" s="196" t="s">
        <v>144</v>
      </c>
      <c r="B16" s="161"/>
      <c r="C16" s="161"/>
      <c r="D16" s="161"/>
      <c r="E16" s="161"/>
      <c r="F16" s="161">
        <f>525375/8*12</f>
        <v>788062.5</v>
      </c>
      <c r="G16" s="169"/>
      <c r="H16" s="50">
        <v>920269.1</v>
      </c>
      <c r="I16" s="50">
        <v>446310.76</v>
      </c>
      <c r="J16" s="50">
        <v>55295.14</v>
      </c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</row>
    <row r="17" spans="1:38" x14ac:dyDescent="0.3">
      <c r="A17" s="164" t="s">
        <v>55</v>
      </c>
      <c r="B17" s="162">
        <f>SUM(B8:B16)</f>
        <v>4055073.96</v>
      </c>
      <c r="C17" s="162">
        <f>SUM(C8:C16)</f>
        <v>5206542.96</v>
      </c>
      <c r="D17" s="162">
        <f>SUM(D8:D16)</f>
        <v>6270752.96</v>
      </c>
      <c r="E17" s="162">
        <f>SUM(E8:E16)</f>
        <v>7888942.96</v>
      </c>
      <c r="F17" s="162">
        <f>SUM(F7:F16)</f>
        <v>8313578.3100000005</v>
      </c>
      <c r="G17" s="168"/>
      <c r="H17" s="54">
        <f t="shared" ref="H17:AL17" si="0">SUM(H7:H16)</f>
        <v>6913690.2685000002</v>
      </c>
      <c r="I17" s="54">
        <f t="shared" si="0"/>
        <v>6672973.6033208715</v>
      </c>
      <c r="J17" s="54">
        <f t="shared" si="0"/>
        <v>6733191.0248186523</v>
      </c>
      <c r="K17" s="54">
        <f t="shared" si="0"/>
        <v>6805771.8851663666</v>
      </c>
      <c r="L17" s="54">
        <f t="shared" si="0"/>
        <v>7084836.3757772641</v>
      </c>
      <c r="M17" s="54">
        <f t="shared" si="0"/>
        <v>7379273.0612956285</v>
      </c>
      <c r="N17" s="54">
        <f t="shared" si="0"/>
        <v>7690104.6394109353</v>
      </c>
      <c r="O17" s="54">
        <f t="shared" si="0"/>
        <v>8018427.964189345</v>
      </c>
      <c r="P17" s="54">
        <f t="shared" si="0"/>
        <v>8365419.6004631994</v>
      </c>
      <c r="Q17" s="54">
        <f t="shared" si="0"/>
        <v>8700110.1230057348</v>
      </c>
      <c r="R17" s="54">
        <f t="shared" si="0"/>
        <v>9051536.5961470399</v>
      </c>
      <c r="S17" s="54">
        <f t="shared" si="0"/>
        <v>9420668.6778092533</v>
      </c>
      <c r="T17" s="54">
        <f t="shared" si="0"/>
        <v>9808536.6074982528</v>
      </c>
      <c r="U17" s="54">
        <f t="shared" si="0"/>
        <v>10216235.117573366</v>
      </c>
      <c r="V17" s="54">
        <f t="shared" si="0"/>
        <v>10644927.600414135</v>
      </c>
      <c r="W17" s="54">
        <f t="shared" si="0"/>
        <v>11095850.548315138</v>
      </c>
      <c r="X17" s="54">
        <f t="shared" si="0"/>
        <v>11570318.28404717</v>
      </c>
      <c r="Y17" s="54">
        <f t="shared" si="0"/>
        <v>12069728.001207758</v>
      </c>
      <c r="Z17" s="54">
        <f t="shared" si="0"/>
        <v>12595565.134742565</v>
      </c>
      <c r="AA17" s="54">
        <f t="shared" si="0"/>
        <v>13149409.083364028</v>
      </c>
      <c r="AB17" s="54">
        <f t="shared" si="0"/>
        <v>13732939.30702455</v>
      </c>
      <c r="AC17" s="54">
        <f t="shared" si="0"/>
        <v>14347941.824129293</v>
      </c>
      <c r="AD17" s="54">
        <f t="shared" si="0"/>
        <v>14996316.134800283</v>
      </c>
      <c r="AE17" s="54">
        <f t="shared" si="0"/>
        <v>15680082.598237762</v>
      </c>
      <c r="AF17" s="54">
        <f t="shared" si="0"/>
        <v>16401390.29407564</v>
      </c>
      <c r="AG17" s="54">
        <f t="shared" si="0"/>
        <v>17162525.399595935</v>
      </c>
      <c r="AH17" s="54">
        <f t="shared" si="0"/>
        <v>17965920.116772033</v>
      </c>
      <c r="AI17" s="54">
        <f t="shared" si="0"/>
        <v>18814162.185346354</v>
      </c>
      <c r="AJ17" s="54">
        <f t="shared" si="0"/>
        <v>19710005.020539127</v>
      </c>
      <c r="AK17" s="54">
        <f t="shared" si="0"/>
        <v>20656378.516526517</v>
      </c>
      <c r="AL17" s="54">
        <f t="shared" si="0"/>
        <v>21656400.559543323</v>
      </c>
    </row>
    <row r="18" spans="1:38" x14ac:dyDescent="0.3">
      <c r="A18" s="164"/>
      <c r="B18" s="162"/>
      <c r="C18" s="162"/>
      <c r="D18" s="162"/>
      <c r="E18" s="159"/>
      <c r="F18" s="159"/>
      <c r="G18" s="183"/>
    </row>
    <row r="19" spans="1:38" x14ac:dyDescent="0.3">
      <c r="A19" s="164"/>
      <c r="B19" s="162"/>
      <c r="C19" s="200"/>
      <c r="D19" s="200"/>
      <c r="E19" s="200"/>
      <c r="F19" s="200"/>
      <c r="G19" s="201"/>
      <c r="H19" s="74"/>
      <c r="I19" s="74"/>
      <c r="J19" s="74"/>
    </row>
    <row r="20" spans="1:38" x14ac:dyDescent="0.3">
      <c r="A20" s="164" t="s">
        <v>58</v>
      </c>
      <c r="B20" s="161">
        <f>2659931-B26</f>
        <v>1095827</v>
      </c>
      <c r="C20" s="161">
        <f>2923502-C26</f>
        <v>1361378</v>
      </c>
      <c r="D20" s="161">
        <f>3015601-D26</f>
        <v>1451497</v>
      </c>
      <c r="E20" s="161">
        <v>1439917</v>
      </c>
      <c r="F20" s="161">
        <f>1038578.18/8*12</f>
        <v>1557867.27</v>
      </c>
      <c r="G20" s="169"/>
      <c r="H20" s="50">
        <f>F20*(1+Inputs!$B$31)</f>
        <v>1620181.9608</v>
      </c>
      <c r="I20" s="50">
        <f>H20*(1+Inputs!$B$31)</f>
        <v>1684989.239232</v>
      </c>
      <c r="J20" s="50">
        <f>I20*(1+Inputs!$B$31)</f>
        <v>1752388.8088012801</v>
      </c>
      <c r="K20" s="50">
        <f>J20*(1+Inputs!$B$31)</f>
        <v>1822484.3611533314</v>
      </c>
      <c r="L20" s="50">
        <f>K20*(1+Inputs!$B$31)</f>
        <v>1895383.7355994647</v>
      </c>
      <c r="M20" s="50">
        <f>L20*(1+Inputs!$B$31)</f>
        <v>1971199.0850234434</v>
      </c>
      <c r="N20" s="50">
        <f>M20*(1+Inputs!$B$31)</f>
        <v>2050047.0484243813</v>
      </c>
      <c r="O20" s="50">
        <f>N20*(1+Inputs!$B$31)</f>
        <v>2132048.9303613566</v>
      </c>
      <c r="P20" s="50">
        <f>O20*(1+Inputs!$B$31)</f>
        <v>2217330.8875758108</v>
      </c>
      <c r="Q20" s="50">
        <f>P20*(1+Inputs!$B$31)</f>
        <v>2306024.1230788431</v>
      </c>
      <c r="R20" s="50">
        <f>Q20*(1+Inputs!$B$31)</f>
        <v>2398265.0880019967</v>
      </c>
      <c r="S20" s="50">
        <f>R20*(1+Inputs!$B$31)</f>
        <v>2494195.6915220767</v>
      </c>
      <c r="T20" s="50">
        <f>S20*(1+Inputs!$B$31)</f>
        <v>2593963.51918296</v>
      </c>
      <c r="U20" s="50">
        <f>T20*(1+Inputs!$B$31)</f>
        <v>2697722.0599502786</v>
      </c>
      <c r="V20" s="50">
        <f>U20*(1+Inputs!$B$31)</f>
        <v>2805630.9423482898</v>
      </c>
      <c r="W20" s="50">
        <f>V20*(1+Inputs!$B$31)</f>
        <v>2917856.1800422217</v>
      </c>
      <c r="X20" s="50">
        <f>W20*(1+Inputs!$B$31)</f>
        <v>3034570.4272439107</v>
      </c>
      <c r="Y20" s="50">
        <f>X20*(1+Inputs!$B$31)</f>
        <v>3155953.2443336672</v>
      </c>
      <c r="Z20" s="50">
        <f>Y20*(1+Inputs!$B$31)</f>
        <v>3282191.3741070139</v>
      </c>
      <c r="AA20" s="50">
        <f>Z20*(1+Inputs!$B$31)</f>
        <v>3413479.0290712947</v>
      </c>
      <c r="AB20" s="50">
        <f>AA20*(1+Inputs!$B$31)</f>
        <v>3550018.1902341465</v>
      </c>
      <c r="AC20" s="50">
        <f>AB20*(1+Inputs!$B$31)</f>
        <v>3692018.9178435127</v>
      </c>
      <c r="AD20" s="50">
        <f>AC20*(1+Inputs!$B$31)</f>
        <v>3839699.6745572533</v>
      </c>
      <c r="AE20" s="50">
        <f>AD20*(1+Inputs!$B$31)</f>
        <v>3993287.6615395434</v>
      </c>
      <c r="AF20" s="50">
        <f>AE20*(1+Inputs!$B$31)</f>
        <v>4153019.1680011251</v>
      </c>
      <c r="AG20" s="50">
        <f>AF20*(1+Inputs!$B$31)</f>
        <v>4319139.93472117</v>
      </c>
      <c r="AH20" s="50">
        <f>AG20*(1+Inputs!$B$31)</f>
        <v>4491905.5321100168</v>
      </c>
      <c r="AI20" s="50">
        <f>AH20*(1+Inputs!$B$31)</f>
        <v>4671581.7533944175</v>
      </c>
      <c r="AJ20" s="50">
        <f>AI20*(1+Inputs!$B$31)</f>
        <v>4858445.0235301945</v>
      </c>
      <c r="AK20" s="50">
        <f>AJ20*(1+Inputs!$B$31)</f>
        <v>5052782.8244714029</v>
      </c>
      <c r="AL20" s="50">
        <f>AK20*(1+Inputs!$B$31)</f>
        <v>5254894.1374502592</v>
      </c>
    </row>
    <row r="21" spans="1:38" x14ac:dyDescent="0.3">
      <c r="A21" s="164" t="s">
        <v>60</v>
      </c>
      <c r="B21" s="162">
        <f>B17-B20</f>
        <v>2959246.96</v>
      </c>
      <c r="C21" s="162">
        <f t="shared" ref="C21:E21" si="1">C17-C20</f>
        <v>3845164.96</v>
      </c>
      <c r="D21" s="162">
        <f t="shared" si="1"/>
        <v>4819255.96</v>
      </c>
      <c r="E21" s="162">
        <f t="shared" si="1"/>
        <v>6449025.96</v>
      </c>
      <c r="F21" s="202">
        <f>F17-F20</f>
        <v>6755711.040000001</v>
      </c>
      <c r="G21" s="203"/>
      <c r="H21" s="11">
        <f>H17-H20</f>
        <v>5293508.3077000007</v>
      </c>
      <c r="I21" s="11">
        <f>I17-I20</f>
        <v>4987984.3640888715</v>
      </c>
      <c r="J21" s="11">
        <f t="shared" ref="J21:AL21" si="2">J17-J20</f>
        <v>4980802.216017372</v>
      </c>
      <c r="K21" s="11">
        <f t="shared" si="2"/>
        <v>4983287.524013035</v>
      </c>
      <c r="L21" s="11">
        <f t="shared" si="2"/>
        <v>5189452.6401777994</v>
      </c>
      <c r="M21" s="11">
        <f t="shared" si="2"/>
        <v>5408073.9762721853</v>
      </c>
      <c r="N21" s="11">
        <f t="shared" si="2"/>
        <v>5640057.5909865536</v>
      </c>
      <c r="O21" s="11">
        <f t="shared" si="2"/>
        <v>5886379.0338279884</v>
      </c>
      <c r="P21" s="11">
        <f t="shared" si="2"/>
        <v>6148088.7128873887</v>
      </c>
      <c r="Q21" s="11">
        <f t="shared" si="2"/>
        <v>6394085.9999268912</v>
      </c>
      <c r="R21" s="11">
        <f t="shared" si="2"/>
        <v>6653271.5081450436</v>
      </c>
      <c r="S21" s="11">
        <f t="shared" si="2"/>
        <v>6926472.9862871766</v>
      </c>
      <c r="T21" s="11">
        <f t="shared" si="2"/>
        <v>7214573.0883152932</v>
      </c>
      <c r="U21" s="11">
        <f t="shared" si="2"/>
        <v>7518513.0576230865</v>
      </c>
      <c r="V21" s="11">
        <f t="shared" si="2"/>
        <v>7839296.6580658443</v>
      </c>
      <c r="W21" s="11">
        <f t="shared" si="2"/>
        <v>8177994.3682729155</v>
      </c>
      <c r="X21" s="11">
        <f t="shared" si="2"/>
        <v>8535747.8568032589</v>
      </c>
      <c r="Y21" s="11">
        <f t="shared" si="2"/>
        <v>8913774.7568740901</v>
      </c>
      <c r="Z21" s="11">
        <f t="shared" si="2"/>
        <v>9313373.7606355511</v>
      </c>
      <c r="AA21" s="11">
        <f t="shared" si="2"/>
        <v>9735930.0542927347</v>
      </c>
      <c r="AB21" s="11">
        <f t="shared" si="2"/>
        <v>10182921.116790403</v>
      </c>
      <c r="AC21" s="11">
        <f t="shared" si="2"/>
        <v>10655922.90628578</v>
      </c>
      <c r="AD21" s="11">
        <f t="shared" si="2"/>
        <v>11156616.46024303</v>
      </c>
      <c r="AE21" s="11">
        <f t="shared" si="2"/>
        <v>11686794.936698219</v>
      </c>
      <c r="AF21" s="11">
        <f t="shared" si="2"/>
        <v>12248371.126074515</v>
      </c>
      <c r="AG21" s="11">
        <f t="shared" si="2"/>
        <v>12843385.464874765</v>
      </c>
      <c r="AH21" s="11">
        <f t="shared" si="2"/>
        <v>13474014.584662016</v>
      </c>
      <c r="AI21" s="11">
        <f t="shared" si="2"/>
        <v>14142580.431951936</v>
      </c>
      <c r="AJ21" s="11">
        <f t="shared" si="2"/>
        <v>14851559.997008933</v>
      </c>
      <c r="AK21" s="11">
        <f t="shared" si="2"/>
        <v>15603595.692055114</v>
      </c>
      <c r="AL21" s="11">
        <f t="shared" si="2"/>
        <v>16401506.422093064</v>
      </c>
    </row>
    <row r="22" spans="1:38" ht="15" thickBot="1" x14ac:dyDescent="0.35">
      <c r="A22" s="164" t="s">
        <v>269</v>
      </c>
      <c r="B22" s="189">
        <f>Inputs!$B$21+Inputs!$B$24</f>
        <v>1555872.84</v>
      </c>
      <c r="C22" s="189">
        <f>Inputs!$B$21+Inputs!$B$24</f>
        <v>1555872.84</v>
      </c>
      <c r="D22" s="189">
        <f>Inputs!$B$21+Inputs!$B$24</f>
        <v>1555872.84</v>
      </c>
      <c r="E22" s="189">
        <f>Inputs!$B$21+Inputs!$B$24</f>
        <v>1555872.84</v>
      </c>
      <c r="F22" s="189">
        <f>Inputs!B23+Inputs!B24</f>
        <v>1505925.1400000001</v>
      </c>
      <c r="G22" s="204"/>
      <c r="H22" s="99">
        <f>Inputs!B26</f>
        <v>3711725.14</v>
      </c>
      <c r="I22" s="99">
        <f>Inputs!$B$26</f>
        <v>3711725.14</v>
      </c>
      <c r="J22" s="99">
        <f>Inputs!$B$26</f>
        <v>3711725.14</v>
      </c>
      <c r="K22" s="99">
        <f>Inputs!$B$26</f>
        <v>3711725.14</v>
      </c>
      <c r="L22" s="99">
        <f>Inputs!$B$26</f>
        <v>3711725.14</v>
      </c>
      <c r="M22" s="99">
        <f>Inputs!$B$26</f>
        <v>3711725.14</v>
      </c>
      <c r="N22" s="99">
        <f>Inputs!$B$26</f>
        <v>3711725.14</v>
      </c>
      <c r="O22" s="99">
        <f>Inputs!$B$23+Inputs!$B$25</f>
        <v>3224375.14</v>
      </c>
      <c r="P22" s="99">
        <f>Inputs!$B$23+Inputs!$B$25</f>
        <v>3224375.14</v>
      </c>
      <c r="Q22" s="99">
        <f>Inputs!$B$23+Inputs!$B$25</f>
        <v>3224375.14</v>
      </c>
      <c r="R22" s="99">
        <f>Inputs!$B$23+Inputs!$B$25</f>
        <v>3224375.14</v>
      </c>
      <c r="S22" s="99">
        <f>Inputs!$B$23+Inputs!$B$25</f>
        <v>3224375.14</v>
      </c>
      <c r="T22" s="99">
        <f>Inputs!$B$23+Inputs!$B$25</f>
        <v>3224375.14</v>
      </c>
      <c r="U22" s="99">
        <f>Inputs!$B$23+Inputs!$B$25</f>
        <v>3224375.14</v>
      </c>
      <c r="V22" s="99">
        <f>Inputs!$B$23+Inputs!$B$25</f>
        <v>3224375.14</v>
      </c>
      <c r="W22" s="99">
        <f>Inputs!$B$23+Inputs!$B$25</f>
        <v>3224375.14</v>
      </c>
      <c r="X22" s="99">
        <f>Inputs!$B$23+Inputs!$B$25</f>
        <v>3224375.14</v>
      </c>
      <c r="Y22" s="99">
        <f>Inputs!$B$23+Inputs!$B$25</f>
        <v>3224375.14</v>
      </c>
      <c r="Z22" s="99">
        <f>Inputs!$B$23+Inputs!$B$25</f>
        <v>3224375.14</v>
      </c>
      <c r="AA22" s="99">
        <f>Inputs!$B$25</f>
        <v>2205800</v>
      </c>
      <c r="AB22" s="99">
        <f>Inputs!$B$25</f>
        <v>2205800</v>
      </c>
      <c r="AC22" s="99">
        <f>Inputs!$B$25</f>
        <v>2205800</v>
      </c>
      <c r="AD22" s="99">
        <f>Inputs!$B$25</f>
        <v>2205800</v>
      </c>
      <c r="AE22" s="99">
        <f>Inputs!$B$25</f>
        <v>2205800</v>
      </c>
      <c r="AF22" s="99">
        <f>Inputs!$B$25</f>
        <v>2205800</v>
      </c>
      <c r="AG22" s="99">
        <f>Inputs!$B$25</f>
        <v>2205800</v>
      </c>
      <c r="AH22" s="99">
        <f>Inputs!$B$25</f>
        <v>2205800</v>
      </c>
      <c r="AI22" s="99">
        <f>Inputs!$B$25</f>
        <v>2205800</v>
      </c>
      <c r="AJ22" s="99">
        <f>Inputs!$B$25</f>
        <v>2205800</v>
      </c>
      <c r="AK22" s="99">
        <f>Inputs!$B$25</f>
        <v>2205800</v>
      </c>
      <c r="AL22" s="99">
        <f>Inputs!$B$25</f>
        <v>2205800</v>
      </c>
    </row>
    <row r="23" spans="1:38" x14ac:dyDescent="0.3">
      <c r="A23" s="164"/>
      <c r="B23" s="162"/>
      <c r="C23" s="162"/>
      <c r="D23" s="162"/>
      <c r="E23" s="162"/>
      <c r="F23" s="162"/>
      <c r="G23" s="168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</row>
    <row r="24" spans="1:38" x14ac:dyDescent="0.3">
      <c r="A24" s="164" t="s">
        <v>261</v>
      </c>
      <c r="B24" s="163">
        <f>B21/B22</f>
        <v>1.901985100530452</v>
      </c>
      <c r="C24" s="163">
        <f>C21/C22</f>
        <v>2.4713876745865684</v>
      </c>
      <c r="D24" s="163">
        <f>D21/D22</f>
        <v>3.0974613323798361</v>
      </c>
      <c r="E24" s="163">
        <f>E21/E22</f>
        <v>4.1449569619069893</v>
      </c>
      <c r="F24" s="163">
        <f>F21/F22</f>
        <v>4.486086898051254</v>
      </c>
      <c r="G24" s="205"/>
      <c r="H24" s="84">
        <f t="shared" ref="H24:AL24" si="3">H21/H22</f>
        <v>1.4261584864282275</v>
      </c>
      <c r="I24" s="84">
        <f t="shared" si="3"/>
        <v>1.3438452945599499</v>
      </c>
      <c r="J24" s="84">
        <f t="shared" si="3"/>
        <v>1.3419103053566546</v>
      </c>
      <c r="K24" s="84">
        <f t="shared" si="3"/>
        <v>1.3425798883408255</v>
      </c>
      <c r="L24" s="84">
        <f t="shared" si="3"/>
        <v>1.3981241725721638</v>
      </c>
      <c r="M24" s="84">
        <f t="shared" si="3"/>
        <v>1.457024367992988</v>
      </c>
      <c r="N24" s="84">
        <f t="shared" si="3"/>
        <v>1.5195245817653817</v>
      </c>
      <c r="O24" s="84">
        <f t="shared" si="3"/>
        <v>1.8255875257207164</v>
      </c>
      <c r="P24" s="84">
        <f t="shared" si="3"/>
        <v>1.9067535401254174</v>
      </c>
      <c r="Q24" s="84">
        <f t="shared" si="3"/>
        <v>1.9830465508200423</v>
      </c>
      <c r="R24" s="84">
        <f t="shared" si="3"/>
        <v>2.0634297249125435</v>
      </c>
      <c r="S24" s="84">
        <f t="shared" si="3"/>
        <v>2.1481597784205646</v>
      </c>
      <c r="T24" s="84">
        <f t="shared" si="3"/>
        <v>2.2375104555344305</v>
      </c>
      <c r="U24" s="84">
        <f t="shared" si="3"/>
        <v>2.3317736712307879</v>
      </c>
      <c r="V24" s="84">
        <f t="shared" si="3"/>
        <v>2.4312607304328253</v>
      </c>
      <c r="W24" s="84">
        <f t="shared" si="3"/>
        <v>2.5363036288243168</v>
      </c>
      <c r="X24" s="84">
        <f t="shared" si="3"/>
        <v>2.6472564407636696</v>
      </c>
      <c r="Y24" s="84">
        <f t="shared" si="3"/>
        <v>2.7644968001068539</v>
      </c>
      <c r="Z24" s="84">
        <f t="shared" si="3"/>
        <v>2.8884274801335774</v>
      </c>
      <c r="AA24" s="84">
        <f t="shared" si="3"/>
        <v>4.4137864059718623</v>
      </c>
      <c r="AB24" s="84">
        <f t="shared" si="3"/>
        <v>4.6164299196619831</v>
      </c>
      <c r="AC24" s="84">
        <f t="shared" si="3"/>
        <v>4.8308654031579383</v>
      </c>
      <c r="AD24" s="84">
        <f t="shared" si="3"/>
        <v>5.0578549552285015</v>
      </c>
      <c r="AE24" s="84">
        <f t="shared" si="3"/>
        <v>5.298211504532695</v>
      </c>
      <c r="AF24" s="84">
        <f t="shared" si="3"/>
        <v>5.552802215103144</v>
      </c>
      <c r="AG24" s="84">
        <f t="shared" si="3"/>
        <v>5.8225521193556826</v>
      </c>
      <c r="AH24" s="84">
        <f t="shared" si="3"/>
        <v>6.1084479937718816</v>
      </c>
      <c r="AI24" s="84">
        <f t="shared" si="3"/>
        <v>6.4115424934046317</v>
      </c>
      <c r="AJ24" s="84">
        <f t="shared" si="3"/>
        <v>6.7329585624303805</v>
      </c>
      <c r="AK24" s="84">
        <f t="shared" si="3"/>
        <v>7.0738941391128449</v>
      </c>
      <c r="AL24" s="84">
        <f t="shared" si="3"/>
        <v>7.43562717476338</v>
      </c>
    </row>
    <row r="25" spans="1:38" x14ac:dyDescent="0.3">
      <c r="A25" s="164"/>
      <c r="B25" s="159"/>
      <c r="C25" s="162"/>
      <c r="D25" s="162"/>
      <c r="E25" s="159"/>
      <c r="F25" s="159"/>
      <c r="G25" s="183"/>
      <c r="H25" s="80"/>
      <c r="I25" s="80"/>
      <c r="J25" s="80"/>
      <c r="K25" s="80"/>
      <c r="L25" s="80"/>
      <c r="M25" s="80"/>
      <c r="N25" s="80"/>
    </row>
    <row r="26" spans="1:38" ht="18" customHeight="1" x14ac:dyDescent="0.3">
      <c r="A26" s="164" t="s">
        <v>59</v>
      </c>
      <c r="B26" s="162">
        <v>1564104</v>
      </c>
      <c r="C26" s="162">
        <v>1562124</v>
      </c>
      <c r="D26" s="162">
        <v>1564104</v>
      </c>
      <c r="E26" s="202">
        <f>AVERAGE($B$26:$D$26)</f>
        <v>1563444</v>
      </c>
      <c r="F26" s="202">
        <f>AVERAGE($B$26:$D$26)</f>
        <v>1563444</v>
      </c>
      <c r="G26" s="203"/>
      <c r="H26" s="11">
        <f t="shared" ref="H26:AL26" si="4">AVERAGE($B$26:$D$26)</f>
        <v>1563444</v>
      </c>
      <c r="I26" s="11">
        <f t="shared" si="4"/>
        <v>1563444</v>
      </c>
      <c r="J26" s="11">
        <f t="shared" si="4"/>
        <v>1563444</v>
      </c>
      <c r="K26" s="11">
        <f t="shared" si="4"/>
        <v>1563444</v>
      </c>
      <c r="L26" s="11">
        <f t="shared" si="4"/>
        <v>1563444</v>
      </c>
      <c r="M26" s="11">
        <f t="shared" si="4"/>
        <v>1563444</v>
      </c>
      <c r="N26" s="11">
        <f t="shared" si="4"/>
        <v>1563444</v>
      </c>
      <c r="O26" s="11">
        <f t="shared" si="4"/>
        <v>1563444</v>
      </c>
      <c r="P26" s="11">
        <f t="shared" si="4"/>
        <v>1563444</v>
      </c>
      <c r="Q26" s="11">
        <f t="shared" si="4"/>
        <v>1563444</v>
      </c>
      <c r="R26" s="11">
        <f t="shared" si="4"/>
        <v>1563444</v>
      </c>
      <c r="S26" s="11">
        <f t="shared" si="4"/>
        <v>1563444</v>
      </c>
      <c r="T26" s="11">
        <f t="shared" si="4"/>
        <v>1563444</v>
      </c>
      <c r="U26" s="11">
        <f t="shared" si="4"/>
        <v>1563444</v>
      </c>
      <c r="V26" s="11">
        <f t="shared" si="4"/>
        <v>1563444</v>
      </c>
      <c r="W26" s="11">
        <f t="shared" si="4"/>
        <v>1563444</v>
      </c>
      <c r="X26" s="11">
        <f t="shared" si="4"/>
        <v>1563444</v>
      </c>
      <c r="Y26" s="11">
        <f t="shared" si="4"/>
        <v>1563444</v>
      </c>
      <c r="Z26" s="11">
        <f t="shared" si="4"/>
        <v>1563444</v>
      </c>
      <c r="AA26" s="11">
        <f t="shared" si="4"/>
        <v>1563444</v>
      </c>
      <c r="AB26" s="11">
        <f t="shared" si="4"/>
        <v>1563444</v>
      </c>
      <c r="AC26" s="11">
        <f t="shared" si="4"/>
        <v>1563444</v>
      </c>
      <c r="AD26" s="11">
        <f t="shared" si="4"/>
        <v>1563444</v>
      </c>
      <c r="AE26" s="11">
        <f t="shared" si="4"/>
        <v>1563444</v>
      </c>
      <c r="AF26" s="11">
        <f t="shared" si="4"/>
        <v>1563444</v>
      </c>
      <c r="AG26" s="11">
        <f t="shared" si="4"/>
        <v>1563444</v>
      </c>
      <c r="AH26" s="11">
        <f t="shared" si="4"/>
        <v>1563444</v>
      </c>
      <c r="AI26" s="11">
        <f t="shared" si="4"/>
        <v>1563444</v>
      </c>
      <c r="AJ26" s="11">
        <f t="shared" si="4"/>
        <v>1563444</v>
      </c>
      <c r="AK26" s="11">
        <f t="shared" si="4"/>
        <v>1563444</v>
      </c>
      <c r="AL26" s="11">
        <f t="shared" si="4"/>
        <v>1563444</v>
      </c>
    </row>
    <row r="27" spans="1:38" ht="16.2" customHeight="1" x14ac:dyDescent="0.3">
      <c r="A27" s="185" t="s">
        <v>61</v>
      </c>
      <c r="B27" s="190">
        <f>B17-B20-B26</f>
        <v>1395142.96</v>
      </c>
      <c r="C27" s="190">
        <f>C17-C20-C26</f>
        <v>2283040.96</v>
      </c>
      <c r="D27" s="190">
        <f>D17-D20-D26</f>
        <v>3255151.96</v>
      </c>
      <c r="E27" s="190">
        <f>E17-E20-E26</f>
        <v>4885581.96</v>
      </c>
      <c r="F27" s="190">
        <f>F17-F20-F26</f>
        <v>5192267.040000001</v>
      </c>
      <c r="G27" s="206"/>
      <c r="H27" s="55">
        <f t="shared" ref="H27:AL27" si="5">H17-H20-H26</f>
        <v>3730064.3077000007</v>
      </c>
      <c r="I27" s="55">
        <f t="shared" si="5"/>
        <v>3424540.3640888715</v>
      </c>
      <c r="J27" s="55">
        <f t="shared" si="5"/>
        <v>3417358.216017372</v>
      </c>
      <c r="K27" s="55">
        <f t="shared" si="5"/>
        <v>3419843.524013035</v>
      </c>
      <c r="L27" s="55">
        <f t="shared" si="5"/>
        <v>3626008.6401777994</v>
      </c>
      <c r="M27" s="55">
        <f t="shared" si="5"/>
        <v>3844629.9762721853</v>
      </c>
      <c r="N27" s="55">
        <f t="shared" si="5"/>
        <v>4076613.5909865536</v>
      </c>
      <c r="O27" s="55">
        <f t="shared" si="5"/>
        <v>4322935.0338279884</v>
      </c>
      <c r="P27" s="55">
        <f t="shared" si="5"/>
        <v>4584644.7128873887</v>
      </c>
      <c r="Q27" s="55">
        <f t="shared" si="5"/>
        <v>4830641.9999268912</v>
      </c>
      <c r="R27" s="55">
        <f t="shared" si="5"/>
        <v>5089827.5081450436</v>
      </c>
      <c r="S27" s="55">
        <f t="shared" si="5"/>
        <v>5363028.9862871766</v>
      </c>
      <c r="T27" s="55">
        <f t="shared" si="5"/>
        <v>5651129.0883152932</v>
      </c>
      <c r="U27" s="55">
        <f t="shared" si="5"/>
        <v>5955069.0576230865</v>
      </c>
      <c r="V27" s="55">
        <f t="shared" si="5"/>
        <v>6275852.6580658443</v>
      </c>
      <c r="W27" s="55">
        <f t="shared" si="5"/>
        <v>6614550.3682729155</v>
      </c>
      <c r="X27" s="55">
        <f t="shared" si="5"/>
        <v>6972303.8568032589</v>
      </c>
      <c r="Y27" s="55">
        <f t="shared" si="5"/>
        <v>7350330.7568740901</v>
      </c>
      <c r="Z27" s="55">
        <f t="shared" si="5"/>
        <v>7749929.7606355511</v>
      </c>
      <c r="AA27" s="55">
        <f t="shared" si="5"/>
        <v>8172486.0542927347</v>
      </c>
      <c r="AB27" s="55">
        <f t="shared" si="5"/>
        <v>8619477.1167904027</v>
      </c>
      <c r="AC27" s="55">
        <f t="shared" si="5"/>
        <v>9092478.9062857796</v>
      </c>
      <c r="AD27" s="55">
        <f t="shared" si="5"/>
        <v>9593172.4602430295</v>
      </c>
      <c r="AE27" s="55">
        <f t="shared" si="5"/>
        <v>10123350.936698219</v>
      </c>
      <c r="AF27" s="55">
        <f t="shared" si="5"/>
        <v>10684927.126074515</v>
      </c>
      <c r="AG27" s="55">
        <f t="shared" si="5"/>
        <v>11279941.464874765</v>
      </c>
      <c r="AH27" s="55">
        <f t="shared" si="5"/>
        <v>11910570.584662016</v>
      </c>
      <c r="AI27" s="55">
        <f t="shared" si="5"/>
        <v>12579136.431951936</v>
      </c>
      <c r="AJ27" s="55">
        <f t="shared" si="5"/>
        <v>13288115.997008933</v>
      </c>
      <c r="AK27" s="55">
        <f t="shared" si="5"/>
        <v>14040151.692055114</v>
      </c>
      <c r="AL27" s="55">
        <f t="shared" si="5"/>
        <v>14838062.422093064</v>
      </c>
    </row>
    <row r="28" spans="1:38" ht="15" thickBot="1" x14ac:dyDescent="0.35">
      <c r="A28" s="170"/>
      <c r="B28" s="172"/>
      <c r="C28" s="172"/>
      <c r="D28" s="172"/>
      <c r="E28" s="188"/>
      <c r="F28" s="188"/>
      <c r="G28" s="187"/>
    </row>
    <row r="29" spans="1:38" x14ac:dyDescent="0.3">
      <c r="A29" s="31"/>
      <c r="B29" s="30"/>
      <c r="C29" s="30"/>
      <c r="D29" s="30"/>
      <c r="E29" s="30"/>
      <c r="F29" s="30"/>
      <c r="G29" s="30"/>
    </row>
    <row r="30" spans="1:38" x14ac:dyDescent="0.3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</row>
    <row r="31" spans="1:38" x14ac:dyDescent="0.3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38" x14ac:dyDescent="0.3">
      <c r="A32" s="3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</row>
    <row r="33" spans="1:32" x14ac:dyDescent="0.3">
      <c r="A33" s="31"/>
    </row>
    <row r="34" spans="1:32" x14ac:dyDescent="0.3">
      <c r="A34" s="32"/>
    </row>
    <row r="35" spans="1:32" x14ac:dyDescent="0.3">
      <c r="A35" s="3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</row>
    <row r="36" spans="1:32" x14ac:dyDescent="0.3">
      <c r="A36" s="3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</row>
    <row r="37" spans="1:32" x14ac:dyDescent="0.3">
      <c r="A37" s="31"/>
    </row>
    <row r="38" spans="1:32" x14ac:dyDescent="0.3">
      <c r="A38" s="32"/>
    </row>
    <row r="39" spans="1:32" x14ac:dyDescent="0.3">
      <c r="A39" s="3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32" x14ac:dyDescent="0.3">
      <c r="A40" s="31"/>
    </row>
    <row r="41" spans="1:32" x14ac:dyDescent="0.3">
      <c r="A41" s="31"/>
    </row>
    <row r="42" spans="1:32" x14ac:dyDescent="0.3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</row>
    <row r="43" spans="1:32" x14ac:dyDescent="0.3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</row>
    <row r="44" spans="1:32" x14ac:dyDescent="0.3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</row>
    <row r="45" spans="1:32" x14ac:dyDescent="0.3">
      <c r="A45" s="3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</row>
    <row r="46" spans="1:32" x14ac:dyDescent="0.3">
      <c r="A46" s="31"/>
    </row>
    <row r="47" spans="1:32" x14ac:dyDescent="0.3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</row>
    <row r="48" spans="1:32" x14ac:dyDescent="0.3">
      <c r="A48" s="29"/>
      <c r="B48" s="30"/>
      <c r="C48" s="30"/>
      <c r="D48" s="30"/>
      <c r="E48" s="30"/>
      <c r="F48" s="30"/>
      <c r="G48" s="30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</row>
    <row r="49" spans="1:38" x14ac:dyDescent="0.3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2" spans="1:38" x14ac:dyDescent="0.3">
      <c r="A52" s="4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8" x14ac:dyDescent="0.3">
      <c r="A53" s="29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</row>
    <row r="55" spans="1:38" x14ac:dyDescent="0.3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</row>
    <row r="57" spans="1:38" x14ac:dyDescent="0.3">
      <c r="A57" s="3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</row>
    <row r="58" spans="1:38" x14ac:dyDescent="0.3">
      <c r="A58" s="3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spans="1:38" x14ac:dyDescent="0.3">
      <c r="A59" s="3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</row>
    <row r="60" spans="1:38" x14ac:dyDescent="0.3">
      <c r="A60" s="3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</row>
    <row r="61" spans="1:38" x14ac:dyDescent="0.3">
      <c r="A61" s="25"/>
    </row>
    <row r="62" spans="1:38" x14ac:dyDescent="0.3">
      <c r="A62" s="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</row>
    <row r="63" spans="1:38" x14ac:dyDescent="0.3">
      <c r="A63" s="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L63" t="s">
        <v>82</v>
      </c>
    </row>
  </sheetData>
  <mergeCells count="2">
    <mergeCell ref="B4:E4"/>
    <mergeCell ref="F1:F3"/>
  </mergeCells>
  <pageMargins left="0.7" right="0.7" top="0.75" bottom="0.75" header="0.3" footer="0.3"/>
  <pageSetup scale="23" fitToHeight="2"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BE56-CC7A-49C3-B910-8D6AA7AEA3CE}">
  <dimension ref="A3:H41"/>
  <sheetViews>
    <sheetView topLeftCell="A3" zoomScaleNormal="100" workbookViewId="0">
      <selection activeCell="B23" sqref="B23"/>
    </sheetView>
  </sheetViews>
  <sheetFormatPr defaultRowHeight="14.4" x14ac:dyDescent="0.3"/>
  <cols>
    <col min="1" max="1" width="49.109375" customWidth="1"/>
    <col min="2" max="2" width="16.109375" customWidth="1"/>
    <col min="3" max="3" width="17.109375" customWidth="1"/>
    <col min="4" max="4" width="16.109375" customWidth="1"/>
    <col min="5" max="10" width="17.109375" customWidth="1"/>
    <col min="11" max="11" width="14.88671875" customWidth="1"/>
    <col min="12" max="13" width="17.109375" customWidth="1"/>
    <col min="14" max="14" width="17.6640625" customWidth="1"/>
    <col min="15" max="15" width="5.5546875" customWidth="1"/>
  </cols>
  <sheetData>
    <row r="3" spans="1:8" ht="18" x14ac:dyDescent="0.35">
      <c r="A3" s="1" t="s">
        <v>26</v>
      </c>
      <c r="B3" s="1" t="s">
        <v>27</v>
      </c>
    </row>
    <row r="4" spans="1:8" ht="31.2" x14ac:dyDescent="0.3">
      <c r="A4" s="12"/>
      <c r="B4" s="13" t="s">
        <v>0</v>
      </c>
      <c r="C4" s="13" t="s">
        <v>1</v>
      </c>
      <c r="D4" s="14" t="s">
        <v>28</v>
      </c>
      <c r="E4" s="15"/>
    </row>
    <row r="5" spans="1:8" ht="15.6" x14ac:dyDescent="0.3">
      <c r="A5" s="12" t="s">
        <v>2</v>
      </c>
      <c r="B5" s="13"/>
      <c r="C5" s="13"/>
      <c r="D5" s="13"/>
      <c r="E5" s="15"/>
    </row>
    <row r="6" spans="1:8" ht="15.6" x14ac:dyDescent="0.3">
      <c r="A6" s="16" t="s">
        <v>47</v>
      </c>
      <c r="B6" s="17">
        <v>5639</v>
      </c>
      <c r="C6" s="17">
        <v>5639</v>
      </c>
      <c r="D6" s="17">
        <v>5639</v>
      </c>
      <c r="E6" s="15"/>
      <c r="F6" s="17">
        <v>6221</v>
      </c>
      <c r="G6" t="s">
        <v>77</v>
      </c>
      <c r="H6" s="79">
        <f>700*C6</f>
        <v>3947300</v>
      </c>
    </row>
    <row r="7" spans="1:8" ht="15.6" x14ac:dyDescent="0.3">
      <c r="A7" s="16" t="s">
        <v>78</v>
      </c>
      <c r="B7" s="17">
        <v>582</v>
      </c>
      <c r="C7" s="17">
        <v>582</v>
      </c>
      <c r="D7" s="17">
        <v>582</v>
      </c>
      <c r="E7" s="15"/>
      <c r="F7" s="17"/>
      <c r="H7" s="79"/>
    </row>
    <row r="8" spans="1:8" ht="15.6" x14ac:dyDescent="0.3">
      <c r="A8" s="16" t="s">
        <v>3</v>
      </c>
      <c r="B8" s="17">
        <v>1300</v>
      </c>
      <c r="C8" s="17">
        <v>500</v>
      </c>
      <c r="D8" s="17"/>
      <c r="E8" s="15"/>
    </row>
    <row r="9" spans="1:8" ht="15.6" x14ac:dyDescent="0.3">
      <c r="A9" s="18" t="s">
        <v>4</v>
      </c>
      <c r="B9" s="19">
        <f>SUM(B6:B8)</f>
        <v>7521</v>
      </c>
      <c r="C9" s="19">
        <f t="shared" ref="C9:D9" si="0">SUM(C6:C8)</f>
        <v>6721</v>
      </c>
      <c r="D9" s="19">
        <f t="shared" si="0"/>
        <v>6221</v>
      </c>
      <c r="E9" s="15"/>
    </row>
    <row r="10" spans="1:8" ht="15.6" x14ac:dyDescent="0.3">
      <c r="A10" s="12" t="s">
        <v>5</v>
      </c>
      <c r="B10" s="13"/>
      <c r="C10" s="13"/>
      <c r="D10" s="14"/>
      <c r="E10" s="15"/>
    </row>
    <row r="11" spans="1:8" ht="15.6" x14ac:dyDescent="0.3">
      <c r="A11" s="16" t="s">
        <v>48</v>
      </c>
      <c r="B11" s="20">
        <v>14.09</v>
      </c>
      <c r="C11" s="20">
        <v>14.09</v>
      </c>
      <c r="D11" s="20">
        <v>14.09</v>
      </c>
      <c r="E11" s="15"/>
    </row>
    <row r="12" spans="1:8" ht="15.6" x14ac:dyDescent="0.3">
      <c r="A12" s="16" t="s">
        <v>6</v>
      </c>
      <c r="B12" s="20">
        <v>22</v>
      </c>
      <c r="C12" s="20">
        <v>22</v>
      </c>
      <c r="D12" s="20"/>
      <c r="E12" s="15"/>
    </row>
    <row r="13" spans="1:8" ht="15.6" x14ac:dyDescent="0.3">
      <c r="A13" s="16" t="s">
        <v>7</v>
      </c>
      <c r="B13" s="20"/>
      <c r="C13" s="20"/>
      <c r="D13" s="20">
        <v>8.85</v>
      </c>
      <c r="E13" s="15"/>
    </row>
    <row r="14" spans="1:8" ht="15.6" x14ac:dyDescent="0.3">
      <c r="A14" s="16" t="s">
        <v>8</v>
      </c>
      <c r="B14" s="20"/>
      <c r="C14" s="20"/>
      <c r="D14" s="20">
        <v>22</v>
      </c>
      <c r="E14" s="15"/>
    </row>
    <row r="15" spans="1:8" ht="15.6" x14ac:dyDescent="0.3">
      <c r="A15" s="16" t="s">
        <v>9</v>
      </c>
      <c r="B15" s="20">
        <v>13.96</v>
      </c>
      <c r="C15" s="20">
        <v>8.08</v>
      </c>
      <c r="D15" s="20"/>
      <c r="E15" s="15"/>
    </row>
    <row r="16" spans="1:8" ht="15.6" x14ac:dyDescent="0.3">
      <c r="A16" s="18" t="s">
        <v>141</v>
      </c>
      <c r="B16" s="21">
        <f>SUM(B11:B15)</f>
        <v>50.050000000000004</v>
      </c>
      <c r="C16" s="21">
        <f>SUM(C11:C15)</f>
        <v>44.17</v>
      </c>
      <c r="D16" s="21">
        <f>SUM(D11:D15)</f>
        <v>44.94</v>
      </c>
      <c r="E16" s="15"/>
    </row>
    <row r="17" spans="1:6" ht="15.6" x14ac:dyDescent="0.3">
      <c r="A17" s="15" t="s">
        <v>140</v>
      </c>
      <c r="B17" s="114">
        <f>76471/12</f>
        <v>6372.583333333333</v>
      </c>
      <c r="C17" s="114">
        <f>64783/12</f>
        <v>5398.583333333333</v>
      </c>
      <c r="D17" s="114">
        <f>AVERAGE(B17:C17)</f>
        <v>5885.583333333333</v>
      </c>
      <c r="E17" s="15"/>
    </row>
    <row r="18" spans="1:6" ht="15.6" x14ac:dyDescent="0.3">
      <c r="A18" s="16" t="s">
        <v>139</v>
      </c>
      <c r="B18" s="37">
        <f>B16/B17</f>
        <v>7.8539577094584884E-3</v>
      </c>
      <c r="C18" s="37">
        <f t="shared" ref="C18:D18" si="1">C16/C17</f>
        <v>8.1817760832317132E-3</v>
      </c>
      <c r="D18" s="37">
        <f t="shared" si="1"/>
        <v>7.635606779277047E-3</v>
      </c>
    </row>
    <row r="19" spans="1:6" x14ac:dyDescent="0.3">
      <c r="B19" s="37"/>
      <c r="C19" s="37"/>
      <c r="D19" s="37"/>
    </row>
    <row r="20" spans="1:6" ht="15.6" x14ac:dyDescent="0.3">
      <c r="A20" s="18" t="s">
        <v>50</v>
      </c>
      <c r="B20" s="37"/>
      <c r="C20" s="37"/>
      <c r="D20" s="37"/>
    </row>
    <row r="21" spans="1:6" x14ac:dyDescent="0.3">
      <c r="A21" t="s">
        <v>85</v>
      </c>
      <c r="B21" s="5">
        <f>534261.42+534261.42</f>
        <v>1068522.8400000001</v>
      </c>
      <c r="C21" s="37"/>
      <c r="D21" s="37"/>
    </row>
    <row r="22" spans="1:6" ht="15.6" x14ac:dyDescent="0.3">
      <c r="A22" s="18"/>
      <c r="B22" s="37"/>
      <c r="C22" s="37"/>
      <c r="D22" s="37"/>
    </row>
    <row r="23" spans="1:6" x14ac:dyDescent="0.3">
      <c r="A23" t="s">
        <v>84</v>
      </c>
      <c r="B23" s="5">
        <v>1018575.14</v>
      </c>
      <c r="D23">
        <v>385738</v>
      </c>
      <c r="E23">
        <v>340612</v>
      </c>
    </row>
    <row r="24" spans="1:6" x14ac:dyDescent="0.3">
      <c r="A24" t="s">
        <v>51</v>
      </c>
      <c r="B24" s="5">
        <f>'ERU Forecast'!I27</f>
        <v>487350</v>
      </c>
      <c r="D24">
        <v>729404</v>
      </c>
      <c r="E24">
        <v>738874</v>
      </c>
      <c r="F24">
        <v>16047</v>
      </c>
    </row>
    <row r="25" spans="1:6" x14ac:dyDescent="0.3">
      <c r="A25" t="s">
        <v>151</v>
      </c>
      <c r="B25" s="50">
        <v>2205800</v>
      </c>
      <c r="D25" s="85">
        <f>SUM(D23:D24)</f>
        <v>1115142</v>
      </c>
      <c r="E25" s="85">
        <f>SUM(E23:E24)</f>
        <v>1079486</v>
      </c>
      <c r="F25" s="85">
        <v>237397.7</v>
      </c>
    </row>
    <row r="26" spans="1:6" x14ac:dyDescent="0.3">
      <c r="A26" t="s">
        <v>52</v>
      </c>
      <c r="B26" s="11">
        <f>SUM(B23:B25)</f>
        <v>3711725.14</v>
      </c>
      <c r="F26" s="85">
        <v>296863.7</v>
      </c>
    </row>
    <row r="27" spans="1:6" x14ac:dyDescent="0.3">
      <c r="F27" s="85">
        <v>348761.4</v>
      </c>
    </row>
    <row r="28" spans="1:6" x14ac:dyDescent="0.3">
      <c r="A28" t="s">
        <v>85</v>
      </c>
      <c r="B28" s="85">
        <v>1068522.8400000001</v>
      </c>
      <c r="F28" s="85">
        <v>185500.2</v>
      </c>
    </row>
    <row r="29" spans="1:6" x14ac:dyDescent="0.3">
      <c r="F29" s="85">
        <f>SUM(F24:F28)</f>
        <v>1084570</v>
      </c>
    </row>
    <row r="31" spans="1:6" x14ac:dyDescent="0.3">
      <c r="A31" t="s">
        <v>75</v>
      </c>
      <c r="B31" s="74">
        <v>0.04</v>
      </c>
    </row>
    <row r="32" spans="1:6" x14ac:dyDescent="0.3">
      <c r="A32" t="s">
        <v>76</v>
      </c>
      <c r="B32" s="74">
        <v>0.05</v>
      </c>
    </row>
    <row r="34" spans="1:4" x14ac:dyDescent="0.3">
      <c r="B34" s="86">
        <v>2021</v>
      </c>
      <c r="C34" s="86">
        <v>2022</v>
      </c>
      <c r="D34" s="86">
        <v>2023</v>
      </c>
    </row>
    <row r="35" spans="1:4" x14ac:dyDescent="0.3">
      <c r="A35" t="s">
        <v>83</v>
      </c>
      <c r="B35" s="85">
        <f>323543.9+210717.4</f>
        <v>534261.30000000005</v>
      </c>
      <c r="C35" s="85">
        <f>210672.6+134547.6+73677.72+115363.4+330831.7+203429.7</f>
        <v>1068522.72</v>
      </c>
      <c r="D35" s="85">
        <f>237397.7+296863.7+348761.1+185500.2</f>
        <v>1068522.7</v>
      </c>
    </row>
    <row r="38" spans="1:4" x14ac:dyDescent="0.3">
      <c r="A38" s="116" t="s">
        <v>146</v>
      </c>
      <c r="B38" s="165" t="s">
        <v>147</v>
      </c>
      <c r="C38" s="37">
        <v>0.14000000000000001</v>
      </c>
      <c r="D38" s="37"/>
    </row>
    <row r="39" spans="1:4" x14ac:dyDescent="0.3">
      <c r="A39" t="s">
        <v>148</v>
      </c>
      <c r="B39" s="85">
        <f>$F$6*(1+$C$38)</f>
        <v>7091.9400000000005</v>
      </c>
      <c r="C39" s="85">
        <f>$F$6*(1+$C$38)</f>
        <v>7091.9400000000005</v>
      </c>
      <c r="D39" s="85">
        <f>$F$6*(1+$C$38)</f>
        <v>7091.9400000000005</v>
      </c>
    </row>
    <row r="40" spans="1:4" x14ac:dyDescent="0.3">
      <c r="A40" t="s">
        <v>149</v>
      </c>
      <c r="B40" s="85">
        <f>B39*(1+$C$38)</f>
        <v>8084.8116000000018</v>
      </c>
      <c r="C40" s="85">
        <f>C39*(1+$C$38)</f>
        <v>8084.8116000000018</v>
      </c>
      <c r="D40" s="85">
        <f>D39*(1+$C$38)</f>
        <v>8084.8116000000018</v>
      </c>
    </row>
    <row r="41" spans="1:4" ht="13.95" customHeight="1" x14ac:dyDescent="0.3"/>
  </sheetData>
  <phoneticPr fontId="5" type="noConversion"/>
  <pageMargins left="0.7" right="0.7" top="0.75" bottom="0.75" header="0.3" footer="0.3"/>
  <pageSetup scale="70" fitToHeight="2" orientation="landscape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D36F-14A6-4CE1-98BA-0AA1CEC81104}">
  <dimension ref="A3:AE8"/>
  <sheetViews>
    <sheetView workbookViewId="0">
      <selection activeCell="K14" sqref="K14"/>
    </sheetView>
  </sheetViews>
  <sheetFormatPr defaultRowHeight="14.4" x14ac:dyDescent="0.3"/>
  <cols>
    <col min="1" max="1" width="25.6640625" customWidth="1"/>
    <col min="2" max="2" width="12.5546875" bestFit="1" customWidth="1"/>
    <col min="3" max="3" width="10.6640625" customWidth="1"/>
    <col min="4" max="31" width="10.109375" customWidth="1"/>
  </cols>
  <sheetData>
    <row r="3" spans="1:31" x14ac:dyDescent="0.3">
      <c r="B3" s="35">
        <v>45930</v>
      </c>
      <c r="C3" s="35">
        <v>46295</v>
      </c>
      <c r="D3" s="35">
        <v>46660</v>
      </c>
      <c r="E3" s="35">
        <v>47026</v>
      </c>
      <c r="F3" s="35">
        <v>47391</v>
      </c>
      <c r="G3" s="35">
        <v>47756</v>
      </c>
      <c r="H3" s="35">
        <v>48121</v>
      </c>
      <c r="I3" s="35">
        <v>48487</v>
      </c>
      <c r="J3" s="35">
        <v>48852</v>
      </c>
      <c r="K3" s="35">
        <v>49217</v>
      </c>
      <c r="L3" s="35">
        <v>49582</v>
      </c>
      <c r="M3" s="35">
        <v>49948</v>
      </c>
      <c r="N3" s="35">
        <v>50313</v>
      </c>
      <c r="O3" s="35">
        <v>50678</v>
      </c>
      <c r="P3" s="35">
        <v>51043</v>
      </c>
      <c r="Q3" s="35">
        <v>51409</v>
      </c>
      <c r="R3" s="35">
        <v>51774</v>
      </c>
      <c r="S3" s="35">
        <v>52139</v>
      </c>
      <c r="T3" s="35">
        <v>52504</v>
      </c>
      <c r="U3" s="35">
        <v>52870</v>
      </c>
      <c r="V3" s="35">
        <v>53235</v>
      </c>
      <c r="W3" s="35">
        <v>53600</v>
      </c>
      <c r="X3" s="35">
        <v>53965</v>
      </c>
      <c r="Y3" s="35">
        <v>54331</v>
      </c>
      <c r="Z3" s="35">
        <v>54696</v>
      </c>
      <c r="AA3" s="35">
        <v>55061</v>
      </c>
      <c r="AB3" s="35">
        <v>55426</v>
      </c>
      <c r="AC3" s="35">
        <v>55792</v>
      </c>
      <c r="AD3" s="35">
        <v>56157</v>
      </c>
      <c r="AE3" s="35">
        <v>56522</v>
      </c>
    </row>
    <row r="4" spans="1:31" ht="13.8" customHeight="1" x14ac:dyDescent="0.3">
      <c r="A4" t="s">
        <v>265</v>
      </c>
      <c r="B4" s="54">
        <f>Inputs!$B$25</f>
        <v>2205800</v>
      </c>
      <c r="C4" s="54">
        <f>Inputs!$B$25</f>
        <v>2205800</v>
      </c>
      <c r="D4" s="54">
        <f>Inputs!$B$25</f>
        <v>2205800</v>
      </c>
      <c r="E4" s="54">
        <f>Inputs!$B$25</f>
        <v>2205800</v>
      </c>
      <c r="F4" s="54">
        <f>Inputs!$B$25</f>
        <v>2205800</v>
      </c>
      <c r="G4" s="54">
        <f>Inputs!$B$25</f>
        <v>2205800</v>
      </c>
      <c r="H4" s="54">
        <f>Inputs!$B$25</f>
        <v>2205800</v>
      </c>
      <c r="I4" s="54">
        <f>Inputs!$B$25</f>
        <v>2205800</v>
      </c>
      <c r="J4" s="54">
        <f>Inputs!$B$25</f>
        <v>2205800</v>
      </c>
      <c r="K4" s="54">
        <f>Inputs!$B$25</f>
        <v>2205800</v>
      </c>
      <c r="L4" s="54">
        <f>Inputs!$B$25</f>
        <v>2205800</v>
      </c>
      <c r="M4" s="54">
        <f>Inputs!$B$25</f>
        <v>2205800</v>
      </c>
      <c r="N4" s="54">
        <f>Inputs!$B$25</f>
        <v>2205800</v>
      </c>
      <c r="O4" s="54">
        <f>Inputs!$B$25</f>
        <v>2205800</v>
      </c>
      <c r="P4" s="54">
        <f>Inputs!$B$25</f>
        <v>2205800</v>
      </c>
      <c r="Q4" s="54">
        <f>Inputs!$B$25</f>
        <v>2205800</v>
      </c>
      <c r="R4" s="54">
        <f>Inputs!$B$25</f>
        <v>2205800</v>
      </c>
      <c r="S4" s="54">
        <f>Inputs!$B$25</f>
        <v>2205800</v>
      </c>
      <c r="T4" s="54">
        <f>Inputs!$B$25</f>
        <v>2205800</v>
      </c>
      <c r="U4" s="54">
        <f>Inputs!$B$25</f>
        <v>2205800</v>
      </c>
      <c r="V4" s="54">
        <f>Inputs!$B$25</f>
        <v>2205800</v>
      </c>
      <c r="W4" s="54">
        <f>Inputs!$B$25</f>
        <v>2205800</v>
      </c>
      <c r="X4" s="54">
        <f>Inputs!$B$25</f>
        <v>2205800</v>
      </c>
      <c r="Y4" s="54">
        <f>Inputs!$B$25</f>
        <v>2205800</v>
      </c>
      <c r="Z4" s="54">
        <f>Inputs!$B$25</f>
        <v>2205800</v>
      </c>
      <c r="AA4" s="54">
        <f>Inputs!$B$25</f>
        <v>2205800</v>
      </c>
      <c r="AB4" s="54">
        <f>Inputs!$B$25</f>
        <v>2205800</v>
      </c>
      <c r="AC4" s="54">
        <f>Inputs!$B$25</f>
        <v>2205800</v>
      </c>
      <c r="AD4" s="54">
        <f>Inputs!$B$25</f>
        <v>2205800</v>
      </c>
      <c r="AE4" s="54">
        <f>Inputs!$B$25</f>
        <v>2205800</v>
      </c>
    </row>
    <row r="5" spans="1:31" x14ac:dyDescent="0.3">
      <c r="A5" t="s">
        <v>263</v>
      </c>
      <c r="B5" s="5">
        <f>Inputs!$B$23</f>
        <v>1018575.14</v>
      </c>
      <c r="C5" s="5">
        <f>Inputs!$B$23</f>
        <v>1018575.14</v>
      </c>
      <c r="D5" s="5">
        <f>Inputs!$B$23</f>
        <v>1018575.14</v>
      </c>
      <c r="E5" s="5">
        <f>Inputs!$B$23</f>
        <v>1018575.14</v>
      </c>
      <c r="F5" s="5">
        <f>Inputs!$B$23</f>
        <v>1018575.14</v>
      </c>
      <c r="G5" s="5">
        <f>Inputs!$B$23</f>
        <v>1018575.14</v>
      </c>
      <c r="H5" s="5">
        <f>Inputs!$B$23</f>
        <v>1018575.14</v>
      </c>
      <c r="I5" s="5">
        <f>Inputs!$B$23</f>
        <v>1018575.14</v>
      </c>
      <c r="J5" s="5">
        <f>Inputs!$B$23</f>
        <v>1018575.14</v>
      </c>
      <c r="K5" s="5">
        <f>Inputs!$B$23</f>
        <v>1018575.14</v>
      </c>
      <c r="L5" s="5">
        <f>Inputs!$B$23</f>
        <v>1018575.14</v>
      </c>
      <c r="M5" s="5">
        <f>Inputs!$B$23</f>
        <v>1018575.14</v>
      </c>
      <c r="N5" s="5">
        <f>Inputs!$B$23</f>
        <v>1018575.14</v>
      </c>
      <c r="O5" s="5">
        <f>Inputs!$B$23</f>
        <v>1018575.14</v>
      </c>
      <c r="P5" s="5">
        <f>Inputs!$B$23</f>
        <v>1018575.14</v>
      </c>
      <c r="Q5" s="5">
        <f>Inputs!$B$23</f>
        <v>1018575.14</v>
      </c>
      <c r="R5" s="5">
        <f>Inputs!$B$23</f>
        <v>1018575.14</v>
      </c>
      <c r="S5" s="5">
        <f>Inputs!$B$23</f>
        <v>1018575.14</v>
      </c>
      <c r="T5" s="5">
        <f>Inputs!$B$23</f>
        <v>1018575.14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</row>
    <row r="6" spans="1:31" x14ac:dyDescent="0.3">
      <c r="A6" t="s">
        <v>264</v>
      </c>
      <c r="B6" s="50">
        <f>Inputs!$B$24</f>
        <v>487350</v>
      </c>
      <c r="C6" s="50">
        <f>Inputs!$B$24</f>
        <v>487350</v>
      </c>
      <c r="D6" s="50">
        <f>Inputs!$B$24</f>
        <v>487350</v>
      </c>
      <c r="E6" s="50">
        <f>Inputs!$B$24</f>
        <v>487350</v>
      </c>
      <c r="F6" s="50">
        <f>Inputs!$B$24</f>
        <v>487350</v>
      </c>
      <c r="G6" s="50">
        <f>Inputs!$B$24</f>
        <v>487350</v>
      </c>
      <c r="H6" s="50">
        <f>Inputs!$B$24</f>
        <v>487350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</row>
    <row r="7" spans="1:31" x14ac:dyDescent="0.3">
      <c r="A7" t="s">
        <v>52</v>
      </c>
      <c r="B7" s="5">
        <f>SUM(B4:B6)</f>
        <v>3711725.14</v>
      </c>
      <c r="C7" s="5">
        <f t="shared" ref="C7:AE7" si="0">SUM(C4:C6)</f>
        <v>3711725.14</v>
      </c>
      <c r="D7" s="5">
        <f t="shared" si="0"/>
        <v>3711725.14</v>
      </c>
      <c r="E7" s="5">
        <f t="shared" si="0"/>
        <v>3711725.14</v>
      </c>
      <c r="F7" s="5">
        <f t="shared" si="0"/>
        <v>3711725.14</v>
      </c>
      <c r="G7" s="5">
        <f t="shared" si="0"/>
        <v>3711725.14</v>
      </c>
      <c r="H7" s="5">
        <f t="shared" si="0"/>
        <v>3711725.14</v>
      </c>
      <c r="I7" s="5">
        <f t="shared" si="0"/>
        <v>3224375.14</v>
      </c>
      <c r="J7" s="5">
        <f t="shared" si="0"/>
        <v>3224375.14</v>
      </c>
      <c r="K7" s="5">
        <f t="shared" si="0"/>
        <v>3224375.14</v>
      </c>
      <c r="L7" s="5">
        <f t="shared" si="0"/>
        <v>3224375.14</v>
      </c>
      <c r="M7" s="5">
        <f t="shared" si="0"/>
        <v>3224375.14</v>
      </c>
      <c r="N7" s="5">
        <f t="shared" si="0"/>
        <v>3224375.14</v>
      </c>
      <c r="O7" s="5">
        <f t="shared" si="0"/>
        <v>3224375.14</v>
      </c>
      <c r="P7" s="5">
        <f t="shared" si="0"/>
        <v>3224375.14</v>
      </c>
      <c r="Q7" s="5">
        <f t="shared" si="0"/>
        <v>3224375.14</v>
      </c>
      <c r="R7" s="5">
        <f t="shared" si="0"/>
        <v>3224375.14</v>
      </c>
      <c r="S7" s="5">
        <f t="shared" si="0"/>
        <v>3224375.14</v>
      </c>
      <c r="T7" s="5">
        <f t="shared" si="0"/>
        <v>3224375.14</v>
      </c>
      <c r="U7" s="5">
        <f t="shared" si="0"/>
        <v>2205800</v>
      </c>
      <c r="V7" s="5">
        <f t="shared" si="0"/>
        <v>2205800</v>
      </c>
      <c r="W7" s="5">
        <f t="shared" si="0"/>
        <v>2205800</v>
      </c>
      <c r="X7" s="5">
        <f t="shared" si="0"/>
        <v>2205800</v>
      </c>
      <c r="Y7" s="5">
        <f t="shared" si="0"/>
        <v>2205800</v>
      </c>
      <c r="Z7" s="5">
        <f t="shared" si="0"/>
        <v>2205800</v>
      </c>
      <c r="AA7" s="5">
        <f t="shared" si="0"/>
        <v>2205800</v>
      </c>
      <c r="AB7" s="5">
        <f t="shared" si="0"/>
        <v>2205800</v>
      </c>
      <c r="AC7" s="5">
        <f t="shared" si="0"/>
        <v>2205800</v>
      </c>
      <c r="AD7" s="5">
        <f t="shared" si="0"/>
        <v>2205800</v>
      </c>
      <c r="AE7" s="5">
        <f t="shared" si="0"/>
        <v>2205800</v>
      </c>
    </row>
    <row r="8" spans="1:31" x14ac:dyDescent="0.3"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06A6-ED0D-468A-A220-75D6561A0908}">
  <sheetPr>
    <pageSetUpPr fitToPage="1"/>
  </sheetPr>
  <dimension ref="A3:AM59"/>
  <sheetViews>
    <sheetView topLeftCell="A26" zoomScaleNormal="100" workbookViewId="0">
      <selection activeCell="G55" sqref="G55"/>
    </sheetView>
  </sheetViews>
  <sheetFormatPr defaultRowHeight="14.4" x14ac:dyDescent="0.3"/>
  <cols>
    <col min="1" max="1" width="46.44140625" customWidth="1"/>
    <col min="2" max="2" width="16.6640625" customWidth="1"/>
    <col min="3" max="4" width="17.88671875" customWidth="1"/>
    <col min="5" max="6" width="14.5546875" customWidth="1"/>
    <col min="7" max="8" width="15.44140625" customWidth="1"/>
    <col min="9" max="9" width="13.109375" customWidth="1"/>
    <col min="10" max="39" width="11.6640625" customWidth="1"/>
  </cols>
  <sheetData>
    <row r="3" spans="1:11" x14ac:dyDescent="0.3">
      <c r="A3" s="26" t="s">
        <v>18</v>
      </c>
      <c r="B3" s="26"/>
      <c r="C3" s="26"/>
      <c r="D3" s="26"/>
      <c r="E3" s="26"/>
      <c r="F3" s="26"/>
      <c r="G3" s="26"/>
      <c r="H3" s="26"/>
      <c r="I3" s="6"/>
    </row>
    <row r="4" spans="1:11" x14ac:dyDescent="0.3">
      <c r="I4" s="6"/>
    </row>
    <row r="5" spans="1:11" x14ac:dyDescent="0.3">
      <c r="A5" t="s">
        <v>30</v>
      </c>
      <c r="I5" s="6"/>
    </row>
    <row r="6" spans="1:11" x14ac:dyDescent="0.3">
      <c r="A6" s="22" t="s">
        <v>11</v>
      </c>
      <c r="B6" s="22"/>
      <c r="C6" s="22"/>
      <c r="D6" s="22"/>
      <c r="E6" s="22"/>
      <c r="F6" s="22"/>
      <c r="G6" s="22"/>
      <c r="H6" s="22"/>
      <c r="I6" s="38">
        <v>52345</v>
      </c>
    </row>
    <row r="7" spans="1:11" x14ac:dyDescent="0.3">
      <c r="A7" s="22" t="s">
        <v>12</v>
      </c>
      <c r="B7" s="22"/>
      <c r="C7" s="22"/>
      <c r="D7" s="22"/>
      <c r="E7" s="22"/>
      <c r="F7" s="22"/>
      <c r="G7" s="22"/>
      <c r="H7" s="22"/>
      <c r="I7" s="35">
        <v>44824</v>
      </c>
    </row>
    <row r="8" spans="1:11" x14ac:dyDescent="0.3">
      <c r="A8" s="22" t="s">
        <v>13</v>
      </c>
      <c r="B8" s="22"/>
      <c r="C8" s="22"/>
      <c r="D8" s="22"/>
      <c r="E8" s="22"/>
      <c r="F8" s="22"/>
      <c r="G8" s="22"/>
      <c r="H8" s="22"/>
      <c r="I8" s="4">
        <f>+(I6-I7)/365</f>
        <v>20.605479452054794</v>
      </c>
    </row>
    <row r="9" spans="1:11" x14ac:dyDescent="0.3">
      <c r="A9" t="s">
        <v>14</v>
      </c>
      <c r="I9" s="30">
        <v>23213934</v>
      </c>
    </row>
    <row r="10" spans="1:11" x14ac:dyDescent="0.3">
      <c r="A10" t="s">
        <v>15</v>
      </c>
      <c r="I10" s="39">
        <v>16731104.630000001</v>
      </c>
      <c r="J10" t="s">
        <v>49</v>
      </c>
      <c r="K10" s="40"/>
    </row>
    <row r="11" spans="1:11" x14ac:dyDescent="0.3">
      <c r="A11" t="s">
        <v>16</v>
      </c>
      <c r="I11" s="30">
        <f>+I9-I10</f>
        <v>6482829.3699999992</v>
      </c>
    </row>
    <row r="12" spans="1:11" x14ac:dyDescent="0.3">
      <c r="A12" t="s">
        <v>17</v>
      </c>
      <c r="I12" s="41">
        <v>2.2499999999999999E-2</v>
      </c>
    </row>
    <row r="13" spans="1:11" x14ac:dyDescent="0.3">
      <c r="A13" t="s">
        <v>41</v>
      </c>
      <c r="I13">
        <v>30</v>
      </c>
      <c r="J13" t="s">
        <v>42</v>
      </c>
    </row>
    <row r="14" spans="1:11" x14ac:dyDescent="0.3">
      <c r="A14" t="s">
        <v>40</v>
      </c>
      <c r="I14" s="10">
        <f>-PMT(I12,I13,I9)</f>
        <v>1072468.4799567387</v>
      </c>
    </row>
    <row r="15" spans="1:11" x14ac:dyDescent="0.3">
      <c r="I15" s="7"/>
    </row>
    <row r="16" spans="1:11" x14ac:dyDescent="0.3">
      <c r="A16" s="26" t="s">
        <v>10</v>
      </c>
      <c r="B16" s="26"/>
      <c r="C16" s="26"/>
      <c r="D16" s="26"/>
      <c r="E16" s="26"/>
      <c r="F16" s="26"/>
      <c r="G16" s="26"/>
      <c r="H16" s="26"/>
    </row>
    <row r="18" spans="1:11" x14ac:dyDescent="0.3">
      <c r="A18" t="s">
        <v>25</v>
      </c>
    </row>
    <row r="19" spans="1:11" x14ac:dyDescent="0.3">
      <c r="A19" s="22" t="s">
        <v>11</v>
      </c>
      <c r="B19" s="22"/>
      <c r="C19" s="22"/>
      <c r="D19" s="22"/>
      <c r="E19" s="22"/>
      <c r="F19" s="22"/>
      <c r="G19" s="22"/>
      <c r="H19" s="22"/>
      <c r="I19" s="35">
        <v>48106</v>
      </c>
    </row>
    <row r="20" spans="1:11" x14ac:dyDescent="0.3">
      <c r="A20" s="22" t="s">
        <v>12</v>
      </c>
      <c r="B20" s="22"/>
      <c r="C20" s="22"/>
      <c r="D20" s="22"/>
      <c r="E20" s="22"/>
      <c r="F20" s="22"/>
      <c r="G20" s="22"/>
      <c r="H20" s="22"/>
      <c r="I20" s="35">
        <v>44824</v>
      </c>
      <c r="J20" s="22"/>
    </row>
    <row r="21" spans="1:11" x14ac:dyDescent="0.3">
      <c r="A21" s="22" t="s">
        <v>13</v>
      </c>
      <c r="B21" s="22"/>
      <c r="C21" s="22"/>
      <c r="D21" s="22"/>
      <c r="E21" s="22"/>
      <c r="F21" s="22"/>
      <c r="G21" s="22"/>
      <c r="H21" s="22"/>
      <c r="I21" s="4">
        <f>+(I19-I20)/365</f>
        <v>8.9917808219178088</v>
      </c>
      <c r="J21" s="22"/>
      <c r="K21" s="35"/>
    </row>
    <row r="22" spans="1:11" x14ac:dyDescent="0.3">
      <c r="A22" t="s">
        <v>14</v>
      </c>
      <c r="I22" s="30">
        <v>8000000</v>
      </c>
    </row>
    <row r="23" spans="1:11" x14ac:dyDescent="0.3">
      <c r="A23" t="s">
        <v>15</v>
      </c>
      <c r="I23" s="36">
        <v>3995622</v>
      </c>
      <c r="J23" t="s">
        <v>49</v>
      </c>
    </row>
    <row r="24" spans="1:11" x14ac:dyDescent="0.3">
      <c r="A24" t="s">
        <v>16</v>
      </c>
      <c r="I24" s="30">
        <f>+I22-I23</f>
        <v>4004378</v>
      </c>
    </row>
    <row r="25" spans="1:11" x14ac:dyDescent="0.3">
      <c r="A25" t="s">
        <v>17</v>
      </c>
      <c r="I25" s="37">
        <v>0.02</v>
      </c>
    </row>
    <row r="26" spans="1:11" x14ac:dyDescent="0.3">
      <c r="A26" t="s">
        <v>41</v>
      </c>
      <c r="I26">
        <v>20</v>
      </c>
      <c r="J26" t="s">
        <v>42</v>
      </c>
    </row>
    <row r="27" spans="1:11" x14ac:dyDescent="0.3">
      <c r="A27" t="s">
        <v>40</v>
      </c>
      <c r="I27" s="10">
        <v>487350</v>
      </c>
      <c r="J27" s="10">
        <f>-PMT(I25,I26,I22)</f>
        <v>489253.74500232318</v>
      </c>
    </row>
    <row r="28" spans="1:11" x14ac:dyDescent="0.3">
      <c r="I28" s="6"/>
    </row>
    <row r="29" spans="1:11" x14ac:dyDescent="0.3">
      <c r="A29" s="26" t="s">
        <v>19</v>
      </c>
      <c r="B29" s="26"/>
      <c r="C29" s="26"/>
      <c r="D29" s="26"/>
      <c r="E29" s="26"/>
      <c r="F29" s="26"/>
      <c r="G29" s="26"/>
      <c r="H29" s="26"/>
      <c r="I29" s="6"/>
    </row>
    <row r="30" spans="1:11" x14ac:dyDescent="0.3">
      <c r="A30" s="3" t="s">
        <v>20</v>
      </c>
      <c r="B30" s="3"/>
      <c r="C30" s="3"/>
      <c r="D30" s="3"/>
      <c r="E30" s="3"/>
      <c r="F30" s="3"/>
      <c r="G30" s="3"/>
      <c r="H30" s="3"/>
      <c r="I30" s="8">
        <v>0</v>
      </c>
      <c r="J30" t="s">
        <v>44</v>
      </c>
    </row>
    <row r="31" spans="1:11" x14ac:dyDescent="0.3">
      <c r="A31" s="3" t="s">
        <v>31</v>
      </c>
      <c r="B31" s="3"/>
      <c r="C31" s="3"/>
      <c r="D31" s="3"/>
      <c r="E31" s="3"/>
      <c r="F31" s="3"/>
      <c r="G31" s="3"/>
      <c r="H31" s="3"/>
      <c r="I31" s="8">
        <v>51000000</v>
      </c>
    </row>
    <row r="32" spans="1:11" x14ac:dyDescent="0.3">
      <c r="A32" s="3" t="s">
        <v>32</v>
      </c>
      <c r="B32" s="3"/>
      <c r="C32" s="3"/>
      <c r="D32" s="3"/>
      <c r="E32" s="3"/>
      <c r="F32" s="3"/>
      <c r="G32" s="3"/>
      <c r="H32" s="3"/>
      <c r="I32" s="8">
        <v>-17000000</v>
      </c>
    </row>
    <row r="33" spans="1:39" x14ac:dyDescent="0.3">
      <c r="A33" s="3" t="s">
        <v>43</v>
      </c>
      <c r="B33" s="3"/>
      <c r="C33" s="3"/>
      <c r="D33" s="3"/>
      <c r="E33" s="3"/>
      <c r="F33" s="3"/>
      <c r="G33" s="3"/>
      <c r="H33" s="3"/>
      <c r="I33" s="8">
        <f>SUM(I31:I32)</f>
        <v>34000000</v>
      </c>
    </row>
    <row r="34" spans="1:39" x14ac:dyDescent="0.3">
      <c r="A34" s="27" t="s">
        <v>33</v>
      </c>
      <c r="B34" s="27"/>
      <c r="C34" s="27"/>
      <c r="D34" s="27"/>
      <c r="E34" s="27"/>
      <c r="F34" s="27"/>
      <c r="G34" s="27"/>
      <c r="H34" s="27"/>
      <c r="I34" s="8">
        <v>11000000</v>
      </c>
    </row>
    <row r="35" spans="1:39" x14ac:dyDescent="0.3">
      <c r="A35" s="27" t="s">
        <v>34</v>
      </c>
      <c r="B35" s="27"/>
      <c r="C35" s="27"/>
      <c r="D35" s="27"/>
      <c r="E35" s="27"/>
      <c r="F35" s="27"/>
      <c r="G35" s="27"/>
      <c r="H35" s="27"/>
      <c r="I35" s="8">
        <f>+I33-I34</f>
        <v>23000000</v>
      </c>
    </row>
    <row r="36" spans="1:39" x14ac:dyDescent="0.3">
      <c r="A36" t="s">
        <v>21</v>
      </c>
      <c r="I36" s="45">
        <f>I30+I33</f>
        <v>34000000</v>
      </c>
    </row>
    <row r="37" spans="1:39" x14ac:dyDescent="0.3">
      <c r="I37" s="8"/>
    </row>
    <row r="38" spans="1:39" x14ac:dyDescent="0.3">
      <c r="A38" t="s">
        <v>22</v>
      </c>
      <c r="I38" s="46">
        <v>30</v>
      </c>
    </row>
    <row r="39" spans="1:39" x14ac:dyDescent="0.3">
      <c r="A39" t="s">
        <v>17</v>
      </c>
      <c r="I39" s="47">
        <v>0.05</v>
      </c>
    </row>
    <row r="40" spans="1:39" x14ac:dyDescent="0.3">
      <c r="I40" s="9"/>
    </row>
    <row r="41" spans="1:39" x14ac:dyDescent="0.3">
      <c r="A41" s="3" t="s">
        <v>23</v>
      </c>
      <c r="B41" s="3"/>
      <c r="C41" s="3"/>
      <c r="D41" s="3"/>
      <c r="E41" s="3"/>
      <c r="F41" s="3"/>
      <c r="G41" s="3"/>
      <c r="H41" s="3"/>
      <c r="I41" s="10">
        <f>-PMT(I39,I38,I30)</f>
        <v>0</v>
      </c>
      <c r="J41" t="s">
        <v>44</v>
      </c>
    </row>
    <row r="42" spans="1:39" x14ac:dyDescent="0.3">
      <c r="A42" s="3" t="s">
        <v>45</v>
      </c>
      <c r="B42" s="3"/>
      <c r="C42" s="3"/>
      <c r="D42" s="3"/>
      <c r="E42" s="3"/>
      <c r="F42" s="3"/>
      <c r="G42" s="3"/>
      <c r="H42" s="3"/>
      <c r="I42" s="10">
        <f>-PMT(I39,I38,I34)</f>
        <v>715565.7858830425</v>
      </c>
    </row>
    <row r="43" spans="1:39" x14ac:dyDescent="0.3">
      <c r="A43" s="3" t="s">
        <v>46</v>
      </c>
      <c r="B43" s="3"/>
      <c r="C43" s="3"/>
      <c r="D43" s="3"/>
      <c r="E43" s="3"/>
      <c r="F43" s="3"/>
      <c r="G43" s="3"/>
      <c r="H43" s="3"/>
      <c r="I43" s="10">
        <f>-PMT(I39,I38,I35)</f>
        <v>1496183.0068463613</v>
      </c>
      <c r="K43">
        <f>9000*G48*12</f>
        <v>1597806</v>
      </c>
    </row>
    <row r="44" spans="1:39" x14ac:dyDescent="0.3">
      <c r="A44" t="s">
        <v>24</v>
      </c>
      <c r="I44" s="10">
        <f>-PMT(I39,I38,I36)</f>
        <v>2211748.7927294038</v>
      </c>
    </row>
    <row r="45" spans="1:39" x14ac:dyDescent="0.3">
      <c r="I45" s="10"/>
      <c r="K45" s="10"/>
    </row>
    <row r="46" spans="1:39" s="2" customFormat="1" x14ac:dyDescent="0.3">
      <c r="A46" s="48" t="s">
        <v>35</v>
      </c>
      <c r="B46" s="48"/>
      <c r="C46" s="48"/>
      <c r="D46" s="48"/>
      <c r="E46" s="48"/>
      <c r="F46" s="48"/>
      <c r="G46" s="48"/>
      <c r="H46" s="48"/>
      <c r="I46" s="2">
        <v>0</v>
      </c>
      <c r="J46" s="2">
        <v>1</v>
      </c>
      <c r="K46" s="2">
        <v>2</v>
      </c>
      <c r="L46" s="2">
        <v>3</v>
      </c>
      <c r="M46" s="2">
        <v>4</v>
      </c>
      <c r="N46" s="2">
        <v>5</v>
      </c>
      <c r="O46" s="2">
        <v>6</v>
      </c>
      <c r="P46" s="2">
        <v>7</v>
      </c>
      <c r="Q46" s="2">
        <v>8</v>
      </c>
      <c r="R46" s="2">
        <v>9</v>
      </c>
      <c r="S46" s="2">
        <v>10</v>
      </c>
      <c r="T46" s="2">
        <v>11</v>
      </c>
      <c r="U46" s="2">
        <v>12</v>
      </c>
      <c r="V46" s="2">
        <v>13</v>
      </c>
      <c r="W46" s="2">
        <v>14</v>
      </c>
      <c r="X46" s="2">
        <v>15</v>
      </c>
      <c r="Y46" s="2">
        <v>16</v>
      </c>
      <c r="Z46" s="2">
        <v>17</v>
      </c>
      <c r="AA46" s="2">
        <v>18</v>
      </c>
      <c r="AB46" s="2">
        <v>19</v>
      </c>
      <c r="AC46" s="2">
        <v>20</v>
      </c>
      <c r="AD46" s="2">
        <v>21</v>
      </c>
      <c r="AE46" s="2">
        <v>22</v>
      </c>
      <c r="AF46" s="2">
        <v>23</v>
      </c>
      <c r="AG46" s="2">
        <v>24</v>
      </c>
      <c r="AH46" s="2">
        <v>25</v>
      </c>
      <c r="AI46" s="2">
        <v>26</v>
      </c>
      <c r="AJ46" s="2">
        <v>27</v>
      </c>
      <c r="AK46" s="2">
        <v>28</v>
      </c>
      <c r="AL46" s="2">
        <v>29</v>
      </c>
      <c r="AM46" s="2">
        <v>30</v>
      </c>
    </row>
    <row r="47" spans="1:39" x14ac:dyDescent="0.3">
      <c r="B47" s="51" t="s">
        <v>284</v>
      </c>
      <c r="C47" s="51" t="s">
        <v>283</v>
      </c>
      <c r="D47" s="51" t="s">
        <v>282</v>
      </c>
      <c r="E47" s="2" t="s">
        <v>281</v>
      </c>
      <c r="F47" s="2" t="s">
        <v>279</v>
      </c>
      <c r="G47" s="2">
        <v>2024</v>
      </c>
      <c r="H47" s="2" t="s">
        <v>274</v>
      </c>
      <c r="I47" s="2" t="s">
        <v>276</v>
      </c>
      <c r="J47" s="2" t="s">
        <v>275</v>
      </c>
      <c r="K47" s="2" t="s">
        <v>278</v>
      </c>
      <c r="L47" s="2" t="s">
        <v>277</v>
      </c>
      <c r="M47" s="2">
        <v>2030</v>
      </c>
      <c r="N47" s="2">
        <v>2031</v>
      </c>
      <c r="O47" s="2">
        <v>2032</v>
      </c>
      <c r="P47" s="2">
        <v>2033</v>
      </c>
      <c r="Q47" s="2">
        <v>2034</v>
      </c>
      <c r="R47" s="2">
        <v>2035</v>
      </c>
      <c r="S47" s="2">
        <v>2036</v>
      </c>
      <c r="T47" s="2">
        <v>2037</v>
      </c>
      <c r="U47" s="2">
        <v>2038</v>
      </c>
      <c r="V47" s="2">
        <v>2039</v>
      </c>
      <c r="W47" s="2">
        <v>2040</v>
      </c>
      <c r="X47" s="2">
        <v>2041</v>
      </c>
      <c r="Y47" s="2">
        <v>2042</v>
      </c>
      <c r="Z47" s="2">
        <v>2043</v>
      </c>
      <c r="AA47" s="2">
        <v>2044</v>
      </c>
      <c r="AB47" s="2">
        <v>2045</v>
      </c>
      <c r="AC47" s="2">
        <v>2046</v>
      </c>
      <c r="AD47" s="2">
        <v>2047</v>
      </c>
      <c r="AE47" s="2">
        <v>2048</v>
      </c>
      <c r="AF47" s="2">
        <v>2049</v>
      </c>
      <c r="AG47" s="2">
        <v>2050</v>
      </c>
      <c r="AH47" s="2">
        <v>2051</v>
      </c>
      <c r="AI47" s="2">
        <v>2052</v>
      </c>
      <c r="AJ47" s="2">
        <v>2053</v>
      </c>
      <c r="AK47" s="2">
        <v>2054</v>
      </c>
      <c r="AL47" s="2">
        <v>2055</v>
      </c>
      <c r="AM47" s="2">
        <v>2056</v>
      </c>
    </row>
    <row r="48" spans="1:39" x14ac:dyDescent="0.3">
      <c r="A48" t="s">
        <v>74</v>
      </c>
      <c r="G48" s="78">
        <f>Inputs!B11*(1+Inputs!B32)</f>
        <v>14.794500000000001</v>
      </c>
      <c r="H48" s="77">
        <f>G48*(1+Inputs!$B$32)</f>
        <v>15.534225000000001</v>
      </c>
      <c r="I48" s="77">
        <f>H48*(1+Inputs!$B$32)</f>
        <v>16.310936250000001</v>
      </c>
      <c r="J48" s="77">
        <f>I48*(1+Inputs!$B$32)</f>
        <v>17.1264830625</v>
      </c>
      <c r="K48" s="77">
        <f>J48*(1+Inputs!$B$32)</f>
        <v>17.982807215625002</v>
      </c>
      <c r="L48" s="77">
        <f>K48*(1+Inputs!$B$32)</f>
        <v>18.881947576406251</v>
      </c>
      <c r="M48" s="77">
        <f>L48*(1+Inputs!$B$32)</f>
        <v>19.826044955226564</v>
      </c>
      <c r="N48" s="77">
        <f>M48*(1+Inputs!$B$32)</f>
        <v>20.817347202987893</v>
      </c>
      <c r="O48" s="77">
        <f>N48*(1+Inputs!$B$32)</f>
        <v>21.858214563137288</v>
      </c>
      <c r="P48" s="77">
        <f>O48*(1+Inputs!$B$32)</f>
        <v>22.951125291294154</v>
      </c>
      <c r="Q48" s="77">
        <f>P48*(1+Inputs!$B$31)</f>
        <v>23.869170302945921</v>
      </c>
      <c r="R48" s="77">
        <f>Q48*(1+Inputs!$B$31)</f>
        <v>24.82393711506376</v>
      </c>
      <c r="S48" s="77">
        <f>R48*(1+Inputs!$B$31)</f>
        <v>25.816894599666313</v>
      </c>
      <c r="T48" s="77">
        <f>S48*(1+Inputs!$B$31)</f>
        <v>26.849570383652967</v>
      </c>
      <c r="U48" s="77">
        <f>T48*(1+Inputs!$B$31)</f>
        <v>27.923553198999087</v>
      </c>
      <c r="V48" s="77">
        <f>U48*(1+Inputs!$B$31)</f>
        <v>29.040495326959054</v>
      </c>
      <c r="W48" s="77">
        <f>V48*(1+Inputs!$B$31)</f>
        <v>30.202115140037417</v>
      </c>
      <c r="X48" s="77">
        <f>W48*(1+Inputs!$B$31)</f>
        <v>31.410199745638916</v>
      </c>
      <c r="Y48" s="77">
        <f>X48*(1+Inputs!$B$31)</f>
        <v>32.666607735464474</v>
      </c>
      <c r="Z48" s="77">
        <f>Y48*(1+Inputs!$B$31)</f>
        <v>33.973272044883053</v>
      </c>
      <c r="AA48" s="77">
        <f>Z48*(1+Inputs!$B$31)</f>
        <v>35.332202926678377</v>
      </c>
      <c r="AB48" s="77">
        <f>AA48*(1+Inputs!$B$31)</f>
        <v>36.745491043745517</v>
      </c>
      <c r="AC48" s="77">
        <f>AB48*(1+Inputs!$B$31)</f>
        <v>38.215310685495339</v>
      </c>
      <c r="AD48" s="77">
        <f>AC48*(1+Inputs!$B$31)</f>
        <v>39.743923112915155</v>
      </c>
      <c r="AE48" s="77">
        <f>AD48*(1+Inputs!$B$31)</f>
        <v>41.333680037431762</v>
      </c>
      <c r="AF48" s="77">
        <f>AE48*(1+Inputs!$B$31)</f>
        <v>42.987027238929031</v>
      </c>
      <c r="AG48" s="77">
        <f>AF48*(1+Inputs!$B$31)</f>
        <v>44.706508328486194</v>
      </c>
      <c r="AH48" s="77">
        <f>AG48*(1+Inputs!$B$31)</f>
        <v>46.494768661625642</v>
      </c>
      <c r="AI48" s="77">
        <f>AH48*(1+Inputs!$B$31)</f>
        <v>48.354559408090672</v>
      </c>
      <c r="AJ48" s="77">
        <f>AI48*(1+Inputs!$B$31)</f>
        <v>50.288741784414299</v>
      </c>
      <c r="AK48" s="77">
        <f>AJ48*(1+Inputs!$B$31)</f>
        <v>52.30029145579087</v>
      </c>
      <c r="AL48" s="77">
        <f>AK48*(1+Inputs!$B$31)</f>
        <v>54.392303114022504</v>
      </c>
      <c r="AM48" s="77">
        <f>AL48*(1+Inputs!$B$31)</f>
        <v>56.567995238583407</v>
      </c>
    </row>
    <row r="49" spans="1:39" x14ac:dyDescent="0.3">
      <c r="G49" s="78"/>
      <c r="H49" s="76">
        <f>Inputs!B39</f>
        <v>7091.9400000000005</v>
      </c>
      <c r="I49" s="77">
        <f>Inputs!B40</f>
        <v>8084.8116000000018</v>
      </c>
      <c r="J49" s="77">
        <f>I49</f>
        <v>8084.8116000000018</v>
      </c>
      <c r="K49" s="77">
        <f t="shared" ref="K49:AM49" si="0">J49</f>
        <v>8084.8116000000018</v>
      </c>
      <c r="L49" s="77">
        <f t="shared" si="0"/>
        <v>8084.8116000000018</v>
      </c>
      <c r="M49" s="77">
        <f t="shared" si="0"/>
        <v>8084.8116000000018</v>
      </c>
      <c r="N49" s="77">
        <f t="shared" si="0"/>
        <v>8084.8116000000018</v>
      </c>
      <c r="O49" s="77">
        <f t="shared" si="0"/>
        <v>8084.8116000000018</v>
      </c>
      <c r="P49" s="77">
        <f t="shared" si="0"/>
        <v>8084.8116000000018</v>
      </c>
      <c r="Q49" s="77">
        <f t="shared" si="0"/>
        <v>8084.8116000000018</v>
      </c>
      <c r="R49" s="77">
        <f t="shared" si="0"/>
        <v>8084.8116000000018</v>
      </c>
      <c r="S49" s="77">
        <f t="shared" si="0"/>
        <v>8084.8116000000018</v>
      </c>
      <c r="T49" s="77">
        <f t="shared" si="0"/>
        <v>8084.8116000000018</v>
      </c>
      <c r="U49" s="77">
        <f t="shared" si="0"/>
        <v>8084.8116000000018</v>
      </c>
      <c r="V49" s="77">
        <f t="shared" si="0"/>
        <v>8084.8116000000018</v>
      </c>
      <c r="W49" s="77">
        <f t="shared" si="0"/>
        <v>8084.8116000000018</v>
      </c>
      <c r="X49" s="77">
        <f t="shared" si="0"/>
        <v>8084.8116000000018</v>
      </c>
      <c r="Y49" s="77">
        <f t="shared" si="0"/>
        <v>8084.8116000000018</v>
      </c>
      <c r="Z49" s="77">
        <f t="shared" si="0"/>
        <v>8084.8116000000018</v>
      </c>
      <c r="AA49" s="77">
        <f t="shared" si="0"/>
        <v>8084.8116000000018</v>
      </c>
      <c r="AB49" s="77">
        <f t="shared" si="0"/>
        <v>8084.8116000000018</v>
      </c>
      <c r="AC49" s="77">
        <f t="shared" si="0"/>
        <v>8084.8116000000018</v>
      </c>
      <c r="AD49" s="77">
        <f t="shared" si="0"/>
        <v>8084.8116000000018</v>
      </c>
      <c r="AE49" s="77">
        <f t="shared" si="0"/>
        <v>8084.8116000000018</v>
      </c>
      <c r="AF49" s="77">
        <f t="shared" si="0"/>
        <v>8084.8116000000018</v>
      </c>
      <c r="AG49" s="77">
        <f t="shared" si="0"/>
        <v>8084.8116000000018</v>
      </c>
      <c r="AH49" s="77">
        <f t="shared" si="0"/>
        <v>8084.8116000000018</v>
      </c>
      <c r="AI49" s="77">
        <f t="shared" si="0"/>
        <v>8084.8116000000018</v>
      </c>
      <c r="AJ49" s="77">
        <f t="shared" si="0"/>
        <v>8084.8116000000018</v>
      </c>
      <c r="AK49" s="77">
        <f t="shared" si="0"/>
        <v>8084.8116000000018</v>
      </c>
      <c r="AL49" s="77">
        <f t="shared" si="0"/>
        <v>8084.8116000000018</v>
      </c>
      <c r="AM49" s="77">
        <f t="shared" si="0"/>
        <v>8084.8116000000018</v>
      </c>
    </row>
    <row r="50" spans="1:39" x14ac:dyDescent="0.3">
      <c r="A50" s="25" t="s">
        <v>36</v>
      </c>
      <c r="B50" s="25"/>
      <c r="C50" s="25"/>
      <c r="D50" s="25"/>
      <c r="E50" s="25"/>
      <c r="F50" s="25"/>
      <c r="G50" s="25"/>
      <c r="H50" s="25"/>
    </row>
    <row r="51" spans="1:39" x14ac:dyDescent="0.3">
      <c r="A51" s="49" t="s">
        <v>38</v>
      </c>
      <c r="B51" s="49"/>
      <c r="C51" s="49"/>
      <c r="D51" s="49"/>
      <c r="E51" s="49"/>
      <c r="F51" s="49"/>
      <c r="G51" s="49"/>
      <c r="H51" s="49"/>
      <c r="I51" s="24">
        <v>2.5000000000000001E-2</v>
      </c>
      <c r="J51" s="24">
        <f>+I51</f>
        <v>2.5000000000000001E-2</v>
      </c>
      <c r="K51" s="24">
        <f t="shared" ref="K51:AM51" si="1">+J51</f>
        <v>2.5000000000000001E-2</v>
      </c>
      <c r="L51" s="24">
        <f t="shared" si="1"/>
        <v>2.5000000000000001E-2</v>
      </c>
      <c r="M51" s="24">
        <f t="shared" si="1"/>
        <v>2.5000000000000001E-2</v>
      </c>
      <c r="N51" s="24">
        <f t="shared" si="1"/>
        <v>2.5000000000000001E-2</v>
      </c>
      <c r="O51" s="24">
        <f t="shared" si="1"/>
        <v>2.5000000000000001E-2</v>
      </c>
      <c r="P51" s="24">
        <f t="shared" si="1"/>
        <v>2.5000000000000001E-2</v>
      </c>
      <c r="Q51" s="24">
        <f t="shared" si="1"/>
        <v>2.5000000000000001E-2</v>
      </c>
      <c r="R51" s="24">
        <f t="shared" si="1"/>
        <v>2.5000000000000001E-2</v>
      </c>
      <c r="S51" s="24">
        <f t="shared" si="1"/>
        <v>2.5000000000000001E-2</v>
      </c>
      <c r="T51" s="24">
        <f t="shared" si="1"/>
        <v>2.5000000000000001E-2</v>
      </c>
      <c r="U51" s="24">
        <f t="shared" si="1"/>
        <v>2.5000000000000001E-2</v>
      </c>
      <c r="V51" s="24">
        <f t="shared" si="1"/>
        <v>2.5000000000000001E-2</v>
      </c>
      <c r="W51" s="24">
        <f t="shared" si="1"/>
        <v>2.5000000000000001E-2</v>
      </c>
      <c r="X51" s="24">
        <f t="shared" si="1"/>
        <v>2.5000000000000001E-2</v>
      </c>
      <c r="Y51" s="24">
        <f t="shared" si="1"/>
        <v>2.5000000000000001E-2</v>
      </c>
      <c r="Z51" s="24">
        <f t="shared" si="1"/>
        <v>2.5000000000000001E-2</v>
      </c>
      <c r="AA51" s="24">
        <f t="shared" si="1"/>
        <v>2.5000000000000001E-2</v>
      </c>
      <c r="AB51" s="24">
        <f t="shared" si="1"/>
        <v>2.5000000000000001E-2</v>
      </c>
      <c r="AC51" s="24">
        <f t="shared" si="1"/>
        <v>2.5000000000000001E-2</v>
      </c>
      <c r="AD51" s="24">
        <f t="shared" si="1"/>
        <v>2.5000000000000001E-2</v>
      </c>
      <c r="AE51" s="24">
        <f t="shared" si="1"/>
        <v>2.5000000000000001E-2</v>
      </c>
      <c r="AF51" s="24">
        <f t="shared" si="1"/>
        <v>2.5000000000000001E-2</v>
      </c>
      <c r="AG51" s="24">
        <f t="shared" si="1"/>
        <v>2.5000000000000001E-2</v>
      </c>
      <c r="AH51" s="24">
        <f t="shared" si="1"/>
        <v>2.5000000000000001E-2</v>
      </c>
      <c r="AI51" s="24">
        <f t="shared" si="1"/>
        <v>2.5000000000000001E-2</v>
      </c>
      <c r="AJ51" s="24">
        <f t="shared" si="1"/>
        <v>2.5000000000000001E-2</v>
      </c>
      <c r="AK51" s="24">
        <f t="shared" si="1"/>
        <v>2.5000000000000001E-2</v>
      </c>
      <c r="AL51" s="24">
        <f t="shared" si="1"/>
        <v>2.5000000000000001E-2</v>
      </c>
      <c r="AM51" s="24">
        <f t="shared" si="1"/>
        <v>2.5000000000000001E-2</v>
      </c>
    </row>
    <row r="52" spans="1:39" x14ac:dyDescent="0.3">
      <c r="A52" s="49" t="s">
        <v>80</v>
      </c>
      <c r="B52" s="49"/>
      <c r="C52" s="49"/>
      <c r="D52" s="49"/>
      <c r="E52" s="49"/>
      <c r="F52" s="49"/>
      <c r="G52" s="81">
        <v>250</v>
      </c>
      <c r="H52" s="81">
        <v>250</v>
      </c>
      <c r="I52" s="81">
        <v>250</v>
      </c>
      <c r="J52" s="81">
        <v>250</v>
      </c>
      <c r="K52" s="81">
        <v>250</v>
      </c>
      <c r="L52" s="81">
        <v>250</v>
      </c>
      <c r="M52" s="81">
        <v>250</v>
      </c>
      <c r="N52" s="81">
        <v>250</v>
      </c>
      <c r="O52" s="81">
        <v>250</v>
      </c>
      <c r="P52" s="81">
        <v>250</v>
      </c>
      <c r="Q52" s="81">
        <v>250</v>
      </c>
      <c r="R52" s="81">
        <v>250</v>
      </c>
      <c r="S52" s="81">
        <v>250</v>
      </c>
      <c r="T52" s="81">
        <v>250</v>
      </c>
      <c r="U52" s="81">
        <v>250</v>
      </c>
      <c r="V52" s="81">
        <v>250</v>
      </c>
      <c r="W52" s="81">
        <v>250</v>
      </c>
      <c r="X52" s="81">
        <v>250</v>
      </c>
      <c r="Y52" s="81">
        <v>250</v>
      </c>
      <c r="Z52" s="81">
        <v>250</v>
      </c>
      <c r="AA52" s="81">
        <v>250</v>
      </c>
      <c r="AB52" s="81">
        <v>250</v>
      </c>
      <c r="AC52" s="81">
        <v>250</v>
      </c>
      <c r="AD52" s="81">
        <v>250</v>
      </c>
      <c r="AE52" s="81">
        <v>250</v>
      </c>
      <c r="AF52" s="81">
        <v>250</v>
      </c>
      <c r="AG52" s="81">
        <v>250</v>
      </c>
      <c r="AH52" s="81">
        <v>250</v>
      </c>
      <c r="AI52" s="81">
        <v>250</v>
      </c>
      <c r="AJ52" s="81">
        <v>250</v>
      </c>
      <c r="AK52" s="81">
        <v>250</v>
      </c>
      <c r="AL52" s="81">
        <v>250</v>
      </c>
      <c r="AM52" s="81">
        <v>250</v>
      </c>
    </row>
    <row r="53" spans="1:39" x14ac:dyDescent="0.3">
      <c r="A53" s="28" t="s">
        <v>0</v>
      </c>
      <c r="B53" s="28"/>
      <c r="C53" s="28"/>
      <c r="D53" s="28"/>
      <c r="E53" s="28">
        <v>6201</v>
      </c>
      <c r="F53" s="28"/>
      <c r="G53" s="73">
        <v>6190</v>
      </c>
      <c r="H53" s="73">
        <v>6350</v>
      </c>
      <c r="I53" s="23">
        <v>6500</v>
      </c>
      <c r="J53" s="23">
        <f>+I53*(1+J$51)</f>
        <v>6662.4999999999991</v>
      </c>
      <c r="K53" s="23">
        <f t="shared" ref="K53:Z53" si="2">+J53*(1+K$51)</f>
        <v>6829.0624999999982</v>
      </c>
      <c r="L53" s="23">
        <f t="shared" si="2"/>
        <v>6999.7890624999973</v>
      </c>
      <c r="M53" s="23">
        <f t="shared" si="2"/>
        <v>7174.7837890624969</v>
      </c>
      <c r="N53" s="23">
        <f t="shared" si="2"/>
        <v>7354.1533837890584</v>
      </c>
      <c r="O53" s="23">
        <f t="shared" si="2"/>
        <v>7538.0072183837838</v>
      </c>
      <c r="P53" s="23">
        <f t="shared" si="2"/>
        <v>7726.4573988433776</v>
      </c>
      <c r="Q53" s="23">
        <f t="shared" si="2"/>
        <v>7919.6188338144611</v>
      </c>
      <c r="R53" s="23">
        <f t="shared" si="2"/>
        <v>8117.6093046598216</v>
      </c>
      <c r="S53" s="23">
        <f t="shared" si="2"/>
        <v>8320.5495372763162</v>
      </c>
      <c r="T53" s="23">
        <f t="shared" si="2"/>
        <v>8528.563275708224</v>
      </c>
      <c r="U53" s="23">
        <f t="shared" si="2"/>
        <v>8741.7773576009295</v>
      </c>
      <c r="V53" s="23">
        <f t="shared" si="2"/>
        <v>8960.3217915409514</v>
      </c>
      <c r="W53" s="23">
        <f t="shared" si="2"/>
        <v>9184.3298363294743</v>
      </c>
      <c r="X53" s="23">
        <f t="shared" si="2"/>
        <v>9413.9380822377098</v>
      </c>
      <c r="Y53" s="23">
        <f t="shared" si="2"/>
        <v>9649.2865342936511</v>
      </c>
      <c r="Z53" s="23">
        <f t="shared" si="2"/>
        <v>9890.5186976509922</v>
      </c>
      <c r="AA53" s="23">
        <f t="shared" ref="Z53:AM55" si="3">+Z53*(1+AA$51)</f>
        <v>10137.781665092267</v>
      </c>
      <c r="AB53" s="23">
        <f t="shared" si="3"/>
        <v>10391.226206719573</v>
      </c>
      <c r="AC53" s="23">
        <f t="shared" si="3"/>
        <v>10651.006861887561</v>
      </c>
      <c r="AD53" s="23">
        <f t="shared" si="3"/>
        <v>10917.282033434749</v>
      </c>
      <c r="AE53" s="23">
        <f t="shared" si="3"/>
        <v>11190.214084270616</v>
      </c>
      <c r="AF53" s="23">
        <f t="shared" si="3"/>
        <v>11469.96943637738</v>
      </c>
      <c r="AG53" s="23">
        <f t="shared" si="3"/>
        <v>11756.718672286814</v>
      </c>
      <c r="AH53" s="23">
        <f t="shared" si="3"/>
        <v>12050.636639093984</v>
      </c>
      <c r="AI53" s="23">
        <f t="shared" si="3"/>
        <v>12351.902555071332</v>
      </c>
      <c r="AJ53" s="23">
        <f t="shared" si="3"/>
        <v>12660.700118948114</v>
      </c>
      <c r="AK53" s="23">
        <f t="shared" si="3"/>
        <v>12977.217621921816</v>
      </c>
      <c r="AL53" s="23">
        <f t="shared" si="3"/>
        <v>13301.64806246986</v>
      </c>
      <c r="AM53" s="23">
        <f t="shared" si="3"/>
        <v>13634.189264031605</v>
      </c>
    </row>
    <row r="54" spans="1:39" x14ac:dyDescent="0.3">
      <c r="A54" s="28" t="s">
        <v>1</v>
      </c>
      <c r="B54" s="28"/>
      <c r="C54" s="28"/>
      <c r="D54" s="28"/>
      <c r="E54" s="28">
        <v>2212</v>
      </c>
      <c r="F54" s="28"/>
      <c r="G54" s="73">
        <v>2250</v>
      </c>
      <c r="H54" s="73">
        <v>2270</v>
      </c>
      <c r="I54" s="23">
        <v>2300</v>
      </c>
      <c r="J54" s="23">
        <f t="shared" ref="J54:Y55" si="4">+I54*(1+J$51)</f>
        <v>2357.5</v>
      </c>
      <c r="K54" s="23">
        <f t="shared" si="4"/>
        <v>2416.4375</v>
      </c>
      <c r="L54" s="23">
        <f t="shared" si="4"/>
        <v>2476.8484374999998</v>
      </c>
      <c r="M54" s="23">
        <f t="shared" si="4"/>
        <v>2538.7696484374997</v>
      </c>
      <c r="N54" s="23">
        <f t="shared" si="4"/>
        <v>2602.2388896484367</v>
      </c>
      <c r="O54" s="23">
        <f t="shared" si="4"/>
        <v>2667.2948618896476</v>
      </c>
      <c r="P54" s="23">
        <f t="shared" si="4"/>
        <v>2733.9772334368886</v>
      </c>
      <c r="Q54" s="23">
        <f t="shared" si="4"/>
        <v>2802.3266642728104</v>
      </c>
      <c r="R54" s="23">
        <f t="shared" si="4"/>
        <v>2872.3848308796305</v>
      </c>
      <c r="S54" s="23">
        <f t="shared" si="4"/>
        <v>2944.194451651621</v>
      </c>
      <c r="T54" s="23">
        <f t="shared" si="4"/>
        <v>3017.7993129429115</v>
      </c>
      <c r="U54" s="23">
        <f t="shared" si="4"/>
        <v>3093.2442957664839</v>
      </c>
      <c r="V54" s="23">
        <f t="shared" si="4"/>
        <v>3170.5754031606457</v>
      </c>
      <c r="W54" s="23">
        <f t="shared" si="4"/>
        <v>3249.8397882396616</v>
      </c>
      <c r="X54" s="23">
        <f t="shared" si="4"/>
        <v>3331.0857829456527</v>
      </c>
      <c r="Y54" s="23">
        <f t="shared" si="4"/>
        <v>3414.3629275192939</v>
      </c>
      <c r="Z54" s="23">
        <f t="shared" si="3"/>
        <v>3499.722000707276</v>
      </c>
      <c r="AA54" s="23">
        <f t="shared" si="3"/>
        <v>3587.2150507249576</v>
      </c>
      <c r="AB54" s="23">
        <f t="shared" si="3"/>
        <v>3676.8954269930814</v>
      </c>
      <c r="AC54" s="23">
        <f t="shared" si="3"/>
        <v>3768.8178126679081</v>
      </c>
      <c r="AD54" s="23">
        <f t="shared" si="3"/>
        <v>3863.0382579846055</v>
      </c>
      <c r="AE54" s="23">
        <f t="shared" si="3"/>
        <v>3959.6142144342202</v>
      </c>
      <c r="AF54" s="23">
        <f t="shared" si="3"/>
        <v>4058.6045697950753</v>
      </c>
      <c r="AG54" s="23">
        <f t="shared" si="3"/>
        <v>4160.0696840399514</v>
      </c>
      <c r="AH54" s="23">
        <f t="shared" si="3"/>
        <v>4264.0714261409503</v>
      </c>
      <c r="AI54" s="23">
        <f t="shared" si="3"/>
        <v>4370.6732117944739</v>
      </c>
      <c r="AJ54" s="23">
        <f t="shared" si="3"/>
        <v>4479.9400420893353</v>
      </c>
      <c r="AK54" s="23">
        <f t="shared" si="3"/>
        <v>4591.9385431415685</v>
      </c>
      <c r="AL54" s="23">
        <f t="shared" si="3"/>
        <v>4706.7370067201073</v>
      </c>
      <c r="AM54" s="23">
        <f t="shared" si="3"/>
        <v>4824.4054318881099</v>
      </c>
    </row>
    <row r="55" spans="1:39" x14ac:dyDescent="0.3">
      <c r="A55" s="28" t="s">
        <v>37</v>
      </c>
      <c r="B55" s="28"/>
      <c r="C55" s="28"/>
      <c r="D55" s="28"/>
      <c r="E55" s="28">
        <f>182+93+38+32+28</f>
        <v>373</v>
      </c>
      <c r="F55" s="28"/>
      <c r="G55" s="73">
        <v>565</v>
      </c>
      <c r="H55" s="73">
        <v>585</v>
      </c>
      <c r="I55" s="23">
        <v>600</v>
      </c>
      <c r="J55" s="23">
        <f t="shared" si="4"/>
        <v>615</v>
      </c>
      <c r="K55" s="23">
        <f t="shared" si="4"/>
        <v>630.375</v>
      </c>
      <c r="L55" s="23">
        <f t="shared" si="4"/>
        <v>646.13437499999998</v>
      </c>
      <c r="M55" s="23">
        <f t="shared" si="4"/>
        <v>662.2877343749999</v>
      </c>
      <c r="N55" s="23">
        <f t="shared" si="4"/>
        <v>678.84492773437489</v>
      </c>
      <c r="O55" s="23">
        <f t="shared" si="4"/>
        <v>695.81605092773418</v>
      </c>
      <c r="P55" s="23">
        <f t="shared" si="4"/>
        <v>713.21145220092751</v>
      </c>
      <c r="Q55" s="23">
        <f t="shared" si="4"/>
        <v>731.04173850595066</v>
      </c>
      <c r="R55" s="23">
        <f t="shared" si="4"/>
        <v>749.31778196859932</v>
      </c>
      <c r="S55" s="23">
        <f t="shared" si="4"/>
        <v>768.05072651781427</v>
      </c>
      <c r="T55" s="23">
        <f t="shared" si="4"/>
        <v>787.25199468075959</v>
      </c>
      <c r="U55" s="23">
        <f t="shared" si="4"/>
        <v>806.93329454777847</v>
      </c>
      <c r="V55" s="23">
        <f t="shared" si="4"/>
        <v>827.10662691147286</v>
      </c>
      <c r="W55" s="23">
        <f t="shared" si="4"/>
        <v>847.78429258425956</v>
      </c>
      <c r="X55" s="23">
        <f t="shared" si="4"/>
        <v>868.97889989886596</v>
      </c>
      <c r="Y55" s="23">
        <f t="shared" si="4"/>
        <v>890.7033723963375</v>
      </c>
      <c r="Z55" s="23">
        <f t="shared" si="3"/>
        <v>912.97095670624583</v>
      </c>
      <c r="AA55" s="23">
        <f t="shared" si="3"/>
        <v>935.79523062390194</v>
      </c>
      <c r="AB55" s="23">
        <f t="shared" si="3"/>
        <v>959.19011138949941</v>
      </c>
      <c r="AC55" s="23">
        <f t="shared" si="3"/>
        <v>983.16986417423686</v>
      </c>
      <c r="AD55" s="23">
        <f t="shared" si="3"/>
        <v>1007.7491107785927</v>
      </c>
      <c r="AE55" s="23">
        <f t="shared" si="3"/>
        <v>1032.9428385480574</v>
      </c>
      <c r="AF55" s="23">
        <f t="shared" si="3"/>
        <v>1058.7664095117586</v>
      </c>
      <c r="AG55" s="23">
        <f t="shared" si="3"/>
        <v>1085.2355697495525</v>
      </c>
      <c r="AH55" s="23">
        <f t="shared" si="3"/>
        <v>1112.3664589932912</v>
      </c>
      <c r="AI55" s="23">
        <f t="shared" si="3"/>
        <v>1140.1756204681233</v>
      </c>
      <c r="AJ55" s="23">
        <f t="shared" si="3"/>
        <v>1168.6800109798262</v>
      </c>
      <c r="AK55" s="23">
        <f t="shared" si="3"/>
        <v>1197.8970112543218</v>
      </c>
      <c r="AL55" s="23">
        <f t="shared" si="3"/>
        <v>1227.8444365356797</v>
      </c>
      <c r="AM55" s="23">
        <f t="shared" si="3"/>
        <v>1258.5405474490717</v>
      </c>
    </row>
    <row r="56" spans="1:39" ht="19.2" customHeight="1" x14ac:dyDescent="0.3">
      <c r="A56" s="28" t="s">
        <v>268</v>
      </c>
      <c r="B56" s="28">
        <v>7914</v>
      </c>
      <c r="C56" s="28">
        <v>8030</v>
      </c>
      <c r="D56" s="28">
        <v>8405</v>
      </c>
      <c r="E56" s="73">
        <f>SUM(E51:E55)</f>
        <v>8786</v>
      </c>
      <c r="F56" s="73">
        <v>8965</v>
      </c>
      <c r="G56" s="73">
        <f>SUM(G51:G55)</f>
        <v>9255</v>
      </c>
      <c r="H56" s="73">
        <f t="shared" ref="H56:AM56" si="5">SUM(H51:H55)</f>
        <v>9455</v>
      </c>
      <c r="I56" s="73">
        <f t="shared" si="5"/>
        <v>9650.0249999999996</v>
      </c>
      <c r="J56" s="73">
        <f t="shared" si="5"/>
        <v>9885.0249999999978</v>
      </c>
      <c r="K56" s="73">
        <f t="shared" si="5"/>
        <v>10125.899999999998</v>
      </c>
      <c r="L56" s="73">
        <f t="shared" si="5"/>
        <v>10372.796874999996</v>
      </c>
      <c r="M56" s="73">
        <f t="shared" si="5"/>
        <v>10625.866171874997</v>
      </c>
      <c r="N56" s="73">
        <f t="shared" si="5"/>
        <v>10885.26220117187</v>
      </c>
      <c r="O56" s="73">
        <f t="shared" si="5"/>
        <v>11151.143131201166</v>
      </c>
      <c r="P56" s="73">
        <f t="shared" si="5"/>
        <v>11423.671084481193</v>
      </c>
      <c r="Q56" s="73">
        <f t="shared" si="5"/>
        <v>11703.01223659322</v>
      </c>
      <c r="R56" s="73">
        <f t="shared" si="5"/>
        <v>11989.336917508052</v>
      </c>
      <c r="S56" s="73">
        <f t="shared" si="5"/>
        <v>12282.819715445752</v>
      </c>
      <c r="T56" s="73">
        <f t="shared" si="5"/>
        <v>12583.639583331893</v>
      </c>
      <c r="U56" s="73">
        <f t="shared" si="5"/>
        <v>12891.979947915192</v>
      </c>
      <c r="V56" s="73">
        <f t="shared" si="5"/>
        <v>13208.02882161307</v>
      </c>
      <c r="W56" s="73">
        <f t="shared" si="5"/>
        <v>13531.978917153396</v>
      </c>
      <c r="X56" s="73">
        <f t="shared" si="5"/>
        <v>13864.027765082228</v>
      </c>
      <c r="Y56" s="73">
        <f t="shared" si="5"/>
        <v>14204.377834209283</v>
      </c>
      <c r="Z56" s="73">
        <f t="shared" si="5"/>
        <v>14553.236655064513</v>
      </c>
      <c r="AA56" s="73">
        <f t="shared" si="5"/>
        <v>14910.816946441126</v>
      </c>
      <c r="AB56" s="73">
        <f t="shared" si="5"/>
        <v>15277.336745102155</v>
      </c>
      <c r="AC56" s="73">
        <f t="shared" si="5"/>
        <v>15653.019538729706</v>
      </c>
      <c r="AD56" s="73">
        <f t="shared" si="5"/>
        <v>16038.094402197949</v>
      </c>
      <c r="AE56" s="73">
        <f t="shared" si="5"/>
        <v>16432.796137252892</v>
      </c>
      <c r="AF56" s="73">
        <f t="shared" si="5"/>
        <v>16837.365415684213</v>
      </c>
      <c r="AG56" s="73">
        <f t="shared" si="5"/>
        <v>17252.048926076317</v>
      </c>
      <c r="AH56" s="73">
        <f t="shared" si="5"/>
        <v>17677.099524228226</v>
      </c>
      <c r="AI56" s="73">
        <f t="shared" si="5"/>
        <v>18112.776387333928</v>
      </c>
      <c r="AJ56" s="73">
        <f t="shared" si="5"/>
        <v>18559.345172017278</v>
      </c>
      <c r="AK56" s="73">
        <f t="shared" si="5"/>
        <v>19017.078176317704</v>
      </c>
      <c r="AL56" s="73">
        <f t="shared" si="5"/>
        <v>19486.254505725647</v>
      </c>
      <c r="AM56" s="73">
        <f t="shared" si="5"/>
        <v>19967.160243368788</v>
      </c>
    </row>
    <row r="57" spans="1:39" x14ac:dyDescent="0.3">
      <c r="A57" s="3" t="s">
        <v>39</v>
      </c>
      <c r="B57" s="3"/>
      <c r="C57" s="3"/>
      <c r="D57" s="3"/>
      <c r="E57" s="3"/>
      <c r="F57" s="3"/>
      <c r="G57" s="75">
        <f>G56-'ERU Sum by Month'!O15</f>
        <v>445.5</v>
      </c>
      <c r="H57" s="33">
        <f>+H56-G56</f>
        <v>200</v>
      </c>
      <c r="I57" s="33">
        <f t="shared" ref="I57" si="6">+I56-H56</f>
        <v>195.02499999999964</v>
      </c>
      <c r="J57" s="33">
        <f>+J56-I56</f>
        <v>234.99999999999818</v>
      </c>
      <c r="K57" s="33">
        <f t="shared" ref="K57:AM57" si="7">+K56-J56</f>
        <v>240.875</v>
      </c>
      <c r="L57" s="33">
        <f t="shared" si="7"/>
        <v>246.89687499999854</v>
      </c>
      <c r="M57" s="33">
        <f t="shared" si="7"/>
        <v>253.06929687500087</v>
      </c>
      <c r="N57" s="33">
        <f t="shared" si="7"/>
        <v>259.39602929687317</v>
      </c>
      <c r="O57" s="33">
        <f t="shared" si="7"/>
        <v>265.880930029296</v>
      </c>
      <c r="P57" s="33">
        <f t="shared" si="7"/>
        <v>272.52795328002685</v>
      </c>
      <c r="Q57" s="33">
        <f t="shared" si="7"/>
        <v>279.34115211202698</v>
      </c>
      <c r="R57" s="33">
        <f t="shared" si="7"/>
        <v>286.32468091483133</v>
      </c>
      <c r="S57" s="33">
        <f t="shared" si="7"/>
        <v>293.48279793770052</v>
      </c>
      <c r="T57" s="33">
        <f t="shared" si="7"/>
        <v>300.81986788614086</v>
      </c>
      <c r="U57" s="33">
        <f t="shared" si="7"/>
        <v>308.34036458329865</v>
      </c>
      <c r="V57" s="33">
        <f t="shared" si="7"/>
        <v>316.04887369787866</v>
      </c>
      <c r="W57" s="33">
        <f t="shared" si="7"/>
        <v>323.95009554032549</v>
      </c>
      <c r="X57" s="33">
        <f t="shared" si="7"/>
        <v>332.0488479288324</v>
      </c>
      <c r="Y57" s="33">
        <f t="shared" si="7"/>
        <v>340.35006912705467</v>
      </c>
      <c r="Z57" s="33">
        <f t="shared" si="7"/>
        <v>348.85882085523008</v>
      </c>
      <c r="AA57" s="33">
        <f t="shared" si="7"/>
        <v>357.58029137661288</v>
      </c>
      <c r="AB57" s="33">
        <f t="shared" si="7"/>
        <v>366.5197986610292</v>
      </c>
      <c r="AC57" s="33">
        <f t="shared" si="7"/>
        <v>375.68279362755129</v>
      </c>
      <c r="AD57" s="33">
        <f t="shared" si="7"/>
        <v>385.07486346824226</v>
      </c>
      <c r="AE57" s="33">
        <f t="shared" si="7"/>
        <v>394.70173505494313</v>
      </c>
      <c r="AF57" s="33">
        <f t="shared" si="7"/>
        <v>404.56927843132144</v>
      </c>
      <c r="AG57" s="33">
        <f t="shared" si="7"/>
        <v>414.68351039210393</v>
      </c>
      <c r="AH57" s="33">
        <f t="shared" si="7"/>
        <v>425.05059815190907</v>
      </c>
      <c r="AI57" s="33">
        <f t="shared" si="7"/>
        <v>435.67686310570207</v>
      </c>
      <c r="AJ57" s="33">
        <f t="shared" si="7"/>
        <v>446.5687846833498</v>
      </c>
      <c r="AK57" s="33">
        <f t="shared" si="7"/>
        <v>457.73300430042582</v>
      </c>
      <c r="AL57" s="33">
        <f t="shared" si="7"/>
        <v>469.17632940794283</v>
      </c>
      <c r="AM57" s="33">
        <f t="shared" si="7"/>
        <v>480.90573764314104</v>
      </c>
    </row>
    <row r="58" spans="1:39" x14ac:dyDescent="0.3">
      <c r="A58" s="3"/>
      <c r="B58" s="3"/>
      <c r="C58" s="3"/>
      <c r="D58" s="3"/>
      <c r="E58" s="3"/>
      <c r="F58" s="3"/>
      <c r="G58" s="3"/>
      <c r="H58" s="3"/>
      <c r="K58" s="11"/>
    </row>
    <row r="59" spans="1:39" x14ac:dyDescent="0.3">
      <c r="A59" s="31"/>
      <c r="B59" s="31"/>
      <c r="C59" s="31"/>
      <c r="D59" s="31"/>
      <c r="E59" s="31"/>
      <c r="F59" s="31"/>
      <c r="G59" s="31"/>
      <c r="H59" s="31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</row>
  </sheetData>
  <pageMargins left="0.7" right="0.7" top="0.75" bottom="0.75" header="0.3" footer="0.3"/>
  <pageSetup scale="20" fitToHeight="2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9F0FB-444F-4319-B02F-28DB236D0A1B}">
  <dimension ref="A3:B4"/>
  <sheetViews>
    <sheetView workbookViewId="0">
      <selection activeCell="B5" sqref="B5"/>
    </sheetView>
  </sheetViews>
  <sheetFormatPr defaultRowHeight="14.4" x14ac:dyDescent="0.3"/>
  <cols>
    <col min="1" max="1" width="39.6640625" customWidth="1"/>
    <col min="2" max="2" width="13.77734375" customWidth="1"/>
  </cols>
  <sheetData>
    <row r="3" spans="1:2" x14ac:dyDescent="0.3">
      <c r="A3" t="s">
        <v>123</v>
      </c>
      <c r="B3" s="5" t="s">
        <v>124</v>
      </c>
    </row>
    <row r="4" spans="1:2" x14ac:dyDescent="0.3">
      <c r="A4" t="s">
        <v>125</v>
      </c>
      <c r="B4" s="33">
        <v>16000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2C7B-013E-47B1-A9D3-39B70ED93712}">
  <sheetPr>
    <pageSetUpPr fitToPage="1"/>
  </sheetPr>
  <dimension ref="A2:R18"/>
  <sheetViews>
    <sheetView zoomScale="99" zoomScaleNormal="99" workbookViewId="0">
      <selection activeCell="O15" sqref="O15"/>
    </sheetView>
  </sheetViews>
  <sheetFormatPr defaultColWidth="8.33203125" defaultRowHeight="14.4" x14ac:dyDescent="0.3"/>
  <cols>
    <col min="1" max="1" width="33.33203125" style="59" customWidth="1"/>
    <col min="2" max="2" width="7.6640625" style="59" customWidth="1"/>
    <col min="3" max="18" width="11.6640625" style="59" customWidth="1"/>
    <col min="19" max="16384" width="8.33203125" style="59"/>
  </cols>
  <sheetData>
    <row r="2" spans="1:18" ht="21" x14ac:dyDescent="0.4">
      <c r="A2" s="56" t="s">
        <v>62</v>
      </c>
      <c r="B2" s="56"/>
      <c r="C2" s="57" t="s">
        <v>63</v>
      </c>
      <c r="D2" s="58"/>
      <c r="E2" s="56"/>
      <c r="F2" s="56"/>
      <c r="G2" s="56"/>
      <c r="H2" s="56"/>
    </row>
    <row r="3" spans="1:18" ht="15.6" x14ac:dyDescent="0.3">
      <c r="A3" s="60"/>
      <c r="B3" s="60"/>
      <c r="C3" s="60"/>
      <c r="D3" s="60"/>
      <c r="E3" s="60"/>
      <c r="F3" s="60"/>
      <c r="G3" s="60"/>
      <c r="H3" s="60"/>
    </row>
    <row r="4" spans="1:18" ht="15.6" x14ac:dyDescent="0.3">
      <c r="A4" s="60" t="s">
        <v>64</v>
      </c>
    </row>
    <row r="5" spans="1:18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s="64" customFormat="1" ht="15.6" customHeight="1" x14ac:dyDescent="0.3">
      <c r="A6" s="62" t="s">
        <v>65</v>
      </c>
      <c r="B6" s="63"/>
      <c r="C6" s="63">
        <v>44820</v>
      </c>
      <c r="D6" s="63">
        <v>44856</v>
      </c>
      <c r="E6" s="63">
        <v>44879</v>
      </c>
      <c r="F6" s="63">
        <v>44908</v>
      </c>
      <c r="G6" s="63">
        <v>44940</v>
      </c>
      <c r="H6" s="63">
        <v>44976</v>
      </c>
      <c r="I6" s="63">
        <v>45005</v>
      </c>
      <c r="J6" s="63">
        <v>45034</v>
      </c>
      <c r="K6" s="63">
        <v>45062</v>
      </c>
      <c r="L6" s="63">
        <v>45091</v>
      </c>
      <c r="M6" s="63">
        <v>45125</v>
      </c>
      <c r="N6" s="63">
        <v>45160</v>
      </c>
      <c r="O6" s="63">
        <v>45188</v>
      </c>
      <c r="P6" s="63"/>
      <c r="Q6" s="63"/>
      <c r="R6" s="63"/>
    </row>
    <row r="7" spans="1:18" x14ac:dyDescent="0.3">
      <c r="A7" s="59" t="s">
        <v>0</v>
      </c>
      <c r="B7" s="65"/>
      <c r="C7" s="66">
        <v>5745</v>
      </c>
      <c r="D7" s="66">
        <v>5745</v>
      </c>
      <c r="E7" s="66">
        <v>5796</v>
      </c>
      <c r="F7" s="66">
        <v>5796</v>
      </c>
      <c r="G7" s="66">
        <v>5805</v>
      </c>
      <c r="H7" s="66">
        <v>5817</v>
      </c>
      <c r="I7" s="66">
        <v>5824</v>
      </c>
      <c r="J7" s="66">
        <v>5855</v>
      </c>
      <c r="K7" s="66">
        <v>5853</v>
      </c>
      <c r="L7" s="66">
        <v>5883</v>
      </c>
      <c r="M7" s="65">
        <v>5924</v>
      </c>
      <c r="N7" s="65">
        <v>5939</v>
      </c>
      <c r="O7" s="65">
        <v>5965</v>
      </c>
      <c r="P7" s="65"/>
      <c r="Q7" s="65"/>
      <c r="R7" s="65"/>
    </row>
    <row r="8" spans="1:18" x14ac:dyDescent="0.3">
      <c r="A8" s="67" t="s">
        <v>66</v>
      </c>
      <c r="B8" s="65"/>
      <c r="C8" s="66">
        <v>117</v>
      </c>
      <c r="D8" s="66">
        <v>117</v>
      </c>
      <c r="E8" s="66">
        <v>117</v>
      </c>
      <c r="F8" s="66">
        <v>117</v>
      </c>
      <c r="G8" s="66">
        <v>117</v>
      </c>
      <c r="H8" s="66">
        <v>117</v>
      </c>
      <c r="I8" s="66">
        <v>117</v>
      </c>
      <c r="J8" s="66">
        <v>117</v>
      </c>
      <c r="K8" s="66">
        <v>117</v>
      </c>
      <c r="L8" s="66">
        <v>117</v>
      </c>
      <c r="M8" s="65">
        <v>117</v>
      </c>
      <c r="N8" s="65">
        <v>117</v>
      </c>
      <c r="O8" s="65">
        <v>117</v>
      </c>
      <c r="P8" s="65"/>
      <c r="Q8" s="65"/>
      <c r="R8" s="65"/>
    </row>
    <row r="9" spans="1:18" x14ac:dyDescent="0.3">
      <c r="A9" s="59" t="s">
        <v>1</v>
      </c>
      <c r="B9" s="65"/>
      <c r="C9" s="66">
        <v>2073</v>
      </c>
      <c r="D9" s="66">
        <v>2073</v>
      </c>
      <c r="E9" s="66">
        <v>2073</v>
      </c>
      <c r="F9" s="66">
        <v>2088</v>
      </c>
      <c r="G9" s="66">
        <v>2188</v>
      </c>
      <c r="H9" s="66">
        <v>2188</v>
      </c>
      <c r="I9" s="66">
        <v>2191</v>
      </c>
      <c r="J9" s="66">
        <v>2193</v>
      </c>
      <c r="K9" s="66">
        <v>2198</v>
      </c>
      <c r="L9" s="66">
        <v>2203</v>
      </c>
      <c r="M9" s="65">
        <v>2205</v>
      </c>
      <c r="N9" s="68">
        <v>2205</v>
      </c>
      <c r="O9" s="68">
        <v>2205</v>
      </c>
      <c r="P9" s="65"/>
      <c r="Q9" s="65"/>
      <c r="R9" s="65"/>
    </row>
    <row r="10" spans="1:18" x14ac:dyDescent="0.3">
      <c r="A10" s="59" t="s">
        <v>67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5"/>
      <c r="N10" s="65"/>
      <c r="O10" s="65"/>
      <c r="P10" s="65"/>
      <c r="Q10" s="65"/>
      <c r="R10" s="65"/>
    </row>
    <row r="11" spans="1:18" x14ac:dyDescent="0.3">
      <c r="A11" s="67" t="s">
        <v>68</v>
      </c>
      <c r="B11" s="65"/>
      <c r="C11" s="66">
        <v>178</v>
      </c>
      <c r="D11" s="66">
        <v>176</v>
      </c>
      <c r="E11" s="66">
        <v>178</v>
      </c>
      <c r="F11" s="66">
        <v>178</v>
      </c>
      <c r="G11" s="66">
        <v>178</v>
      </c>
      <c r="H11" s="66">
        <v>178</v>
      </c>
      <c r="I11" s="66">
        <v>178</v>
      </c>
      <c r="J11" s="66">
        <v>178</v>
      </c>
      <c r="K11" s="66">
        <v>178</v>
      </c>
      <c r="L11" s="66">
        <v>178</v>
      </c>
      <c r="M11" s="65">
        <v>178</v>
      </c>
      <c r="N11" s="65">
        <v>179</v>
      </c>
      <c r="O11" s="65">
        <v>179</v>
      </c>
      <c r="P11" s="65"/>
      <c r="Q11" s="65"/>
      <c r="R11" s="65"/>
    </row>
    <row r="12" spans="1:18" x14ac:dyDescent="0.3">
      <c r="A12" s="67" t="s">
        <v>69</v>
      </c>
      <c r="B12" s="65"/>
      <c r="C12" s="66">
        <v>4</v>
      </c>
      <c r="D12" s="66">
        <v>4</v>
      </c>
      <c r="E12" s="66">
        <v>4</v>
      </c>
      <c r="F12" s="66">
        <v>4</v>
      </c>
      <c r="G12" s="66">
        <v>5</v>
      </c>
      <c r="H12" s="66">
        <v>14</v>
      </c>
      <c r="I12" s="66">
        <v>15</v>
      </c>
      <c r="J12" s="66">
        <v>15</v>
      </c>
      <c r="K12" s="66">
        <v>15</v>
      </c>
      <c r="L12" s="66">
        <v>15</v>
      </c>
      <c r="M12" s="65">
        <v>19</v>
      </c>
      <c r="N12" s="68">
        <v>19</v>
      </c>
      <c r="O12" s="68">
        <v>19</v>
      </c>
      <c r="P12" s="65"/>
      <c r="Q12" s="65"/>
      <c r="R12" s="65"/>
    </row>
    <row r="13" spans="1:18" x14ac:dyDescent="0.3">
      <c r="A13" s="67" t="s">
        <v>70</v>
      </c>
      <c r="B13" s="65"/>
      <c r="C13" s="66">
        <v>287.5</v>
      </c>
      <c r="D13" s="66">
        <v>291.5</v>
      </c>
      <c r="E13" s="66">
        <v>291.5</v>
      </c>
      <c r="F13" s="66">
        <v>291.5</v>
      </c>
      <c r="G13" s="66">
        <v>291.5</v>
      </c>
      <c r="H13" s="66">
        <v>302.5</v>
      </c>
      <c r="I13" s="66">
        <v>308.5</v>
      </c>
      <c r="J13" s="66">
        <v>308.5</v>
      </c>
      <c r="K13" s="66">
        <v>308.5</v>
      </c>
      <c r="L13" s="66">
        <v>299.5</v>
      </c>
      <c r="M13" s="65">
        <v>299.5</v>
      </c>
      <c r="N13" s="68">
        <v>299.5</v>
      </c>
      <c r="O13" s="68">
        <v>299.5</v>
      </c>
      <c r="P13" s="65"/>
      <c r="Q13" s="65"/>
      <c r="R13" s="65"/>
    </row>
    <row r="14" spans="1:18" x14ac:dyDescent="0.3">
      <c r="A14" s="67" t="s">
        <v>71</v>
      </c>
      <c r="B14" s="65"/>
      <c r="C14" s="66">
        <v>25</v>
      </c>
      <c r="D14" s="66">
        <v>25</v>
      </c>
      <c r="E14" s="66">
        <v>25</v>
      </c>
      <c r="F14" s="66">
        <v>25</v>
      </c>
      <c r="G14" s="66">
        <v>25</v>
      </c>
      <c r="H14" s="66">
        <v>25</v>
      </c>
      <c r="I14" s="66">
        <v>25</v>
      </c>
      <c r="J14" s="66">
        <v>25</v>
      </c>
      <c r="K14" s="66">
        <v>25</v>
      </c>
      <c r="L14" s="66">
        <v>25</v>
      </c>
      <c r="M14" s="65">
        <v>25</v>
      </c>
      <c r="N14" s="68">
        <v>25</v>
      </c>
      <c r="O14" s="68">
        <v>25</v>
      </c>
      <c r="P14" s="65"/>
      <c r="Q14" s="65"/>
      <c r="R14" s="65"/>
    </row>
    <row r="15" spans="1:18" s="69" customFormat="1" x14ac:dyDescent="0.3">
      <c r="A15" s="69" t="s">
        <v>29</v>
      </c>
      <c r="B15" s="70"/>
      <c r="C15" s="71">
        <f t="shared" ref="C15:J15" si="0">SUM(C7:C14)</f>
        <v>8429.5</v>
      </c>
      <c r="D15" s="71">
        <f t="shared" si="0"/>
        <v>8431.5</v>
      </c>
      <c r="E15" s="71">
        <f t="shared" si="0"/>
        <v>8484.5</v>
      </c>
      <c r="F15" s="71">
        <f t="shared" si="0"/>
        <v>8499.5</v>
      </c>
      <c r="G15" s="71">
        <f t="shared" si="0"/>
        <v>8609.5</v>
      </c>
      <c r="H15" s="71">
        <f t="shared" si="0"/>
        <v>8641.5</v>
      </c>
      <c r="I15" s="71">
        <f t="shared" si="0"/>
        <v>8658.5</v>
      </c>
      <c r="J15" s="71">
        <f t="shared" si="0"/>
        <v>8691.5</v>
      </c>
      <c r="K15" s="71">
        <f t="shared" ref="K15:O15" si="1">SUM(K7:K14)</f>
        <v>8694.5</v>
      </c>
      <c r="L15" s="71">
        <f t="shared" si="1"/>
        <v>8720.5</v>
      </c>
      <c r="M15" s="71">
        <f t="shared" si="1"/>
        <v>8767.5</v>
      </c>
      <c r="N15" s="71">
        <f t="shared" si="1"/>
        <v>8783.5</v>
      </c>
      <c r="O15" s="71">
        <f t="shared" si="1"/>
        <v>8809.5</v>
      </c>
      <c r="P15" s="70"/>
      <c r="Q15" s="70"/>
      <c r="R15" s="70"/>
    </row>
    <row r="16" spans="1:18" x14ac:dyDescent="0.3">
      <c r="A16" s="59" t="s">
        <v>72</v>
      </c>
      <c r="B16" s="72">
        <f>AVERAGE(C16:R16)</f>
        <v>4.4238617690201924E-2</v>
      </c>
      <c r="D16" s="72">
        <f>+((D15-C15)/C15)*12</f>
        <v>2.8471439587164126E-3</v>
      </c>
      <c r="E16" s="72">
        <f t="shared" ref="E16:O16" si="2">+((E15-D15)/D15)*12</f>
        <v>7.5431417897171324E-2</v>
      </c>
      <c r="F16" s="72">
        <f t="shared" si="2"/>
        <v>2.121515705109317E-2</v>
      </c>
      <c r="G16" s="72">
        <f t="shared" si="2"/>
        <v>0.15530325313253721</v>
      </c>
      <c r="H16" s="72">
        <f t="shared" si="2"/>
        <v>4.4601893257448164E-2</v>
      </c>
      <c r="I16" s="72">
        <f t="shared" si="2"/>
        <v>2.3607012671411215E-2</v>
      </c>
      <c r="J16" s="72">
        <f t="shared" si="2"/>
        <v>4.5735404515793734E-2</v>
      </c>
      <c r="K16" s="72">
        <f t="shared" si="2"/>
        <v>4.1419777943968242E-3</v>
      </c>
      <c r="L16" s="72">
        <f t="shared" si="2"/>
        <v>3.5884754730001731E-2</v>
      </c>
      <c r="M16" s="72">
        <f t="shared" si="2"/>
        <v>6.467519064273837E-2</v>
      </c>
      <c r="N16" s="72">
        <f t="shared" si="2"/>
        <v>2.1899059024807526E-2</v>
      </c>
      <c r="O16" s="72">
        <f t="shared" si="2"/>
        <v>3.5521147606307278E-2</v>
      </c>
    </row>
    <row r="18" spans="3:3" x14ac:dyDescent="0.3">
      <c r="C18" s="66"/>
    </row>
  </sheetData>
  <pageMargins left="0.7" right="0.7" top="0.75" bottom="0.75" header="0.3" footer="0.3"/>
  <pageSetup scale="91" orientation="landscape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8522-38FE-4BCE-A0D7-8F754FEE8BCB}">
  <sheetPr>
    <pageSetUpPr fitToPage="1"/>
  </sheetPr>
  <dimension ref="A1:W105"/>
  <sheetViews>
    <sheetView topLeftCell="A54" zoomScale="115" zoomScaleNormal="115" workbookViewId="0">
      <selection activeCell="E7" sqref="E7"/>
    </sheetView>
  </sheetViews>
  <sheetFormatPr defaultRowHeight="14.4" x14ac:dyDescent="0.3"/>
  <cols>
    <col min="1" max="1" width="60.21875" customWidth="1"/>
    <col min="2" max="2" width="16.77734375" customWidth="1"/>
    <col min="3" max="3" width="17.5546875" customWidth="1"/>
    <col min="4" max="5" width="16.77734375" customWidth="1"/>
    <col min="6" max="9" width="16.44140625" customWidth="1"/>
    <col min="10" max="10" width="8.21875" customWidth="1"/>
    <col min="11" max="12" width="16.44140625" customWidth="1"/>
    <col min="13" max="13" width="5.77734375" customWidth="1"/>
    <col min="14" max="14" width="10.21875" customWidth="1"/>
    <col min="15" max="15" width="12.21875" customWidth="1"/>
    <col min="16" max="16" width="10.44140625" customWidth="1"/>
    <col min="17" max="17" width="12.21875" customWidth="1"/>
    <col min="18" max="18" width="10" customWidth="1"/>
    <col min="19" max="19" width="12.21875" customWidth="1"/>
    <col min="20" max="20" width="9.77734375" customWidth="1"/>
    <col min="21" max="21" width="12.21875" customWidth="1"/>
    <col min="22" max="22" width="9.44140625" customWidth="1"/>
    <col min="23" max="23" width="12.21875" customWidth="1"/>
  </cols>
  <sheetData>
    <row r="1" spans="1:22" ht="25.8" x14ac:dyDescent="0.5">
      <c r="A1" s="87" t="s">
        <v>87</v>
      </c>
    </row>
    <row r="2" spans="1:22" ht="21" x14ac:dyDescent="0.4">
      <c r="A2" s="88"/>
    </row>
    <row r="3" spans="1:22" ht="15.75" customHeight="1" x14ac:dyDescent="0.3">
      <c r="A3" s="12" t="s">
        <v>88</v>
      </c>
      <c r="B3" s="215" t="s">
        <v>157</v>
      </c>
      <c r="C3" s="215" t="s">
        <v>158</v>
      </c>
      <c r="D3" s="118"/>
      <c r="E3" s="215" t="s">
        <v>159</v>
      </c>
      <c r="F3" s="118"/>
    </row>
    <row r="4" spans="1:22" ht="15.75" customHeight="1" x14ac:dyDescent="0.3">
      <c r="A4" s="12" t="s">
        <v>89</v>
      </c>
      <c r="B4" s="215"/>
      <c r="C4" s="215"/>
      <c r="D4" s="118"/>
      <c r="E4" s="215"/>
      <c r="F4" s="118"/>
      <c r="I4" s="79"/>
      <c r="J4" s="79"/>
      <c r="K4" s="79"/>
      <c r="L4" s="79"/>
      <c r="M4" s="79"/>
      <c r="P4" s="79"/>
      <c r="R4" s="79"/>
      <c r="T4" s="79"/>
      <c r="V4" s="79"/>
    </row>
    <row r="5" spans="1:22" x14ac:dyDescent="0.3">
      <c r="A5" s="3" t="s">
        <v>90</v>
      </c>
      <c r="B5" s="215"/>
      <c r="C5" s="215"/>
      <c r="D5" s="118"/>
      <c r="E5" s="215"/>
      <c r="F5" s="118"/>
    </row>
    <row r="6" spans="1:22" x14ac:dyDescent="0.3">
      <c r="A6" s="27" t="s">
        <v>160</v>
      </c>
      <c r="B6" s="79">
        <v>60000</v>
      </c>
      <c r="C6" s="79">
        <f>+B6</f>
        <v>60000</v>
      </c>
      <c r="D6" s="79"/>
      <c r="F6" s="79" t="s">
        <v>126</v>
      </c>
      <c r="I6" s="79"/>
      <c r="J6" s="79"/>
      <c r="K6" s="79"/>
      <c r="L6" s="79"/>
    </row>
    <row r="7" spans="1:22" x14ac:dyDescent="0.3">
      <c r="A7" s="89" t="s">
        <v>161</v>
      </c>
      <c r="B7" s="79">
        <v>8743753</v>
      </c>
      <c r="C7" s="79">
        <f>+B7-E7</f>
        <v>7926673</v>
      </c>
      <c r="D7" s="79"/>
      <c r="E7" s="79">
        <v>817080</v>
      </c>
      <c r="F7" s="79" t="s">
        <v>162</v>
      </c>
      <c r="I7" s="79"/>
      <c r="J7" s="79"/>
      <c r="K7" s="79"/>
      <c r="L7" s="79"/>
    </row>
    <row r="8" spans="1:22" x14ac:dyDescent="0.3">
      <c r="A8" s="27" t="s">
        <v>163</v>
      </c>
      <c r="B8" s="79">
        <v>1090070</v>
      </c>
      <c r="C8" s="79"/>
      <c r="D8" s="79"/>
      <c r="E8" s="79"/>
      <c r="F8" s="79"/>
      <c r="G8" s="79"/>
      <c r="I8" s="79"/>
      <c r="J8" s="79"/>
      <c r="K8" s="79"/>
      <c r="L8" s="79"/>
    </row>
    <row r="9" spans="1:22" x14ac:dyDescent="0.3">
      <c r="A9" s="89" t="s">
        <v>164</v>
      </c>
      <c r="B9" s="79">
        <v>500938</v>
      </c>
      <c r="C9" s="79"/>
      <c r="D9" s="79"/>
      <c r="E9" s="79"/>
      <c r="F9" s="79"/>
      <c r="G9" s="79"/>
      <c r="I9" s="79"/>
      <c r="J9" s="79"/>
      <c r="K9" s="79"/>
      <c r="L9" s="79"/>
    </row>
    <row r="10" spans="1:22" x14ac:dyDescent="0.3">
      <c r="A10" s="27" t="s">
        <v>165</v>
      </c>
      <c r="B10" s="79">
        <v>129003</v>
      </c>
      <c r="C10" s="79">
        <v>129003</v>
      </c>
      <c r="D10" s="79"/>
      <c r="G10" s="79"/>
      <c r="I10" s="79"/>
      <c r="J10" s="79"/>
      <c r="K10" s="79"/>
      <c r="L10" s="79"/>
    </row>
    <row r="11" spans="1:22" x14ac:dyDescent="0.3">
      <c r="A11" s="27" t="s">
        <v>166</v>
      </c>
      <c r="B11" s="79">
        <v>729541</v>
      </c>
      <c r="C11" s="79">
        <v>729541</v>
      </c>
      <c r="D11" s="79"/>
      <c r="E11" s="79"/>
      <c r="F11" s="79"/>
      <c r="G11" s="79"/>
      <c r="I11" s="79"/>
      <c r="J11" s="79"/>
      <c r="K11" s="79"/>
      <c r="L11" s="79"/>
    </row>
    <row r="12" spans="1:22" x14ac:dyDescent="0.3">
      <c r="A12" s="27" t="s">
        <v>167</v>
      </c>
      <c r="B12" s="79">
        <v>1600000</v>
      </c>
      <c r="C12" s="79"/>
      <c r="D12" s="79"/>
      <c r="E12" s="79"/>
      <c r="F12" s="79"/>
      <c r="G12" s="79"/>
      <c r="I12" s="79"/>
      <c r="J12" s="79"/>
      <c r="K12" s="79"/>
      <c r="L12" s="79"/>
    </row>
    <row r="13" spans="1:22" x14ac:dyDescent="0.3">
      <c r="A13" s="53"/>
      <c r="B13" s="79"/>
      <c r="C13" s="79"/>
      <c r="D13" s="79"/>
      <c r="E13" s="79"/>
      <c r="F13" s="79"/>
      <c r="G13" s="79"/>
      <c r="I13" s="79"/>
      <c r="J13" s="79"/>
      <c r="K13" s="79"/>
      <c r="L13" s="79"/>
    </row>
    <row r="14" spans="1:22" x14ac:dyDescent="0.3">
      <c r="A14" s="53" t="s">
        <v>91</v>
      </c>
      <c r="B14" s="79">
        <f>+SUM(B6:B12)</f>
        <v>12853305</v>
      </c>
      <c r="C14" s="79">
        <f>+SUM(C6:C12)</f>
        <v>8845217</v>
      </c>
      <c r="D14" s="79"/>
      <c r="E14" s="79">
        <f>+SUM(E6:E12)</f>
        <v>817080</v>
      </c>
      <c r="F14" s="79"/>
      <c r="M14" s="79"/>
    </row>
    <row r="15" spans="1:22" x14ac:dyDescent="0.3">
      <c r="A15" s="53"/>
      <c r="C15" s="79"/>
      <c r="D15" s="79"/>
      <c r="E15" s="79"/>
      <c r="F15" s="79"/>
      <c r="M15" s="79"/>
    </row>
    <row r="16" spans="1:22" ht="15.6" x14ac:dyDescent="0.3">
      <c r="A16" s="90" t="s">
        <v>92</v>
      </c>
      <c r="B16" s="79"/>
      <c r="C16" s="79"/>
      <c r="D16" s="79"/>
      <c r="I16" s="79"/>
      <c r="J16" s="79"/>
      <c r="K16" s="79"/>
      <c r="L16" s="79"/>
      <c r="M16" s="79"/>
    </row>
    <row r="17" spans="1:23" ht="15" hidden="1" customHeight="1" x14ac:dyDescent="0.3">
      <c r="A17" t="s">
        <v>93</v>
      </c>
      <c r="B17" s="79"/>
    </row>
    <row r="18" spans="1:23" ht="15" hidden="1" customHeight="1" x14ac:dyDescent="0.3">
      <c r="A18" s="28" t="s">
        <v>94</v>
      </c>
      <c r="B18" s="79">
        <v>0</v>
      </c>
      <c r="C18" t="s">
        <v>95</v>
      </c>
    </row>
    <row r="19" spans="1:23" ht="15" hidden="1" customHeight="1" x14ac:dyDescent="0.3">
      <c r="A19" s="28" t="s">
        <v>96</v>
      </c>
      <c r="B19" s="79">
        <v>0</v>
      </c>
      <c r="C19" t="s">
        <v>97</v>
      </c>
    </row>
    <row r="20" spans="1:23" ht="15" hidden="1" customHeight="1" x14ac:dyDescent="0.3">
      <c r="A20" s="28" t="s">
        <v>83</v>
      </c>
      <c r="B20" s="79" t="s">
        <v>98</v>
      </c>
      <c r="C20" t="s">
        <v>99</v>
      </c>
    </row>
    <row r="21" spans="1:23" ht="15" hidden="1" customHeight="1" x14ac:dyDescent="0.3">
      <c r="A21" s="28" t="s">
        <v>86</v>
      </c>
      <c r="B21" s="79" t="s">
        <v>98</v>
      </c>
      <c r="C21" t="s">
        <v>100</v>
      </c>
    </row>
    <row r="22" spans="1:23" x14ac:dyDescent="0.3">
      <c r="A22" s="53" t="s">
        <v>101</v>
      </c>
      <c r="B22" s="79">
        <v>2440971</v>
      </c>
      <c r="C22" s="79">
        <f>+B22</f>
        <v>2440971</v>
      </c>
      <c r="D22" t="s">
        <v>168</v>
      </c>
      <c r="E22" t="s">
        <v>169</v>
      </c>
    </row>
    <row r="23" spans="1:23" hidden="1" x14ac:dyDescent="0.3">
      <c r="A23" s="53" t="s">
        <v>102</v>
      </c>
      <c r="B23" s="79"/>
    </row>
    <row r="24" spans="1:23" hidden="1" x14ac:dyDescent="0.3">
      <c r="A24" s="28" t="s">
        <v>103</v>
      </c>
      <c r="B24" s="91" t="s">
        <v>104</v>
      </c>
      <c r="C24" t="s">
        <v>105</v>
      </c>
    </row>
    <row r="25" spans="1:23" s="94" customFormat="1" ht="30" hidden="1" customHeight="1" x14ac:dyDescent="0.3">
      <c r="A25" s="92" t="s">
        <v>106</v>
      </c>
      <c r="B25" s="93" t="s">
        <v>104</v>
      </c>
      <c r="C25" s="216" t="s">
        <v>107</v>
      </c>
      <c r="D25" s="216"/>
      <c r="E25" s="216"/>
      <c r="F25" s="216"/>
      <c r="G25" s="216"/>
      <c r="H25" s="216"/>
      <c r="I25" s="216"/>
      <c r="J25" s="115"/>
      <c r="K25" s="115"/>
      <c r="L25" s="115"/>
    </row>
    <row r="26" spans="1:23" hidden="1" x14ac:dyDescent="0.3">
      <c r="A26" s="28" t="s">
        <v>108</v>
      </c>
      <c r="B26" s="91" t="s">
        <v>104</v>
      </c>
      <c r="C26" t="s">
        <v>109</v>
      </c>
    </row>
    <row r="27" spans="1:23" hidden="1" x14ac:dyDescent="0.3">
      <c r="A27" s="28" t="s">
        <v>110</v>
      </c>
      <c r="B27" s="91" t="s">
        <v>104</v>
      </c>
    </row>
    <row r="28" spans="1:23" hidden="1" x14ac:dyDescent="0.3">
      <c r="A28" s="53" t="s">
        <v>111</v>
      </c>
      <c r="B28" s="79">
        <f>SUM(B17:B22)</f>
        <v>2440971</v>
      </c>
    </row>
    <row r="29" spans="1:23" x14ac:dyDescent="0.3">
      <c r="A29" s="28"/>
      <c r="B29" s="79"/>
    </row>
    <row r="30" spans="1:23" ht="18" x14ac:dyDescent="0.35">
      <c r="A30" s="90" t="s">
        <v>112</v>
      </c>
      <c r="C30" s="79">
        <f>+C14+B28</f>
        <v>11286188</v>
      </c>
      <c r="N30" s="101" t="s">
        <v>127</v>
      </c>
      <c r="O30" s="102"/>
      <c r="P30" s="101" t="s">
        <v>128</v>
      </c>
      <c r="Q30" s="102"/>
      <c r="R30" s="101" t="s">
        <v>129</v>
      </c>
      <c r="S30" s="102"/>
      <c r="T30" s="101" t="s">
        <v>130</v>
      </c>
      <c r="U30" s="102"/>
      <c r="V30" s="101" t="s">
        <v>131</v>
      </c>
      <c r="W30" s="103"/>
    </row>
    <row r="31" spans="1:23" x14ac:dyDescent="0.3">
      <c r="A31" s="119" t="s">
        <v>170</v>
      </c>
      <c r="B31" s="97">
        <v>1045861</v>
      </c>
      <c r="C31" s="97" t="s">
        <v>171</v>
      </c>
      <c r="D31" s="97"/>
      <c r="E31" s="97"/>
      <c r="N31" s="104" t="s">
        <v>172</v>
      </c>
      <c r="O31" s="103"/>
      <c r="P31" s="104" t="s">
        <v>173</v>
      </c>
      <c r="Q31" s="103"/>
      <c r="R31" s="104" t="s">
        <v>174</v>
      </c>
      <c r="S31" s="103"/>
      <c r="T31" s="104" t="s">
        <v>175</v>
      </c>
      <c r="U31" s="103"/>
      <c r="V31" s="104" t="s">
        <v>176</v>
      </c>
      <c r="W31" s="103"/>
    </row>
    <row r="32" spans="1:23" x14ac:dyDescent="0.3">
      <c r="A32" s="28"/>
      <c r="B32" s="79"/>
      <c r="N32" s="104"/>
      <c r="O32" s="103"/>
      <c r="P32" s="104"/>
      <c r="Q32" s="103"/>
      <c r="R32" s="104"/>
      <c r="S32" s="103"/>
      <c r="T32" s="104"/>
      <c r="U32" s="103"/>
      <c r="V32" s="104"/>
      <c r="W32" s="103"/>
    </row>
    <row r="33" spans="1:23" ht="15.6" x14ac:dyDescent="0.3">
      <c r="A33" s="12" t="s">
        <v>113</v>
      </c>
      <c r="B33" s="79"/>
      <c r="C33" s="22"/>
      <c r="D33" s="22"/>
      <c r="E33" s="22"/>
      <c r="N33" s="105" t="s">
        <v>132</v>
      </c>
      <c r="O33" s="106" t="s">
        <v>133</v>
      </c>
      <c r="P33" s="105" t="s">
        <v>132</v>
      </c>
      <c r="Q33" s="106" t="s">
        <v>133</v>
      </c>
      <c r="R33" s="105" t="s">
        <v>132</v>
      </c>
      <c r="S33" s="106" t="s">
        <v>133</v>
      </c>
      <c r="T33" s="105" t="s">
        <v>132</v>
      </c>
      <c r="U33" s="106" t="s">
        <v>133</v>
      </c>
      <c r="V33" s="105" t="s">
        <v>132</v>
      </c>
      <c r="W33" s="106" t="s">
        <v>133</v>
      </c>
    </row>
    <row r="34" spans="1:23" x14ac:dyDescent="0.3">
      <c r="A34" s="28"/>
      <c r="B34" s="79"/>
      <c r="C34" s="22"/>
      <c r="D34" s="22"/>
      <c r="E34" s="22"/>
      <c r="N34" s="104"/>
      <c r="O34" s="103"/>
      <c r="P34" s="104"/>
      <c r="Q34" s="103"/>
      <c r="R34" s="104"/>
      <c r="S34" s="103"/>
      <c r="T34" s="104"/>
      <c r="U34" s="103"/>
      <c r="V34" s="104"/>
      <c r="W34" s="103"/>
    </row>
    <row r="35" spans="1:23" x14ac:dyDescent="0.3">
      <c r="A35" s="95" t="s">
        <v>177</v>
      </c>
      <c r="B35" s="79">
        <f>+SUM('Const cost'!B8:H8)</f>
        <v>14404822</v>
      </c>
      <c r="C35" s="22"/>
      <c r="D35" s="22"/>
      <c r="E35" s="22"/>
      <c r="N35" s="104"/>
      <c r="O35" s="103"/>
      <c r="P35" s="104"/>
      <c r="Q35" s="103"/>
      <c r="R35" s="104"/>
      <c r="S35" s="103"/>
      <c r="T35" s="104"/>
      <c r="U35" s="103"/>
      <c r="V35" s="104"/>
      <c r="W35" s="103"/>
    </row>
    <row r="36" spans="1:23" x14ac:dyDescent="0.3">
      <c r="A36" s="28"/>
      <c r="B36" s="79"/>
      <c r="C36" s="22"/>
      <c r="D36" s="22"/>
      <c r="E36" s="22"/>
      <c r="N36" s="104"/>
      <c r="O36" s="103"/>
      <c r="P36" s="104"/>
      <c r="Q36" s="103"/>
      <c r="R36" s="104"/>
      <c r="S36" s="103"/>
      <c r="T36" s="104"/>
      <c r="U36" s="103"/>
      <c r="V36" s="104"/>
      <c r="W36" s="103"/>
    </row>
    <row r="37" spans="1:23" ht="15" customHeight="1" x14ac:dyDescent="0.3">
      <c r="A37" s="28"/>
      <c r="B37" s="79"/>
      <c r="G37" s="53"/>
      <c r="M37" s="109"/>
      <c r="N37" s="107"/>
      <c r="O37" s="108"/>
      <c r="P37" s="107"/>
      <c r="Q37" s="108"/>
      <c r="R37" s="107"/>
      <c r="S37" s="108"/>
      <c r="T37" s="107"/>
      <c r="U37" s="108"/>
      <c r="V37" s="107"/>
      <c r="W37" s="108"/>
    </row>
    <row r="38" spans="1:23" ht="15" customHeight="1" x14ac:dyDescent="0.3">
      <c r="A38" s="28"/>
      <c r="B38" s="79" t="s">
        <v>114</v>
      </c>
      <c r="C38" s="111">
        <v>2.4E-2</v>
      </c>
      <c r="D38" s="79" t="s">
        <v>114</v>
      </c>
      <c r="E38" s="120" t="s">
        <v>178</v>
      </c>
      <c r="F38" s="110">
        <v>0.08</v>
      </c>
      <c r="G38" s="110">
        <v>0.04</v>
      </c>
      <c r="H38" s="111">
        <v>2.5000000000000001E-3</v>
      </c>
      <c r="M38" s="109"/>
      <c r="N38" s="107"/>
      <c r="O38" s="108"/>
      <c r="P38" s="107"/>
      <c r="Q38" s="108"/>
      <c r="R38" s="107"/>
      <c r="S38" s="108"/>
      <c r="T38" s="107"/>
      <c r="U38" s="108"/>
      <c r="V38" s="107"/>
      <c r="W38" s="108"/>
    </row>
    <row r="39" spans="1:23" x14ac:dyDescent="0.3">
      <c r="A39" s="95" t="s">
        <v>179</v>
      </c>
      <c r="B39" s="121" t="s">
        <v>180</v>
      </c>
      <c r="C39" s="51" t="s">
        <v>181</v>
      </c>
      <c r="D39" s="121" t="s">
        <v>182</v>
      </c>
      <c r="E39" s="79"/>
      <c r="F39" s="28" t="s">
        <v>134</v>
      </c>
      <c r="G39" s="28" t="s">
        <v>183</v>
      </c>
      <c r="H39" s="51" t="s">
        <v>135</v>
      </c>
      <c r="I39" s="51" t="s">
        <v>115</v>
      </c>
      <c r="J39" s="51"/>
      <c r="K39" s="51"/>
      <c r="L39" s="51"/>
      <c r="N39" s="107"/>
      <c r="O39" s="108"/>
      <c r="P39" s="107"/>
      <c r="Q39" s="108"/>
      <c r="R39" s="107"/>
      <c r="S39" s="108"/>
      <c r="T39" s="107"/>
      <c r="U39" s="108"/>
      <c r="V39" s="107"/>
      <c r="W39" s="108"/>
    </row>
    <row r="40" spans="1:23" x14ac:dyDescent="0.3">
      <c r="A40" s="96" t="s">
        <v>116</v>
      </c>
      <c r="B40" s="79">
        <f>+D40*(1-$C$38)</f>
        <v>3332747.1999999997</v>
      </c>
      <c r="C40" s="79">
        <f>+$B40*C$38</f>
        <v>79985.932799999995</v>
      </c>
      <c r="D40" s="79">
        <v>3414700</v>
      </c>
      <c r="E40" s="79"/>
      <c r="F40" s="79">
        <f>+$D40*F$38</f>
        <v>273176</v>
      </c>
      <c r="G40" s="79">
        <f>+$D40*G$38</f>
        <v>136588</v>
      </c>
      <c r="H40" s="79">
        <f>+$D40*H$38</f>
        <v>8536.75</v>
      </c>
      <c r="I40" s="79">
        <f>+SUM(D40:H40)</f>
        <v>3833000.75</v>
      </c>
      <c r="J40" s="79"/>
      <c r="K40" s="79"/>
      <c r="L40" s="79"/>
      <c r="N40" s="107"/>
      <c r="O40" s="108">
        <f>+IF(N40="x",$I40,0)</f>
        <v>0</v>
      </c>
      <c r="P40" s="107" t="s">
        <v>117</v>
      </c>
      <c r="Q40" s="108">
        <f>+IF(P40="x",$I40,0)</f>
        <v>3833000.75</v>
      </c>
      <c r="R40" s="107"/>
      <c r="S40" s="108">
        <f>+IF(R40="x",$I40,0)</f>
        <v>0</v>
      </c>
      <c r="T40" s="107"/>
      <c r="U40" s="108">
        <f>+IF(T40="x",$I40,0)</f>
        <v>0</v>
      </c>
      <c r="V40" s="107" t="s">
        <v>117</v>
      </c>
      <c r="W40" s="108">
        <f>+IF(V40="x",$I40,0)</f>
        <v>3833000.75</v>
      </c>
    </row>
    <row r="41" spans="1:23" x14ac:dyDescent="0.3">
      <c r="A41" s="96" t="s">
        <v>118</v>
      </c>
      <c r="B41" s="79">
        <f t="shared" ref="B41:B45" si="0">+D41*(1-$C$38)</f>
        <v>5490878.3999999994</v>
      </c>
      <c r="C41" s="79"/>
      <c r="D41" s="79">
        <v>5625900</v>
      </c>
      <c r="E41" s="79"/>
      <c r="F41" s="79">
        <f t="shared" ref="F41:H56" si="1">+$D41*F$38</f>
        <v>450072</v>
      </c>
      <c r="G41" s="79">
        <f t="shared" si="1"/>
        <v>225036</v>
      </c>
      <c r="H41" s="79">
        <f t="shared" si="1"/>
        <v>14064.75</v>
      </c>
      <c r="I41" s="79">
        <f t="shared" ref="I41:I56" si="2">+SUM(D41:H41)</f>
        <v>6315072.75</v>
      </c>
      <c r="J41" s="79"/>
      <c r="K41" s="79"/>
      <c r="L41" s="79"/>
      <c r="N41" s="107"/>
      <c r="O41" s="108"/>
      <c r="P41" s="107"/>
      <c r="Q41" s="108"/>
      <c r="R41" s="107"/>
      <c r="S41" s="108"/>
      <c r="T41" s="107"/>
      <c r="U41" s="108"/>
      <c r="V41" s="107"/>
      <c r="W41" s="108"/>
    </row>
    <row r="42" spans="1:23" x14ac:dyDescent="0.3">
      <c r="A42" s="96" t="s">
        <v>137</v>
      </c>
      <c r="B42" s="79">
        <f t="shared" si="0"/>
        <v>2894620.8</v>
      </c>
      <c r="C42" s="79">
        <f t="shared" ref="C42:C46" si="3">+$B42*C$38</f>
        <v>69470.8992</v>
      </c>
      <c r="D42" s="79">
        <v>2965800</v>
      </c>
      <c r="E42" s="79"/>
      <c r="F42" s="79">
        <f t="shared" si="1"/>
        <v>237264</v>
      </c>
      <c r="G42" s="79">
        <f t="shared" si="1"/>
        <v>118632</v>
      </c>
      <c r="H42" s="79">
        <f t="shared" si="1"/>
        <v>7414.5</v>
      </c>
      <c r="I42" s="79">
        <f t="shared" si="2"/>
        <v>3329110.5</v>
      </c>
      <c r="J42" s="79"/>
      <c r="K42" s="79"/>
      <c r="L42" s="79"/>
      <c r="N42" s="107"/>
      <c r="O42" s="108">
        <f t="shared" ref="O42:Q46" si="4">+IF(N42="x",$I42,0)</f>
        <v>0</v>
      </c>
      <c r="P42" s="107"/>
      <c r="Q42" s="108">
        <f t="shared" si="4"/>
        <v>0</v>
      </c>
      <c r="R42" s="107" t="s">
        <v>117</v>
      </c>
      <c r="S42" s="108">
        <f t="shared" ref="S42" si="5">+IF(R42="x",$I42,0)</f>
        <v>3329110.5</v>
      </c>
      <c r="T42" s="107" t="s">
        <v>117</v>
      </c>
      <c r="U42" s="108">
        <f t="shared" ref="U42:W45" si="6">+IF(T42="x",$I42,0)</f>
        <v>3329110.5</v>
      </c>
      <c r="V42" s="107" t="s">
        <v>117</v>
      </c>
      <c r="W42" s="108">
        <f t="shared" si="6"/>
        <v>3329110.5</v>
      </c>
    </row>
    <row r="43" spans="1:23" x14ac:dyDescent="0.3">
      <c r="A43" s="96" t="s">
        <v>119</v>
      </c>
      <c r="B43" s="79">
        <f t="shared" si="0"/>
        <v>16112686.4</v>
      </c>
      <c r="C43" s="79">
        <f t="shared" si="3"/>
        <v>386704.47360000003</v>
      </c>
      <c r="D43" s="79">
        <v>16508900</v>
      </c>
      <c r="E43" s="79"/>
      <c r="F43" s="79">
        <f t="shared" si="1"/>
        <v>1320712</v>
      </c>
      <c r="G43" s="79">
        <f t="shared" si="1"/>
        <v>660356</v>
      </c>
      <c r="H43" s="79">
        <f t="shared" si="1"/>
        <v>41272.25</v>
      </c>
      <c r="I43" s="79">
        <f t="shared" si="2"/>
        <v>18531240.25</v>
      </c>
      <c r="J43" s="79"/>
      <c r="K43" s="79"/>
      <c r="L43" s="79"/>
      <c r="N43" s="107"/>
      <c r="O43" s="108">
        <f t="shared" si="4"/>
        <v>0</v>
      </c>
      <c r="P43" s="107"/>
      <c r="Q43" s="108">
        <f t="shared" si="4"/>
        <v>0</v>
      </c>
      <c r="R43" s="107" t="s">
        <v>117</v>
      </c>
      <c r="S43" s="113">
        <v>12000000</v>
      </c>
      <c r="T43" s="107" t="s">
        <v>117</v>
      </c>
      <c r="U43" s="108">
        <f>+I43</f>
        <v>18531240.25</v>
      </c>
      <c r="V43" s="107" t="s">
        <v>117</v>
      </c>
      <c r="W43" s="108">
        <f t="shared" si="6"/>
        <v>18531240.25</v>
      </c>
    </row>
    <row r="44" spans="1:23" x14ac:dyDescent="0.3">
      <c r="A44" s="96" t="s">
        <v>184</v>
      </c>
      <c r="B44" s="97">
        <f t="shared" si="0"/>
        <v>0</v>
      </c>
      <c r="C44" s="79">
        <f t="shared" si="3"/>
        <v>0</v>
      </c>
      <c r="D44" s="79">
        <v>0</v>
      </c>
      <c r="E44" s="79"/>
      <c r="F44" s="79">
        <f t="shared" si="1"/>
        <v>0</v>
      </c>
      <c r="G44" s="79">
        <f t="shared" si="1"/>
        <v>0</v>
      </c>
      <c r="H44" s="79">
        <f t="shared" si="1"/>
        <v>0</v>
      </c>
      <c r="I44" s="79">
        <f t="shared" si="2"/>
        <v>0</v>
      </c>
      <c r="J44" s="79"/>
      <c r="K44" s="79"/>
      <c r="L44" s="79"/>
      <c r="N44" s="107"/>
      <c r="O44" s="108">
        <f t="shared" si="4"/>
        <v>0</v>
      </c>
      <c r="P44" s="107" t="s">
        <v>117</v>
      </c>
      <c r="Q44" s="108">
        <f t="shared" si="4"/>
        <v>0</v>
      </c>
      <c r="R44" s="107" t="s">
        <v>117</v>
      </c>
      <c r="S44" s="108">
        <f t="shared" ref="S44:S45" si="7">+IF(R44="x",$I44,0)</f>
        <v>0</v>
      </c>
      <c r="T44" s="107" t="s">
        <v>117</v>
      </c>
      <c r="U44" s="108">
        <f t="shared" ref="U44:U45" si="8">+IF(T44="x",$I44,0)</f>
        <v>0</v>
      </c>
      <c r="V44" s="107" t="s">
        <v>117</v>
      </c>
      <c r="W44" s="108">
        <f t="shared" si="6"/>
        <v>0</v>
      </c>
    </row>
    <row r="45" spans="1:23" x14ac:dyDescent="0.3">
      <c r="A45" s="96" t="s">
        <v>120</v>
      </c>
      <c r="B45" s="79">
        <f t="shared" si="0"/>
        <v>188953.60000000001</v>
      </c>
      <c r="C45" s="79">
        <f t="shared" si="3"/>
        <v>4534.8864000000003</v>
      </c>
      <c r="D45" s="79">
        <v>193600</v>
      </c>
      <c r="E45" s="79"/>
      <c r="F45" s="79">
        <f t="shared" si="1"/>
        <v>15488</v>
      </c>
      <c r="G45" s="79">
        <f t="shared" si="1"/>
        <v>7744</v>
      </c>
      <c r="H45" s="79">
        <f t="shared" si="1"/>
        <v>484</v>
      </c>
      <c r="I45" s="79">
        <f t="shared" si="2"/>
        <v>217316</v>
      </c>
      <c r="J45" s="79"/>
      <c r="K45" s="79"/>
      <c r="L45" s="79"/>
      <c r="N45" s="107"/>
      <c r="O45" s="108">
        <f t="shared" si="4"/>
        <v>0</v>
      </c>
      <c r="P45" s="107" t="s">
        <v>117</v>
      </c>
      <c r="Q45" s="108">
        <f t="shared" si="4"/>
        <v>217316</v>
      </c>
      <c r="R45" s="107" t="s">
        <v>117</v>
      </c>
      <c r="S45" s="108">
        <f t="shared" si="7"/>
        <v>217316</v>
      </c>
      <c r="T45" s="107" t="s">
        <v>117</v>
      </c>
      <c r="U45" s="108">
        <f t="shared" si="8"/>
        <v>217316</v>
      </c>
      <c r="V45" s="107" t="s">
        <v>117</v>
      </c>
      <c r="W45" s="108">
        <f t="shared" si="6"/>
        <v>217316</v>
      </c>
    </row>
    <row r="46" spans="1:23" x14ac:dyDescent="0.3">
      <c r="A46" s="96" t="s">
        <v>185</v>
      </c>
      <c r="B46" s="97">
        <v>200000</v>
      </c>
      <c r="C46" s="79">
        <f t="shared" si="3"/>
        <v>4800</v>
      </c>
      <c r="D46" s="79">
        <v>200000</v>
      </c>
      <c r="E46" s="79"/>
      <c r="F46" s="79">
        <f t="shared" si="1"/>
        <v>16000</v>
      </c>
      <c r="G46" s="79">
        <f t="shared" si="1"/>
        <v>8000</v>
      </c>
      <c r="H46" s="79">
        <f t="shared" si="1"/>
        <v>500</v>
      </c>
      <c r="I46" s="79">
        <f t="shared" si="2"/>
        <v>224500</v>
      </c>
      <c r="J46" s="79"/>
      <c r="K46" s="79"/>
      <c r="L46" s="79"/>
      <c r="N46" s="107"/>
      <c r="O46" s="108">
        <f t="shared" si="4"/>
        <v>0</v>
      </c>
      <c r="P46" s="107"/>
      <c r="Q46" s="108"/>
      <c r="R46" s="107"/>
      <c r="S46" s="108"/>
      <c r="T46" s="107"/>
      <c r="U46" s="108"/>
      <c r="V46" s="107"/>
      <c r="W46" s="108"/>
    </row>
    <row r="47" spans="1:23" x14ac:dyDescent="0.3">
      <c r="A47" s="96" t="s">
        <v>186</v>
      </c>
      <c r="B47" s="97"/>
      <c r="C47" s="79"/>
      <c r="D47" s="79"/>
      <c r="E47" s="79"/>
      <c r="F47" s="79"/>
      <c r="G47" s="79"/>
      <c r="H47" s="79"/>
      <c r="I47" s="79">
        <f t="shared" si="2"/>
        <v>0</v>
      </c>
      <c r="J47" s="79"/>
      <c r="K47" s="79"/>
      <c r="L47" s="79"/>
      <c r="N47" s="107"/>
      <c r="O47" s="108"/>
      <c r="P47" s="107"/>
      <c r="Q47" s="108"/>
      <c r="R47" s="107"/>
      <c r="S47" s="108"/>
      <c r="T47" s="107"/>
      <c r="U47" s="108"/>
      <c r="V47" s="107"/>
      <c r="W47" s="108"/>
    </row>
    <row r="48" spans="1:23" x14ac:dyDescent="0.3">
      <c r="A48" s="112" t="s">
        <v>187</v>
      </c>
      <c r="B48" s="97"/>
      <c r="C48" s="79"/>
      <c r="D48" s="79">
        <f t="shared" ref="D48:D56" si="9">+B48+C48</f>
        <v>0</v>
      </c>
      <c r="E48" s="79"/>
      <c r="F48" s="79">
        <f t="shared" si="1"/>
        <v>0</v>
      </c>
      <c r="G48" s="79">
        <f t="shared" si="1"/>
        <v>0</v>
      </c>
      <c r="H48" s="79">
        <f t="shared" si="1"/>
        <v>0</v>
      </c>
      <c r="I48" s="79">
        <f t="shared" si="2"/>
        <v>0</v>
      </c>
      <c r="J48" s="79"/>
      <c r="K48" s="79" t="s">
        <v>188</v>
      </c>
      <c r="L48" s="79"/>
      <c r="N48" s="107"/>
      <c r="O48" s="108"/>
      <c r="P48" s="107"/>
      <c r="Q48" s="108"/>
      <c r="R48" s="107"/>
      <c r="S48" s="108"/>
      <c r="T48" s="107"/>
      <c r="U48" s="108"/>
      <c r="V48" s="107"/>
      <c r="W48" s="108"/>
    </row>
    <row r="49" spans="1:23" x14ac:dyDescent="0.3">
      <c r="A49" s="112" t="s">
        <v>189</v>
      </c>
      <c r="B49" s="97">
        <v>-536000</v>
      </c>
      <c r="C49" s="79"/>
      <c r="D49" s="79">
        <f t="shared" si="9"/>
        <v>-536000</v>
      </c>
      <c r="E49" s="79"/>
      <c r="F49" s="79">
        <f t="shared" si="1"/>
        <v>-42880</v>
      </c>
      <c r="G49" s="79">
        <f t="shared" si="1"/>
        <v>-21440</v>
      </c>
      <c r="H49" s="79">
        <f t="shared" si="1"/>
        <v>-1340</v>
      </c>
      <c r="I49" s="79">
        <f t="shared" si="2"/>
        <v>-601660</v>
      </c>
      <c r="J49" s="79"/>
      <c r="K49" s="79"/>
      <c r="L49" s="79"/>
      <c r="N49" s="107"/>
      <c r="O49" s="108"/>
      <c r="P49" s="107"/>
      <c r="Q49" s="108"/>
      <c r="R49" s="107"/>
      <c r="S49" s="108"/>
      <c r="T49" s="107"/>
      <c r="U49" s="108"/>
      <c r="V49" s="107"/>
      <c r="W49" s="108"/>
    </row>
    <row r="50" spans="1:23" x14ac:dyDescent="0.3">
      <c r="A50" s="112" t="s">
        <v>190</v>
      </c>
      <c r="B50" s="97"/>
      <c r="C50" s="79"/>
      <c r="D50" s="79"/>
      <c r="E50" s="79"/>
      <c r="F50" s="79">
        <f t="shared" si="1"/>
        <v>0</v>
      </c>
      <c r="G50" s="79">
        <f t="shared" si="1"/>
        <v>0</v>
      </c>
      <c r="H50" s="79">
        <f t="shared" si="1"/>
        <v>0</v>
      </c>
      <c r="I50" s="79">
        <f t="shared" si="2"/>
        <v>0</v>
      </c>
      <c r="J50" s="79"/>
      <c r="K50" s="79"/>
      <c r="L50" s="79"/>
      <c r="N50" s="107"/>
      <c r="O50" s="108"/>
      <c r="P50" s="107"/>
      <c r="Q50" s="108"/>
      <c r="R50" s="107"/>
      <c r="S50" s="108"/>
      <c r="T50" s="107"/>
      <c r="U50" s="108"/>
      <c r="V50" s="107"/>
      <c r="W50" s="108"/>
    </row>
    <row r="51" spans="1:23" x14ac:dyDescent="0.3">
      <c r="A51" s="112" t="s">
        <v>191</v>
      </c>
      <c r="B51" s="97">
        <v>-186000</v>
      </c>
      <c r="C51" s="79"/>
      <c r="D51" s="79">
        <f t="shared" si="9"/>
        <v>-186000</v>
      </c>
      <c r="E51" s="79"/>
      <c r="F51" s="79">
        <f t="shared" si="1"/>
        <v>-14880</v>
      </c>
      <c r="G51" s="79">
        <f t="shared" si="1"/>
        <v>-7440</v>
      </c>
      <c r="H51" s="79">
        <f t="shared" si="1"/>
        <v>-465</v>
      </c>
      <c r="I51" s="79">
        <f t="shared" si="2"/>
        <v>-208785</v>
      </c>
      <c r="J51" s="79"/>
      <c r="K51" s="79"/>
      <c r="L51" s="79"/>
      <c r="N51" s="107"/>
      <c r="O51" s="108"/>
      <c r="P51" s="107"/>
      <c r="Q51" s="108"/>
      <c r="R51" s="107"/>
      <c r="S51" s="108"/>
      <c r="T51" s="107"/>
      <c r="U51" s="108"/>
      <c r="V51" s="107"/>
      <c r="W51" s="108"/>
    </row>
    <row r="52" spans="1:23" x14ac:dyDescent="0.3">
      <c r="A52" s="112" t="s">
        <v>192</v>
      </c>
      <c r="B52" s="97">
        <v>-512000</v>
      </c>
      <c r="C52" s="79"/>
      <c r="D52" s="79">
        <f t="shared" si="9"/>
        <v>-512000</v>
      </c>
      <c r="E52" s="79"/>
      <c r="F52" s="79">
        <f t="shared" si="1"/>
        <v>-40960</v>
      </c>
      <c r="G52" s="79">
        <f t="shared" si="1"/>
        <v>-20480</v>
      </c>
      <c r="H52" s="79">
        <f t="shared" si="1"/>
        <v>-1280</v>
      </c>
      <c r="I52" s="79">
        <f t="shared" si="2"/>
        <v>-574720</v>
      </c>
      <c r="J52" s="79"/>
      <c r="K52" s="79"/>
      <c r="L52" s="79"/>
      <c r="N52" s="107"/>
      <c r="O52" s="108"/>
      <c r="P52" s="107"/>
      <c r="Q52" s="108"/>
      <c r="R52" s="107"/>
      <c r="S52" s="108"/>
      <c r="T52" s="107"/>
      <c r="U52" s="108"/>
      <c r="V52" s="107"/>
      <c r="W52" s="108"/>
    </row>
    <row r="53" spans="1:23" x14ac:dyDescent="0.3">
      <c r="A53" s="112" t="s">
        <v>193</v>
      </c>
      <c r="B53" s="97">
        <v>-450000</v>
      </c>
      <c r="C53" s="79"/>
      <c r="D53" s="79">
        <f t="shared" si="9"/>
        <v>-450000</v>
      </c>
      <c r="E53" s="79"/>
      <c r="F53" s="79">
        <f t="shared" si="1"/>
        <v>-36000</v>
      </c>
      <c r="G53" s="79">
        <f t="shared" si="1"/>
        <v>-18000</v>
      </c>
      <c r="H53" s="79">
        <f t="shared" si="1"/>
        <v>-1125</v>
      </c>
      <c r="I53" s="79">
        <f t="shared" ref="I53:I54" si="10">+SUM(D53:H53)</f>
        <v>-505125</v>
      </c>
      <c r="J53" s="79"/>
      <c r="K53" s="79"/>
      <c r="L53" s="79"/>
      <c r="N53" s="107"/>
      <c r="O53" s="108"/>
      <c r="P53" s="107"/>
      <c r="Q53" s="108"/>
      <c r="R53" s="107"/>
      <c r="S53" s="108"/>
      <c r="T53" s="107"/>
      <c r="U53" s="108"/>
      <c r="V53" s="107"/>
      <c r="W53" s="108"/>
    </row>
    <row r="54" spans="1:23" x14ac:dyDescent="0.3">
      <c r="A54" s="112" t="s">
        <v>194</v>
      </c>
      <c r="B54" s="97">
        <v>-360000</v>
      </c>
      <c r="C54" s="79"/>
      <c r="D54" s="79">
        <f t="shared" si="9"/>
        <v>-360000</v>
      </c>
      <c r="E54" s="79"/>
      <c r="F54" s="79">
        <f t="shared" si="1"/>
        <v>-28800</v>
      </c>
      <c r="G54" s="79">
        <f t="shared" si="1"/>
        <v>-14400</v>
      </c>
      <c r="H54" s="79">
        <f t="shared" si="1"/>
        <v>-900</v>
      </c>
      <c r="I54" s="79">
        <f t="shared" si="10"/>
        <v>-404100</v>
      </c>
      <c r="J54" s="79"/>
      <c r="K54" s="79"/>
      <c r="L54" s="79"/>
      <c r="N54" s="107"/>
      <c r="O54" s="108"/>
      <c r="P54" s="107"/>
      <c r="Q54" s="108"/>
      <c r="R54" s="107"/>
      <c r="S54" s="108"/>
      <c r="T54" s="107"/>
      <c r="U54" s="108"/>
      <c r="V54" s="107"/>
      <c r="W54" s="108"/>
    </row>
    <row r="55" spans="1:23" x14ac:dyDescent="0.3">
      <c r="A55" s="112"/>
      <c r="B55" s="97"/>
      <c r="C55" s="79"/>
      <c r="D55" s="79">
        <f t="shared" si="9"/>
        <v>0</v>
      </c>
      <c r="E55" s="79"/>
      <c r="F55" s="79">
        <f t="shared" si="1"/>
        <v>0</v>
      </c>
      <c r="G55" s="79">
        <f t="shared" si="1"/>
        <v>0</v>
      </c>
      <c r="H55" s="79">
        <f t="shared" si="1"/>
        <v>0</v>
      </c>
      <c r="I55" s="79">
        <f t="shared" si="2"/>
        <v>0</v>
      </c>
      <c r="J55" s="79"/>
      <c r="K55" s="79"/>
      <c r="L55" s="79"/>
      <c r="N55" s="107"/>
      <c r="O55" s="108"/>
      <c r="P55" s="107"/>
      <c r="Q55" s="108"/>
      <c r="R55" s="107"/>
      <c r="S55" s="108"/>
      <c r="T55" s="107"/>
      <c r="U55" s="108"/>
      <c r="V55" s="107"/>
      <c r="W55" s="108"/>
    </row>
    <row r="56" spans="1:23" x14ac:dyDescent="0.3">
      <c r="A56" s="96" t="s">
        <v>195</v>
      </c>
      <c r="B56" s="97"/>
      <c r="C56" s="79">
        <f t="shared" ref="C56" si="11">+$B56*C$38</f>
        <v>0</v>
      </c>
      <c r="D56" s="79">
        <f t="shared" si="9"/>
        <v>0</v>
      </c>
      <c r="E56" s="79"/>
      <c r="F56" s="79">
        <f t="shared" si="1"/>
        <v>0</v>
      </c>
      <c r="G56" s="79">
        <f t="shared" si="1"/>
        <v>0</v>
      </c>
      <c r="H56" s="79">
        <f t="shared" si="1"/>
        <v>0</v>
      </c>
      <c r="I56" s="79">
        <f t="shared" si="2"/>
        <v>0</v>
      </c>
      <c r="J56" s="79"/>
      <c r="K56" s="79"/>
      <c r="L56" s="79"/>
      <c r="N56" s="107"/>
      <c r="O56" s="108"/>
      <c r="P56" s="107"/>
      <c r="Q56" s="108"/>
      <c r="R56" s="107"/>
      <c r="S56" s="108"/>
      <c r="T56" s="107"/>
      <c r="U56" s="108"/>
      <c r="V56" s="107"/>
      <c r="W56" s="108"/>
    </row>
    <row r="57" spans="1:23" x14ac:dyDescent="0.3">
      <c r="A57" s="91" t="s">
        <v>138</v>
      </c>
      <c r="B57" s="79">
        <f t="shared" ref="B57:I57" si="12">SUM(B40:B56)</f>
        <v>26175886.399999999</v>
      </c>
      <c r="C57" s="79">
        <f t="shared" si="12"/>
        <v>545496.19200000004</v>
      </c>
      <c r="D57" s="79">
        <f t="shared" si="12"/>
        <v>26864900</v>
      </c>
      <c r="E57" s="79">
        <f t="shared" si="12"/>
        <v>0</v>
      </c>
      <c r="F57" s="79">
        <f t="shared" si="12"/>
        <v>2149192</v>
      </c>
      <c r="G57" s="79">
        <f t="shared" si="12"/>
        <v>1074596</v>
      </c>
      <c r="H57" s="79">
        <f t="shared" si="12"/>
        <v>67162.25</v>
      </c>
      <c r="I57" s="79">
        <f t="shared" si="12"/>
        <v>30155850.25</v>
      </c>
      <c r="J57" s="79"/>
      <c r="K57" s="79"/>
      <c r="L57" s="79"/>
      <c r="N57" s="107"/>
      <c r="O57" s="108">
        <f>SUM(O40:O56)</f>
        <v>0</v>
      </c>
      <c r="P57" s="107"/>
      <c r="Q57" s="108">
        <f>SUM(Q40:Q56)</f>
        <v>4050316.75</v>
      </c>
      <c r="R57" s="107"/>
      <c r="S57" s="108">
        <f>SUM(S40:S56)</f>
        <v>15546426.5</v>
      </c>
      <c r="T57" s="107"/>
      <c r="U57" s="108">
        <f>SUM(U40:U56)</f>
        <v>22077666.75</v>
      </c>
      <c r="V57" s="107"/>
      <c r="W57" s="108">
        <f>SUM(W40:W56)</f>
        <v>25910667.5</v>
      </c>
    </row>
    <row r="58" spans="1:23" x14ac:dyDescent="0.3">
      <c r="B58" s="79"/>
      <c r="C58" s="53"/>
      <c r="D58" s="53"/>
      <c r="E58" s="53"/>
      <c r="F58" s="53"/>
      <c r="G58" s="53"/>
      <c r="H58" s="53"/>
      <c r="N58" s="107"/>
      <c r="O58" s="108"/>
      <c r="P58" s="107"/>
      <c r="Q58" s="108"/>
      <c r="R58" s="107"/>
      <c r="S58" s="108"/>
      <c r="T58" s="107"/>
      <c r="U58" s="108"/>
      <c r="V58" s="107"/>
      <c r="W58" s="108"/>
    </row>
    <row r="59" spans="1:23" x14ac:dyDescent="0.3">
      <c r="A59" s="28" t="s">
        <v>115</v>
      </c>
      <c r="B59" s="79">
        <f>+I57</f>
        <v>30155850.25</v>
      </c>
      <c r="C59" s="53"/>
      <c r="D59" s="53"/>
      <c r="E59" s="53"/>
      <c r="F59" s="53"/>
      <c r="G59" s="53"/>
      <c r="H59" s="53"/>
      <c r="N59" s="107"/>
      <c r="O59" s="108"/>
      <c r="P59" s="107"/>
      <c r="Q59" s="108"/>
      <c r="R59" s="107"/>
      <c r="S59" s="108"/>
      <c r="T59" s="107"/>
      <c r="U59" s="108"/>
      <c r="V59" s="107"/>
      <c r="W59" s="108"/>
    </row>
    <row r="60" spans="1:23" x14ac:dyDescent="0.3">
      <c r="A60" s="28"/>
      <c r="B60" s="79"/>
      <c r="C60" s="53"/>
      <c r="D60" s="53"/>
      <c r="E60" s="53"/>
      <c r="N60" s="107"/>
      <c r="O60" s="108"/>
      <c r="P60" s="107"/>
      <c r="Q60" s="108"/>
      <c r="R60" s="107"/>
      <c r="S60" s="108"/>
      <c r="T60" s="107"/>
      <c r="U60" s="108"/>
      <c r="V60" s="107"/>
      <c r="W60" s="108"/>
    </row>
    <row r="61" spans="1:23" x14ac:dyDescent="0.3">
      <c r="A61" s="3"/>
      <c r="B61" s="79"/>
    </row>
    <row r="62" spans="1:23" x14ac:dyDescent="0.3">
      <c r="A62" s="98" t="s">
        <v>121</v>
      </c>
      <c r="B62" s="79"/>
    </row>
    <row r="63" spans="1:23" x14ac:dyDescent="0.3">
      <c r="A63" s="28" t="s">
        <v>122</v>
      </c>
      <c r="B63" s="79"/>
    </row>
    <row r="64" spans="1:23" x14ac:dyDescent="0.3">
      <c r="B64" s="79"/>
    </row>
    <row r="65" spans="1:3" x14ac:dyDescent="0.3">
      <c r="B65" s="79"/>
    </row>
    <row r="66" spans="1:3" x14ac:dyDescent="0.3">
      <c r="B66" s="79"/>
    </row>
    <row r="67" spans="1:3" x14ac:dyDescent="0.3">
      <c r="B67" s="79"/>
    </row>
    <row r="68" spans="1:3" x14ac:dyDescent="0.3">
      <c r="B68" s="79"/>
    </row>
    <row r="69" spans="1:3" x14ac:dyDescent="0.3">
      <c r="B69" s="79"/>
    </row>
    <row r="70" spans="1:3" x14ac:dyDescent="0.3">
      <c r="B70" s="79"/>
    </row>
    <row r="71" spans="1:3" x14ac:dyDescent="0.3">
      <c r="A71" s="116" t="s">
        <v>196</v>
      </c>
      <c r="B71" s="79"/>
    </row>
    <row r="72" spans="1:3" x14ac:dyDescent="0.3">
      <c r="A72" s="28" t="s">
        <v>197</v>
      </c>
      <c r="B72" s="79">
        <v>15100000</v>
      </c>
    </row>
    <row r="73" spans="1:3" x14ac:dyDescent="0.3">
      <c r="A73" s="28" t="s">
        <v>198</v>
      </c>
      <c r="B73" s="79">
        <v>1750000</v>
      </c>
      <c r="C73" s="24">
        <f>+B73/B$72</f>
        <v>0.11589403973509933</v>
      </c>
    </row>
    <row r="74" spans="1:3" x14ac:dyDescent="0.3">
      <c r="A74" s="122" t="s">
        <v>199</v>
      </c>
      <c r="B74" s="79">
        <f>+B73-B75</f>
        <v>1190000</v>
      </c>
      <c r="C74" s="24">
        <f t="shared" ref="C74:C75" si="13">+B74/B$72</f>
        <v>7.8807947019867555E-2</v>
      </c>
    </row>
    <row r="75" spans="1:3" x14ac:dyDescent="0.3">
      <c r="A75" s="122" t="s">
        <v>200</v>
      </c>
      <c r="B75" s="79">
        <v>560000</v>
      </c>
      <c r="C75" s="24">
        <f t="shared" si="13"/>
        <v>3.7086092715231792E-2</v>
      </c>
    </row>
    <row r="76" spans="1:3" x14ac:dyDescent="0.3">
      <c r="B76" s="79"/>
    </row>
    <row r="77" spans="1:3" x14ac:dyDescent="0.3">
      <c r="B77" s="79"/>
    </row>
    <row r="78" spans="1:3" x14ac:dyDescent="0.3">
      <c r="B78" s="79"/>
    </row>
    <row r="79" spans="1:3" x14ac:dyDescent="0.3">
      <c r="B79" s="79"/>
    </row>
    <row r="80" spans="1:3" x14ac:dyDescent="0.3">
      <c r="B80" s="79"/>
    </row>
    <row r="81" spans="2:2" x14ac:dyDescent="0.3">
      <c r="B81" s="79"/>
    </row>
    <row r="82" spans="2:2" x14ac:dyDescent="0.3">
      <c r="B82" s="79"/>
    </row>
    <row r="83" spans="2:2" x14ac:dyDescent="0.3">
      <c r="B83" s="79"/>
    </row>
    <row r="84" spans="2:2" x14ac:dyDescent="0.3">
      <c r="B84" s="79"/>
    </row>
    <row r="85" spans="2:2" x14ac:dyDescent="0.3">
      <c r="B85" s="79"/>
    </row>
    <row r="86" spans="2:2" x14ac:dyDescent="0.3">
      <c r="B86" s="79"/>
    </row>
    <row r="87" spans="2:2" x14ac:dyDescent="0.3">
      <c r="B87" s="79"/>
    </row>
    <row r="88" spans="2:2" x14ac:dyDescent="0.3">
      <c r="B88" s="79"/>
    </row>
    <row r="89" spans="2:2" x14ac:dyDescent="0.3">
      <c r="B89" s="79"/>
    </row>
    <row r="90" spans="2:2" x14ac:dyDescent="0.3">
      <c r="B90" s="79"/>
    </row>
    <row r="91" spans="2:2" x14ac:dyDescent="0.3">
      <c r="B91" s="79"/>
    </row>
    <row r="92" spans="2:2" x14ac:dyDescent="0.3">
      <c r="B92" s="79"/>
    </row>
    <row r="93" spans="2:2" x14ac:dyDescent="0.3">
      <c r="B93" s="79"/>
    </row>
    <row r="94" spans="2:2" x14ac:dyDescent="0.3">
      <c r="B94" s="79"/>
    </row>
    <row r="95" spans="2:2" x14ac:dyDescent="0.3">
      <c r="B95" s="79"/>
    </row>
    <row r="96" spans="2:2" x14ac:dyDescent="0.3">
      <c r="B96" s="79"/>
    </row>
    <row r="97" spans="2:2" x14ac:dyDescent="0.3">
      <c r="B97" s="79"/>
    </row>
    <row r="98" spans="2:2" x14ac:dyDescent="0.3">
      <c r="B98" s="79"/>
    </row>
    <row r="99" spans="2:2" x14ac:dyDescent="0.3">
      <c r="B99" s="79"/>
    </row>
    <row r="100" spans="2:2" x14ac:dyDescent="0.3">
      <c r="B100" s="79"/>
    </row>
    <row r="101" spans="2:2" x14ac:dyDescent="0.3">
      <c r="B101" s="79"/>
    </row>
    <row r="102" spans="2:2" x14ac:dyDescent="0.3">
      <c r="B102" s="79"/>
    </row>
    <row r="103" spans="2:2" x14ac:dyDescent="0.3">
      <c r="B103" s="79"/>
    </row>
    <row r="104" spans="2:2" x14ac:dyDescent="0.3">
      <c r="B104" s="79"/>
    </row>
    <row r="105" spans="2:2" x14ac:dyDescent="0.3">
      <c r="B105" s="79"/>
    </row>
  </sheetData>
  <mergeCells count="4">
    <mergeCell ref="B3:B5"/>
    <mergeCell ref="C3:C5"/>
    <mergeCell ref="E3:E5"/>
    <mergeCell ref="C25:I25"/>
  </mergeCells>
  <pageMargins left="0.7" right="0.7" top="0.75" bottom="0.75" header="0.3" footer="0.3"/>
  <pageSetup scale="7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076DD-71DC-4314-967D-0FA248E204A6}">
  <sheetPr>
    <pageSetUpPr fitToPage="1"/>
  </sheetPr>
  <dimension ref="A1:W60"/>
  <sheetViews>
    <sheetView workbookViewId="0">
      <selection activeCell="B51" sqref="B51:L51"/>
    </sheetView>
  </sheetViews>
  <sheetFormatPr defaultRowHeight="14.4" x14ac:dyDescent="0.3"/>
  <cols>
    <col min="1" max="1" width="14.44140625" customWidth="1"/>
    <col min="2" max="3" width="12.77734375" customWidth="1"/>
    <col min="4" max="4" width="13.21875" customWidth="1"/>
    <col min="5" max="5" width="11.44140625" customWidth="1"/>
    <col min="6" max="6" width="16.21875" customWidth="1"/>
    <col min="7" max="7" width="9.21875" customWidth="1"/>
    <col min="8" max="8" width="11" customWidth="1"/>
    <col min="9" max="10" width="12.77734375" customWidth="1"/>
    <col min="11" max="11" width="13.21875" customWidth="1"/>
    <col min="12" max="12" width="11.44140625" customWidth="1"/>
    <col min="13" max="14" width="14.21875" customWidth="1"/>
    <col min="15" max="16" width="15.77734375" customWidth="1"/>
    <col min="17" max="17" width="13.21875" customWidth="1"/>
    <col min="18" max="19" width="14.77734375" customWidth="1"/>
    <col min="20" max="20" width="15.21875" customWidth="1"/>
    <col min="21" max="21" width="16.21875" customWidth="1"/>
    <col min="22" max="22" width="11.21875" customWidth="1"/>
    <col min="23" max="23" width="12.21875" customWidth="1"/>
  </cols>
  <sheetData>
    <row r="1" spans="1:23" x14ac:dyDescent="0.3">
      <c r="O1" s="22" t="s">
        <v>201</v>
      </c>
      <c r="P1" s="123">
        <v>11286000</v>
      </c>
      <c r="R1" s="51"/>
      <c r="S1" s="47"/>
    </row>
    <row r="2" spans="1:23" x14ac:dyDescent="0.3">
      <c r="P2" s="22"/>
    </row>
    <row r="3" spans="1:23" x14ac:dyDescent="0.3">
      <c r="P3" s="22" t="s">
        <v>202</v>
      </c>
      <c r="Q3" s="123">
        <v>6223</v>
      </c>
      <c r="R3" t="s">
        <v>203</v>
      </c>
    </row>
    <row r="4" spans="1:23" x14ac:dyDescent="0.3">
      <c r="P4" s="22"/>
      <c r="Q4" s="123">
        <v>7000</v>
      </c>
      <c r="R4" t="s">
        <v>204</v>
      </c>
    </row>
    <row r="5" spans="1:23" x14ac:dyDescent="0.3">
      <c r="P5" s="22"/>
    </row>
    <row r="6" spans="1:23" x14ac:dyDescent="0.3">
      <c r="A6" s="22" t="s">
        <v>205</v>
      </c>
      <c r="B6" s="100">
        <v>19392041</v>
      </c>
      <c r="C6" s="100">
        <v>599199</v>
      </c>
      <c r="D6" s="100">
        <v>1444325</v>
      </c>
      <c r="E6" s="124">
        <v>25000</v>
      </c>
      <c r="F6" s="100">
        <v>500000</v>
      </c>
      <c r="G6" s="124">
        <v>22390</v>
      </c>
      <c r="H6">
        <v>0</v>
      </c>
      <c r="I6" s="100">
        <f>+'Const cost summary'!D57</f>
        <v>26864900</v>
      </c>
      <c r="J6" s="100">
        <v>0</v>
      </c>
      <c r="K6" s="100">
        <f>+'Const cost summary'!F57+'Const cost summary'!G57</f>
        <v>3223788</v>
      </c>
      <c r="L6" s="124">
        <v>75000</v>
      </c>
      <c r="P6" s="22" t="s">
        <v>206</v>
      </c>
      <c r="Q6" s="125">
        <v>0</v>
      </c>
      <c r="R6" t="s">
        <v>207</v>
      </c>
    </row>
    <row r="7" spans="1:23" x14ac:dyDescent="0.3">
      <c r="A7" s="22" t="s">
        <v>208</v>
      </c>
      <c r="B7" s="100">
        <v>7356002</v>
      </c>
      <c r="C7" s="100">
        <v>222131</v>
      </c>
      <c r="D7" s="100">
        <v>0</v>
      </c>
      <c r="E7" s="100">
        <v>0</v>
      </c>
      <c r="F7" s="100">
        <v>0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Q7" s="4">
        <f>+Q6/12</f>
        <v>0</v>
      </c>
      <c r="R7" t="s">
        <v>209</v>
      </c>
    </row>
    <row r="8" spans="1:23" x14ac:dyDescent="0.3">
      <c r="A8" s="22" t="s">
        <v>136</v>
      </c>
      <c r="B8" s="100">
        <f t="shared" ref="B8:L8" si="0">+B6-B7</f>
        <v>12036039</v>
      </c>
      <c r="C8" s="100">
        <f t="shared" si="0"/>
        <v>377068</v>
      </c>
      <c r="D8" s="100">
        <f t="shared" si="0"/>
        <v>1444325</v>
      </c>
      <c r="E8" s="100">
        <f t="shared" si="0"/>
        <v>25000</v>
      </c>
      <c r="F8" s="100">
        <f t="shared" si="0"/>
        <v>500000</v>
      </c>
      <c r="G8" s="100">
        <f t="shared" si="0"/>
        <v>22390</v>
      </c>
      <c r="H8" s="100">
        <f t="shared" si="0"/>
        <v>0</v>
      </c>
      <c r="I8" s="100">
        <f t="shared" si="0"/>
        <v>26864900</v>
      </c>
      <c r="J8" s="100">
        <f t="shared" si="0"/>
        <v>0</v>
      </c>
      <c r="K8" s="100">
        <f t="shared" si="0"/>
        <v>3223788</v>
      </c>
      <c r="L8" s="100">
        <f t="shared" si="0"/>
        <v>75000</v>
      </c>
      <c r="M8" s="100"/>
      <c r="N8" s="100"/>
      <c r="Q8" t="s">
        <v>210</v>
      </c>
    </row>
    <row r="10" spans="1:23" s="126" customFormat="1" ht="31.5" customHeight="1" x14ac:dyDescent="0.3">
      <c r="A10" s="126" t="s">
        <v>211</v>
      </c>
      <c r="B10" s="127" t="s">
        <v>212</v>
      </c>
      <c r="C10" s="127" t="s">
        <v>213</v>
      </c>
      <c r="D10" s="127" t="s">
        <v>214</v>
      </c>
      <c r="E10" s="127" t="s">
        <v>215</v>
      </c>
      <c r="F10" s="128" t="s">
        <v>216</v>
      </c>
      <c r="G10" s="128" t="s">
        <v>217</v>
      </c>
      <c r="H10" s="128" t="s">
        <v>218</v>
      </c>
      <c r="I10" s="129" t="s">
        <v>219</v>
      </c>
      <c r="J10" s="129" t="s">
        <v>220</v>
      </c>
      <c r="K10" s="129" t="s">
        <v>221</v>
      </c>
      <c r="L10" s="129" t="s">
        <v>222</v>
      </c>
      <c r="M10" s="126" t="s">
        <v>223</v>
      </c>
      <c r="N10" s="126" t="s">
        <v>224</v>
      </c>
      <c r="O10" s="126" t="s">
        <v>225</v>
      </c>
      <c r="P10" s="126" t="s">
        <v>226</v>
      </c>
      <c r="Q10" s="126" t="s">
        <v>227</v>
      </c>
      <c r="R10" s="126" t="s">
        <v>228</v>
      </c>
      <c r="S10" s="126" t="s">
        <v>229</v>
      </c>
      <c r="T10" s="126" t="s">
        <v>230</v>
      </c>
      <c r="V10" s="126" t="s">
        <v>231</v>
      </c>
      <c r="W10" s="126" t="s">
        <v>232</v>
      </c>
    </row>
    <row r="11" spans="1:23" x14ac:dyDescent="0.3">
      <c r="A11" s="130">
        <v>45292</v>
      </c>
      <c r="B11" s="131"/>
      <c r="C11" s="131"/>
      <c r="D11" s="131"/>
      <c r="E11" s="131"/>
      <c r="F11" s="132"/>
      <c r="G11" s="132"/>
      <c r="H11" s="132"/>
      <c r="I11" s="133"/>
      <c r="J11" s="133"/>
      <c r="K11" s="133"/>
      <c r="L11" s="133"/>
      <c r="M11" s="100">
        <f>-SUM(B11:H11)</f>
        <v>0</v>
      </c>
      <c r="N11" s="100">
        <f>-SUM(I11:L11)</f>
        <v>0</v>
      </c>
      <c r="O11" s="100">
        <f>SUM(M11:N11)</f>
        <v>0</v>
      </c>
      <c r="P11" s="97"/>
      <c r="Q11" s="100"/>
      <c r="R11" s="100">
        <f t="shared" ref="R11:R49" si="1">+$Q$7*Q11</f>
        <v>0</v>
      </c>
      <c r="S11" s="100"/>
      <c r="T11" s="100">
        <f>+O11+P11+R11+S11</f>
        <v>0</v>
      </c>
      <c r="U11" s="100"/>
      <c r="V11" s="100"/>
      <c r="W11" s="100"/>
    </row>
    <row r="12" spans="1:23" x14ac:dyDescent="0.3">
      <c r="A12" s="130">
        <v>45323</v>
      </c>
      <c r="B12" s="131"/>
      <c r="C12" s="131"/>
      <c r="D12" s="131"/>
      <c r="E12" s="131"/>
      <c r="F12" s="132"/>
      <c r="G12" s="132"/>
      <c r="H12" s="132"/>
      <c r="I12" s="133"/>
      <c r="J12" s="133"/>
      <c r="K12" s="133"/>
      <c r="L12" s="133"/>
      <c r="M12" s="100">
        <f t="shared" ref="M12:M50" si="2">-SUM(B12:H12)</f>
        <v>0</v>
      </c>
      <c r="N12" s="100">
        <f t="shared" ref="N12:N50" si="3">-SUM(I12:L12)</f>
        <v>0</v>
      </c>
      <c r="O12" s="100">
        <f t="shared" ref="O12:O50" si="4">SUM(M12:N12)</f>
        <v>0</v>
      </c>
      <c r="P12" s="100"/>
      <c r="Q12" s="100"/>
      <c r="R12" s="100">
        <f t="shared" si="1"/>
        <v>0</v>
      </c>
      <c r="S12" s="100"/>
      <c r="T12" s="100">
        <f t="shared" ref="T12:T49" si="5">+O12+P12+R12+S12</f>
        <v>0</v>
      </c>
      <c r="U12" s="100"/>
      <c r="V12" s="100"/>
      <c r="W12" s="100"/>
    </row>
    <row r="13" spans="1:23" x14ac:dyDescent="0.3">
      <c r="A13" s="130">
        <v>45352</v>
      </c>
      <c r="B13" s="131"/>
      <c r="C13" s="131"/>
      <c r="D13" s="131"/>
      <c r="E13" s="131"/>
      <c r="F13" s="132"/>
      <c r="G13" s="132"/>
      <c r="H13" s="132"/>
      <c r="I13" s="133"/>
      <c r="J13" s="133"/>
      <c r="K13" s="133"/>
      <c r="L13" s="133"/>
      <c r="M13" s="100">
        <f t="shared" si="2"/>
        <v>0</v>
      </c>
      <c r="N13" s="100">
        <f t="shared" si="3"/>
        <v>0</v>
      </c>
      <c r="O13" s="100">
        <f t="shared" si="4"/>
        <v>0</v>
      </c>
      <c r="P13" s="100"/>
      <c r="Q13" s="100"/>
      <c r="R13" s="100">
        <f t="shared" si="1"/>
        <v>0</v>
      </c>
      <c r="S13" s="100"/>
      <c r="T13" s="100">
        <f t="shared" si="5"/>
        <v>0</v>
      </c>
      <c r="U13" s="100"/>
      <c r="V13" s="100"/>
      <c r="W13" s="100"/>
    </row>
    <row r="14" spans="1:23" x14ac:dyDescent="0.3">
      <c r="A14" s="130">
        <v>45383</v>
      </c>
      <c r="B14" s="131">
        <f t="shared" ref="B14:B27" si="6">+V14*(B$8)</f>
        <v>812977.63426595216</v>
      </c>
      <c r="C14" s="131"/>
      <c r="D14" s="131">
        <f>+D$6/14</f>
        <v>103166.07142857143</v>
      </c>
      <c r="E14" s="131">
        <f>+E$6/14</f>
        <v>1785.7142857142858</v>
      </c>
      <c r="F14" s="132"/>
      <c r="G14" s="132"/>
      <c r="H14" s="132">
        <f>+H8</f>
        <v>0</v>
      </c>
      <c r="I14" s="133"/>
      <c r="J14" s="133"/>
      <c r="K14" s="133"/>
      <c r="L14" s="133"/>
      <c r="M14" s="100">
        <f t="shared" si="2"/>
        <v>-917929.41998023796</v>
      </c>
      <c r="N14" s="100">
        <f t="shared" si="3"/>
        <v>0</v>
      </c>
      <c r="O14" s="100">
        <f t="shared" si="4"/>
        <v>-917929.41998023796</v>
      </c>
      <c r="P14" s="100">
        <f>+P1</f>
        <v>11286000</v>
      </c>
      <c r="Q14" s="100">
        <f>+$Q$3</f>
        <v>6223</v>
      </c>
      <c r="R14" s="100">
        <f t="shared" si="1"/>
        <v>0</v>
      </c>
      <c r="S14" s="100"/>
      <c r="T14" s="100">
        <f t="shared" si="5"/>
        <v>10368070.580019763</v>
      </c>
      <c r="U14" s="100"/>
      <c r="V14" s="134">
        <v>6.7545280824194087E-2</v>
      </c>
    </row>
    <row r="15" spans="1:23" x14ac:dyDescent="0.3">
      <c r="A15" s="130">
        <v>45413</v>
      </c>
      <c r="B15" s="131">
        <f t="shared" si="6"/>
        <v>341647.93849365501</v>
      </c>
      <c r="C15" s="131">
        <v>300000</v>
      </c>
      <c r="D15" s="131">
        <f t="shared" ref="D15:E27" si="7">+D$6/14</f>
        <v>103166.07142857143</v>
      </c>
      <c r="E15" s="131">
        <f t="shared" si="7"/>
        <v>1785.7142857142858</v>
      </c>
      <c r="F15" s="132">
        <f>+F$6/5</f>
        <v>100000</v>
      </c>
      <c r="G15" s="132">
        <f>+G8</f>
        <v>22390</v>
      </c>
      <c r="H15" s="132"/>
      <c r="I15" s="133"/>
      <c r="J15" s="133"/>
      <c r="K15" s="133"/>
      <c r="L15" s="133"/>
      <c r="M15" s="100">
        <f t="shared" si="2"/>
        <v>-868989.72420794086</v>
      </c>
      <c r="N15" s="100">
        <f t="shared" si="3"/>
        <v>0</v>
      </c>
      <c r="O15" s="100">
        <f t="shared" si="4"/>
        <v>-868989.72420794086</v>
      </c>
      <c r="P15" s="100">
        <f t="shared" ref="P15:P49" si="8">+T14</f>
        <v>10368070.580019763</v>
      </c>
      <c r="Q15" s="100">
        <f t="shared" ref="Q15:Q27" si="9">+$Q$3</f>
        <v>6223</v>
      </c>
      <c r="R15" s="100">
        <f t="shared" si="1"/>
        <v>0</v>
      </c>
      <c r="S15" s="100"/>
      <c r="T15" s="100">
        <f t="shared" si="5"/>
        <v>9499080.8558118213</v>
      </c>
      <c r="U15" s="100"/>
      <c r="V15" s="134">
        <v>2.8385413049397314E-2</v>
      </c>
      <c r="W15" s="100"/>
    </row>
    <row r="16" spans="1:23" x14ac:dyDescent="0.3">
      <c r="A16" s="130">
        <v>45444</v>
      </c>
      <c r="B16" s="131">
        <f t="shared" si="6"/>
        <v>1024943.8154809651</v>
      </c>
      <c r="C16" s="131">
        <v>20000</v>
      </c>
      <c r="D16" s="131">
        <f t="shared" si="7"/>
        <v>103166.07142857143</v>
      </c>
      <c r="E16" s="131">
        <f t="shared" si="7"/>
        <v>1785.7142857142858</v>
      </c>
      <c r="F16" s="132">
        <f t="shared" ref="F16:F19" si="10">+F$6/5</f>
        <v>100000</v>
      </c>
      <c r="G16" s="132"/>
      <c r="H16" s="132"/>
      <c r="I16" s="133"/>
      <c r="J16" s="133"/>
      <c r="K16" s="133"/>
      <c r="L16" s="133"/>
      <c r="M16" s="100">
        <f t="shared" si="2"/>
        <v>-1249895.6011952509</v>
      </c>
      <c r="N16" s="100">
        <f t="shared" si="3"/>
        <v>0</v>
      </c>
      <c r="O16" s="100">
        <f t="shared" si="4"/>
        <v>-1249895.6011952509</v>
      </c>
      <c r="P16" s="100">
        <f t="shared" si="8"/>
        <v>9499080.8558118213</v>
      </c>
      <c r="Q16" s="100">
        <f t="shared" si="9"/>
        <v>6223</v>
      </c>
      <c r="R16" s="100">
        <f t="shared" si="1"/>
        <v>0</v>
      </c>
      <c r="S16" s="100"/>
      <c r="T16" s="100">
        <f t="shared" si="5"/>
        <v>8249185.2546165707</v>
      </c>
      <c r="U16" s="100"/>
      <c r="V16" s="134">
        <v>8.5156239148191953E-2</v>
      </c>
      <c r="W16" s="100"/>
    </row>
    <row r="17" spans="1:23" x14ac:dyDescent="0.3">
      <c r="A17" s="130">
        <v>45474</v>
      </c>
      <c r="B17" s="131">
        <f t="shared" si="6"/>
        <v>1708239.6924682749</v>
      </c>
      <c r="C17" s="131">
        <v>20000</v>
      </c>
      <c r="D17" s="131">
        <f t="shared" si="7"/>
        <v>103166.07142857143</v>
      </c>
      <c r="E17" s="131">
        <f t="shared" si="7"/>
        <v>1785.7142857142858</v>
      </c>
      <c r="F17" s="132">
        <f t="shared" si="10"/>
        <v>100000</v>
      </c>
      <c r="G17" s="132"/>
      <c r="H17" s="132"/>
      <c r="I17" s="133"/>
      <c r="J17" s="133"/>
      <c r="K17" s="133"/>
      <c r="L17" s="133"/>
      <c r="M17" s="100">
        <f t="shared" si="2"/>
        <v>-1933191.4781825605</v>
      </c>
      <c r="N17" s="100">
        <f t="shared" si="3"/>
        <v>0</v>
      </c>
      <c r="O17" s="100">
        <f t="shared" si="4"/>
        <v>-1933191.4781825605</v>
      </c>
      <c r="P17" s="100">
        <f t="shared" si="8"/>
        <v>8249185.2546165707</v>
      </c>
      <c r="Q17" s="100">
        <f t="shared" si="9"/>
        <v>6223</v>
      </c>
      <c r="R17" s="100">
        <f t="shared" si="1"/>
        <v>0</v>
      </c>
      <c r="S17" s="100"/>
      <c r="T17" s="100">
        <f t="shared" si="5"/>
        <v>6315993.7764340099</v>
      </c>
      <c r="U17" s="100"/>
      <c r="V17" s="134">
        <v>0.14192706524698656</v>
      </c>
      <c r="W17" s="100"/>
    </row>
    <row r="18" spans="1:23" x14ac:dyDescent="0.3">
      <c r="A18" s="130">
        <v>45505</v>
      </c>
      <c r="B18" s="131">
        <f t="shared" si="6"/>
        <v>1285663.8985439355</v>
      </c>
      <c r="C18" s="131">
        <v>20000</v>
      </c>
      <c r="D18" s="131">
        <f t="shared" si="7"/>
        <v>103166.07142857143</v>
      </c>
      <c r="E18" s="131">
        <f t="shared" si="7"/>
        <v>1785.7142857142858</v>
      </c>
      <c r="F18" s="132">
        <f t="shared" si="10"/>
        <v>100000</v>
      </c>
      <c r="G18" s="132"/>
      <c r="H18" s="132"/>
      <c r="I18" s="133"/>
      <c r="J18" s="133"/>
      <c r="K18" s="133"/>
      <c r="L18" s="133"/>
      <c r="M18" s="100">
        <f t="shared" si="2"/>
        <v>-1510615.6842582212</v>
      </c>
      <c r="N18" s="100">
        <f t="shared" si="3"/>
        <v>0</v>
      </c>
      <c r="O18" s="100">
        <f t="shared" si="4"/>
        <v>-1510615.6842582212</v>
      </c>
      <c r="P18" s="100">
        <f t="shared" si="8"/>
        <v>6315993.7764340099</v>
      </c>
      <c r="Q18" s="100">
        <f t="shared" si="9"/>
        <v>6223</v>
      </c>
      <c r="R18" s="100">
        <f>+$Q$7*Q18</f>
        <v>0</v>
      </c>
      <c r="S18" s="100"/>
      <c r="T18" s="100">
        <f t="shared" si="5"/>
        <v>4805378.0921757892</v>
      </c>
      <c r="U18" s="100"/>
      <c r="V18" s="134">
        <v>0.10681785748151328</v>
      </c>
      <c r="W18" s="100"/>
    </row>
    <row r="19" spans="1:23" x14ac:dyDescent="0.3">
      <c r="A19" s="130">
        <v>45536</v>
      </c>
      <c r="B19" s="131">
        <f t="shared" si="6"/>
        <v>1238046.7171163824</v>
      </c>
      <c r="C19" s="131">
        <v>17068</v>
      </c>
      <c r="D19" s="131">
        <f t="shared" si="7"/>
        <v>103166.07142857143</v>
      </c>
      <c r="E19" s="131">
        <f t="shared" si="7"/>
        <v>1785.7142857142858</v>
      </c>
      <c r="F19" s="132">
        <f t="shared" si="10"/>
        <v>100000</v>
      </c>
      <c r="G19" s="132"/>
      <c r="H19" s="132"/>
      <c r="I19" s="133"/>
      <c r="J19" s="133"/>
      <c r="K19" s="133"/>
      <c r="L19" s="133"/>
      <c r="M19" s="100">
        <f t="shared" si="2"/>
        <v>-1460066.5028306681</v>
      </c>
      <c r="N19" s="100">
        <f t="shared" si="3"/>
        <v>0</v>
      </c>
      <c r="O19" s="100">
        <f t="shared" si="4"/>
        <v>-1460066.5028306681</v>
      </c>
      <c r="P19" s="100">
        <f t="shared" si="8"/>
        <v>4805378.0921757892</v>
      </c>
      <c r="Q19" s="100">
        <f t="shared" si="9"/>
        <v>6223</v>
      </c>
      <c r="R19" s="100">
        <f t="shared" si="1"/>
        <v>0</v>
      </c>
      <c r="S19" s="100"/>
      <c r="T19" s="100">
        <f t="shared" si="5"/>
        <v>3345311.5893451208</v>
      </c>
      <c r="U19" s="100"/>
      <c r="V19" s="134">
        <v>0.10286164053775353</v>
      </c>
      <c r="W19" s="100"/>
    </row>
    <row r="20" spans="1:23" x14ac:dyDescent="0.3">
      <c r="A20" s="130">
        <v>45566</v>
      </c>
      <c r="B20" s="131">
        <f t="shared" si="6"/>
        <v>1281179.7693512063</v>
      </c>
      <c r="C20" s="131"/>
      <c r="D20" s="131">
        <f t="shared" si="7"/>
        <v>103166.07142857143</v>
      </c>
      <c r="E20" s="131">
        <f t="shared" si="7"/>
        <v>1785.7142857142858</v>
      </c>
      <c r="F20" s="132"/>
      <c r="G20" s="132"/>
      <c r="H20" s="132"/>
      <c r="I20" s="133">
        <f t="shared" ref="I20:I49" si="11">+W20*(I$8)</f>
        <v>1421920.7785714285</v>
      </c>
      <c r="J20" s="133">
        <f>+J$6/30</f>
        <v>0</v>
      </c>
      <c r="K20" s="133">
        <f>+K$6/30</f>
        <v>107459.6</v>
      </c>
      <c r="L20" s="133">
        <f>+L$6/30</f>
        <v>2500</v>
      </c>
      <c r="M20" s="100">
        <f t="shared" si="2"/>
        <v>-1386131.5550654919</v>
      </c>
      <c r="N20" s="100">
        <f t="shared" si="3"/>
        <v>-1531880.3785714286</v>
      </c>
      <c r="O20" s="100">
        <f t="shared" si="4"/>
        <v>-2918011.9336369205</v>
      </c>
      <c r="P20" s="100">
        <f t="shared" si="8"/>
        <v>3345311.5893451208</v>
      </c>
      <c r="Q20" s="100">
        <f t="shared" si="9"/>
        <v>6223</v>
      </c>
      <c r="R20" s="100">
        <f t="shared" si="1"/>
        <v>0</v>
      </c>
      <c r="S20" s="100"/>
      <c r="T20" s="100">
        <f t="shared" si="5"/>
        <v>427299.6557082003</v>
      </c>
      <c r="U20" s="100"/>
      <c r="V20" s="134">
        <v>0.10644529893523992</v>
      </c>
      <c r="W20" s="134">
        <v>5.2928571428571429E-2</v>
      </c>
    </row>
    <row r="21" spans="1:23" x14ac:dyDescent="0.3">
      <c r="A21" s="130">
        <v>45597</v>
      </c>
      <c r="B21" s="131">
        <f t="shared" si="6"/>
        <v>469765.91542877565</v>
      </c>
      <c r="C21" s="131"/>
      <c r="D21" s="131">
        <f t="shared" si="7"/>
        <v>103166.07142857143</v>
      </c>
      <c r="E21" s="131">
        <f t="shared" si="7"/>
        <v>1785.7142857142858</v>
      </c>
      <c r="F21" s="132"/>
      <c r="G21" s="132"/>
      <c r="H21" s="132"/>
      <c r="I21" s="135">
        <f t="shared" si="11"/>
        <v>7222628.3649999993</v>
      </c>
      <c r="J21" s="133">
        <f t="shared" ref="J21:L49" si="12">+J$6/30</f>
        <v>0</v>
      </c>
      <c r="K21" s="133">
        <f t="shared" si="12"/>
        <v>107459.6</v>
      </c>
      <c r="L21" s="133">
        <f t="shared" si="12"/>
        <v>2500</v>
      </c>
      <c r="M21" s="100">
        <f t="shared" si="2"/>
        <v>-574717.70114306139</v>
      </c>
      <c r="N21" s="100">
        <f t="shared" si="3"/>
        <v>-7332587.9649999989</v>
      </c>
      <c r="O21" s="100">
        <f t="shared" si="4"/>
        <v>-7907305.6661430607</v>
      </c>
      <c r="P21" s="100">
        <f t="shared" si="8"/>
        <v>427299.6557082003</v>
      </c>
      <c r="Q21" s="100">
        <f t="shared" si="9"/>
        <v>6223</v>
      </c>
      <c r="R21" s="100">
        <f t="shared" si="1"/>
        <v>0</v>
      </c>
      <c r="S21" s="100">
        <f>-(P21+R21+O21)</f>
        <v>7480006.0104348604</v>
      </c>
      <c r="T21" s="100">
        <f t="shared" si="5"/>
        <v>0</v>
      </c>
      <c r="U21" s="100"/>
      <c r="V21" s="134">
        <v>3.9029942942921309E-2</v>
      </c>
      <c r="W21" s="134">
        <v>0.26884999999999998</v>
      </c>
    </row>
    <row r="22" spans="1:23" x14ac:dyDescent="0.3">
      <c r="A22" s="130">
        <v>45627</v>
      </c>
      <c r="B22" s="131">
        <f t="shared" si="6"/>
        <v>640589.88467560313</v>
      </c>
      <c r="C22" s="131"/>
      <c r="D22" s="131">
        <f t="shared" si="7"/>
        <v>103166.07142857143</v>
      </c>
      <c r="E22" s="131">
        <f t="shared" si="7"/>
        <v>1785.7142857142858</v>
      </c>
      <c r="F22" s="132"/>
      <c r="G22" s="136"/>
      <c r="H22" s="136"/>
      <c r="I22" s="133">
        <f t="shared" si="11"/>
        <v>605592.41364285711</v>
      </c>
      <c r="J22" s="133">
        <f t="shared" si="12"/>
        <v>0</v>
      </c>
      <c r="K22" s="133">
        <f t="shared" si="12"/>
        <v>107459.6</v>
      </c>
      <c r="L22" s="133">
        <f t="shared" si="12"/>
        <v>2500</v>
      </c>
      <c r="M22" s="100">
        <f t="shared" si="2"/>
        <v>-745541.67038988892</v>
      </c>
      <c r="N22" s="100">
        <f t="shared" si="3"/>
        <v>-715552.01364285708</v>
      </c>
      <c r="O22" s="100">
        <f t="shared" si="4"/>
        <v>-1461093.6840327461</v>
      </c>
      <c r="P22" s="100">
        <f t="shared" si="8"/>
        <v>0</v>
      </c>
      <c r="Q22" s="100">
        <f t="shared" si="9"/>
        <v>6223</v>
      </c>
      <c r="R22" s="100">
        <f t="shared" si="1"/>
        <v>0</v>
      </c>
      <c r="S22" s="100">
        <f t="shared" ref="S22:S49" si="13">-(P22+R22+O22)</f>
        <v>1461093.6840327461</v>
      </c>
      <c r="T22" s="100">
        <f t="shared" si="5"/>
        <v>0</v>
      </c>
      <c r="U22" s="100"/>
      <c r="V22" s="134">
        <v>5.322264946761996E-2</v>
      </c>
      <c r="W22" s="134">
        <v>2.2542142857142858E-2</v>
      </c>
    </row>
    <row r="23" spans="1:23" x14ac:dyDescent="0.3">
      <c r="A23" s="130">
        <v>45658</v>
      </c>
      <c r="B23" s="131">
        <f t="shared" si="6"/>
        <v>640589.88467560313</v>
      </c>
      <c r="C23" s="131"/>
      <c r="D23" s="131">
        <f t="shared" si="7"/>
        <v>103166.07142857143</v>
      </c>
      <c r="E23" s="131">
        <f t="shared" si="7"/>
        <v>1785.7142857142858</v>
      </c>
      <c r="F23" s="132"/>
      <c r="G23" s="136"/>
      <c r="H23" s="136"/>
      <c r="I23" s="133">
        <f t="shared" si="11"/>
        <v>743773.94571428571</v>
      </c>
      <c r="J23" s="133">
        <f t="shared" si="12"/>
        <v>0</v>
      </c>
      <c r="K23" s="133">
        <f t="shared" si="12"/>
        <v>107459.6</v>
      </c>
      <c r="L23" s="133">
        <f t="shared" si="12"/>
        <v>2500</v>
      </c>
      <c r="M23" s="100">
        <f t="shared" si="2"/>
        <v>-745541.67038988892</v>
      </c>
      <c r="N23" s="100">
        <f t="shared" si="3"/>
        <v>-853733.54571428569</v>
      </c>
      <c r="O23" s="100">
        <f t="shared" si="4"/>
        <v>-1599275.2161041745</v>
      </c>
      <c r="P23" s="100">
        <f t="shared" si="8"/>
        <v>0</v>
      </c>
      <c r="Q23" s="100">
        <f t="shared" si="9"/>
        <v>6223</v>
      </c>
      <c r="R23" s="100">
        <f t="shared" si="1"/>
        <v>0</v>
      </c>
      <c r="S23" s="100">
        <f t="shared" si="13"/>
        <v>1599275.2161041745</v>
      </c>
      <c r="T23" s="100">
        <f t="shared" si="5"/>
        <v>0</v>
      </c>
      <c r="U23" s="100"/>
      <c r="V23" s="134">
        <v>5.322264946761996E-2</v>
      </c>
      <c r="W23" s="134">
        <v>2.7685714285714286E-2</v>
      </c>
    </row>
    <row r="24" spans="1:23" x14ac:dyDescent="0.3">
      <c r="A24" s="130">
        <v>45689</v>
      </c>
      <c r="B24" s="131">
        <f t="shared" si="6"/>
        <v>512471.90774048254</v>
      </c>
      <c r="C24" s="131"/>
      <c r="D24" s="131">
        <f t="shared" si="7"/>
        <v>103166.07142857143</v>
      </c>
      <c r="E24" s="131">
        <f t="shared" si="7"/>
        <v>1785.7142857142858</v>
      </c>
      <c r="F24" s="132"/>
      <c r="G24" s="136"/>
      <c r="H24" s="136"/>
      <c r="I24" s="133">
        <f t="shared" si="11"/>
        <v>787889.9493571429</v>
      </c>
      <c r="J24" s="133">
        <f t="shared" si="12"/>
        <v>0</v>
      </c>
      <c r="K24" s="133">
        <f t="shared" si="12"/>
        <v>107459.6</v>
      </c>
      <c r="L24" s="133">
        <f t="shared" si="12"/>
        <v>2500</v>
      </c>
      <c r="M24" s="100">
        <f t="shared" si="2"/>
        <v>-617423.69345476828</v>
      </c>
      <c r="N24" s="100">
        <f t="shared" si="3"/>
        <v>-897849.54935714288</v>
      </c>
      <c r="O24" s="100">
        <f t="shared" si="4"/>
        <v>-1515273.2428119113</v>
      </c>
      <c r="P24" s="100">
        <f t="shared" si="8"/>
        <v>0</v>
      </c>
      <c r="Q24" s="100">
        <f t="shared" si="9"/>
        <v>6223</v>
      </c>
      <c r="R24" s="100">
        <f t="shared" si="1"/>
        <v>0</v>
      </c>
      <c r="S24" s="100">
        <f t="shared" si="13"/>
        <v>1515273.2428119113</v>
      </c>
      <c r="T24" s="100">
        <f t="shared" si="5"/>
        <v>0</v>
      </c>
      <c r="U24" s="100"/>
      <c r="V24" s="134">
        <v>4.2578119574095977E-2</v>
      </c>
      <c r="W24" s="134">
        <v>2.9327857142857145E-2</v>
      </c>
    </row>
    <row r="25" spans="1:23" x14ac:dyDescent="0.3">
      <c r="A25" s="130">
        <v>45717</v>
      </c>
      <c r="B25" s="131">
        <f t="shared" si="6"/>
        <v>768707.86161072378</v>
      </c>
      <c r="C25" s="131"/>
      <c r="D25" s="131">
        <f t="shared" si="7"/>
        <v>103166.07142857143</v>
      </c>
      <c r="E25" s="131">
        <f t="shared" si="7"/>
        <v>1785.7142857142858</v>
      </c>
      <c r="F25" s="132"/>
      <c r="G25" s="136"/>
      <c r="H25" s="136"/>
      <c r="I25" s="133">
        <f t="shared" si="11"/>
        <v>802109.15714285709</v>
      </c>
      <c r="J25" s="133">
        <f t="shared" si="12"/>
        <v>0</v>
      </c>
      <c r="K25" s="133">
        <f t="shared" si="12"/>
        <v>107459.6</v>
      </c>
      <c r="L25" s="133">
        <f t="shared" si="12"/>
        <v>2500</v>
      </c>
      <c r="M25" s="100">
        <f t="shared" si="2"/>
        <v>-873659.64732500957</v>
      </c>
      <c r="N25" s="100">
        <f t="shared" si="3"/>
        <v>-912068.75714285707</v>
      </c>
      <c r="O25" s="100">
        <f t="shared" si="4"/>
        <v>-1785728.4044678668</v>
      </c>
      <c r="P25" s="100">
        <f t="shared" si="8"/>
        <v>0</v>
      </c>
      <c r="Q25" s="100">
        <f>+$Q$3</f>
        <v>6223</v>
      </c>
      <c r="R25" s="100">
        <f t="shared" si="1"/>
        <v>0</v>
      </c>
      <c r="S25" s="100">
        <f t="shared" si="13"/>
        <v>1785728.4044678668</v>
      </c>
      <c r="T25" s="100">
        <f t="shared" si="5"/>
        <v>0</v>
      </c>
      <c r="U25" s="100"/>
      <c r="V25" s="134">
        <v>6.3867179361143958E-2</v>
      </c>
      <c r="W25" s="134">
        <v>2.9857142857142856E-2</v>
      </c>
    </row>
    <row r="26" spans="1:23" x14ac:dyDescent="0.3">
      <c r="A26" s="130">
        <v>45748</v>
      </c>
      <c r="B26" s="131">
        <f t="shared" si="6"/>
        <v>341647.93849365501</v>
      </c>
      <c r="C26" s="131"/>
      <c r="D26" s="131">
        <f t="shared" si="7"/>
        <v>103166.07142857143</v>
      </c>
      <c r="E26" s="131">
        <f t="shared" si="7"/>
        <v>1785.7142857142858</v>
      </c>
      <c r="F26" s="132"/>
      <c r="G26" s="136"/>
      <c r="H26" s="136"/>
      <c r="I26" s="133">
        <f t="shared" si="11"/>
        <v>729190.14285714284</v>
      </c>
      <c r="J26" s="133">
        <f t="shared" si="12"/>
        <v>0</v>
      </c>
      <c r="K26" s="133">
        <f t="shared" si="12"/>
        <v>107459.6</v>
      </c>
      <c r="L26" s="133">
        <f t="shared" si="12"/>
        <v>2500</v>
      </c>
      <c r="M26" s="100">
        <f t="shared" si="2"/>
        <v>-446599.72420794069</v>
      </c>
      <c r="N26" s="100">
        <f t="shared" si="3"/>
        <v>-839149.74285714282</v>
      </c>
      <c r="O26" s="100">
        <f t="shared" si="4"/>
        <v>-1285749.4670650836</v>
      </c>
      <c r="P26" s="100">
        <f t="shared" si="8"/>
        <v>0</v>
      </c>
      <c r="Q26" s="100">
        <f t="shared" si="9"/>
        <v>6223</v>
      </c>
      <c r="R26" s="100">
        <f t="shared" si="1"/>
        <v>0</v>
      </c>
      <c r="S26" s="100">
        <f t="shared" si="13"/>
        <v>1285749.4670650836</v>
      </c>
      <c r="T26" s="100">
        <f t="shared" si="5"/>
        <v>0</v>
      </c>
      <c r="V26" s="134">
        <v>2.8385413049397314E-2</v>
      </c>
      <c r="W26" s="134">
        <v>2.7142857142857142E-2</v>
      </c>
    </row>
    <row r="27" spans="1:23" x14ac:dyDescent="0.3">
      <c r="A27" s="130">
        <v>45778</v>
      </c>
      <c r="B27" s="131">
        <f t="shared" si="6"/>
        <v>969605.14178115653</v>
      </c>
      <c r="C27" s="131"/>
      <c r="D27" s="131">
        <f t="shared" si="7"/>
        <v>103166.07142857143</v>
      </c>
      <c r="E27" s="131">
        <f t="shared" si="7"/>
        <v>1785.7142857142858</v>
      </c>
      <c r="F27" s="132"/>
      <c r="G27" s="136"/>
      <c r="H27" s="136"/>
      <c r="I27" s="133">
        <f t="shared" si="11"/>
        <v>787889.9493571429</v>
      </c>
      <c r="J27" s="133">
        <f t="shared" si="12"/>
        <v>0</v>
      </c>
      <c r="K27" s="133">
        <f t="shared" si="12"/>
        <v>107459.6</v>
      </c>
      <c r="L27" s="133">
        <f t="shared" si="12"/>
        <v>2500</v>
      </c>
      <c r="M27" s="100">
        <f t="shared" si="2"/>
        <v>-1074556.9274954423</v>
      </c>
      <c r="N27" s="100">
        <f t="shared" si="3"/>
        <v>-897849.54935714288</v>
      </c>
      <c r="O27" s="100">
        <f t="shared" si="4"/>
        <v>-1972406.4768525851</v>
      </c>
      <c r="P27" s="100">
        <f t="shared" si="8"/>
        <v>0</v>
      </c>
      <c r="Q27" s="100">
        <f t="shared" si="9"/>
        <v>6223</v>
      </c>
      <c r="R27" s="100">
        <f t="shared" si="1"/>
        <v>0</v>
      </c>
      <c r="S27" s="100">
        <f t="shared" si="13"/>
        <v>1972406.4768525851</v>
      </c>
      <c r="T27" s="100">
        <f t="shared" si="5"/>
        <v>0</v>
      </c>
      <c r="V27" s="134">
        <v>8.0558491193087403E-2</v>
      </c>
      <c r="W27" s="134">
        <v>2.9327857142857145E-2</v>
      </c>
    </row>
    <row r="28" spans="1:23" x14ac:dyDescent="0.3">
      <c r="A28" s="130">
        <v>45809</v>
      </c>
      <c r="B28" s="131"/>
      <c r="C28" s="131"/>
      <c r="D28" s="131"/>
      <c r="E28" s="131"/>
      <c r="F28" s="132"/>
      <c r="G28" s="136"/>
      <c r="H28" s="136"/>
      <c r="I28" s="133">
        <f t="shared" si="11"/>
        <v>802109.15714285709</v>
      </c>
      <c r="J28" s="133">
        <f t="shared" si="12"/>
        <v>0</v>
      </c>
      <c r="K28" s="133">
        <f t="shared" si="12"/>
        <v>107459.6</v>
      </c>
      <c r="L28" s="133">
        <f t="shared" si="12"/>
        <v>2500</v>
      </c>
      <c r="M28" s="100">
        <f t="shared" si="2"/>
        <v>0</v>
      </c>
      <c r="N28" s="100">
        <f t="shared" si="3"/>
        <v>-912068.75714285707</v>
      </c>
      <c r="O28" s="100">
        <f t="shared" si="4"/>
        <v>-912068.75714285707</v>
      </c>
      <c r="P28" s="100">
        <f t="shared" si="8"/>
        <v>0</v>
      </c>
      <c r="Q28" s="100">
        <f t="shared" ref="Q28:Q49" si="14">+$Q$4</f>
        <v>7000</v>
      </c>
      <c r="R28" s="100">
        <f t="shared" si="1"/>
        <v>0</v>
      </c>
      <c r="S28" s="100">
        <f t="shared" si="13"/>
        <v>912068.75714285707</v>
      </c>
      <c r="T28" s="100">
        <f t="shared" si="5"/>
        <v>0</v>
      </c>
      <c r="W28" s="134">
        <v>2.9857142857142856E-2</v>
      </c>
    </row>
    <row r="29" spans="1:23" x14ac:dyDescent="0.3">
      <c r="A29" s="130">
        <v>45839</v>
      </c>
      <c r="B29" s="131"/>
      <c r="C29" s="131"/>
      <c r="D29" s="131"/>
      <c r="E29" s="131"/>
      <c r="F29" s="132"/>
      <c r="G29" s="136"/>
      <c r="H29" s="136"/>
      <c r="I29" s="133">
        <f t="shared" si="11"/>
        <v>780233.4528571429</v>
      </c>
      <c r="J29" s="133">
        <f t="shared" si="12"/>
        <v>0</v>
      </c>
      <c r="K29" s="133">
        <f t="shared" si="12"/>
        <v>107459.6</v>
      </c>
      <c r="L29" s="133">
        <f t="shared" si="12"/>
        <v>2500</v>
      </c>
      <c r="M29" s="100">
        <f t="shared" si="2"/>
        <v>0</v>
      </c>
      <c r="N29" s="100">
        <f t="shared" si="3"/>
        <v>-890193.05285714287</v>
      </c>
      <c r="O29" s="100">
        <f t="shared" si="4"/>
        <v>-890193.05285714287</v>
      </c>
      <c r="P29" s="100">
        <f t="shared" si="8"/>
        <v>0</v>
      </c>
      <c r="Q29" s="100">
        <f t="shared" si="14"/>
        <v>7000</v>
      </c>
      <c r="R29" s="100">
        <f t="shared" si="1"/>
        <v>0</v>
      </c>
      <c r="S29" s="100">
        <f t="shared" si="13"/>
        <v>890193.05285714287</v>
      </c>
      <c r="T29" s="100">
        <f t="shared" si="5"/>
        <v>0</v>
      </c>
      <c r="W29" s="134">
        <v>2.9042857142857145E-2</v>
      </c>
    </row>
    <row r="30" spans="1:23" x14ac:dyDescent="0.3">
      <c r="A30" s="130">
        <v>45870</v>
      </c>
      <c r="B30" s="131"/>
      <c r="C30" s="131"/>
      <c r="D30" s="131"/>
      <c r="E30" s="131"/>
      <c r="F30" s="132"/>
      <c r="G30" s="136"/>
      <c r="H30" s="136"/>
      <c r="I30" s="133">
        <f t="shared" si="11"/>
        <v>74377.39457142858</v>
      </c>
      <c r="J30" s="133">
        <f t="shared" si="12"/>
        <v>0</v>
      </c>
      <c r="K30" s="133">
        <f t="shared" si="12"/>
        <v>107459.6</v>
      </c>
      <c r="L30" s="133">
        <f t="shared" si="12"/>
        <v>2500</v>
      </c>
      <c r="M30" s="100">
        <f t="shared" si="2"/>
        <v>0</v>
      </c>
      <c r="N30" s="100">
        <f t="shared" si="3"/>
        <v>-184336.99457142857</v>
      </c>
      <c r="O30" s="100">
        <f t="shared" si="4"/>
        <v>-184336.99457142857</v>
      </c>
      <c r="P30" s="100">
        <f t="shared" si="8"/>
        <v>0</v>
      </c>
      <c r="Q30" s="100">
        <f t="shared" si="14"/>
        <v>7000</v>
      </c>
      <c r="R30" s="100">
        <f t="shared" si="1"/>
        <v>0</v>
      </c>
      <c r="S30" s="100">
        <f t="shared" si="13"/>
        <v>184336.99457142857</v>
      </c>
      <c r="T30" s="100">
        <f t="shared" si="5"/>
        <v>0</v>
      </c>
      <c r="W30" s="134">
        <v>2.7685714285714288E-3</v>
      </c>
    </row>
    <row r="31" spans="1:23" x14ac:dyDescent="0.3">
      <c r="A31" s="130">
        <v>45901</v>
      </c>
      <c r="B31" s="131"/>
      <c r="C31" s="131"/>
      <c r="D31" s="131"/>
      <c r="E31" s="131"/>
      <c r="F31" s="132"/>
      <c r="G31" s="136"/>
      <c r="H31" s="136"/>
      <c r="I31" s="133">
        <f t="shared" si="11"/>
        <v>787889.9493571429</v>
      </c>
      <c r="J31" s="133">
        <f t="shared" si="12"/>
        <v>0</v>
      </c>
      <c r="K31" s="133">
        <f t="shared" si="12"/>
        <v>107459.6</v>
      </c>
      <c r="L31" s="133">
        <f t="shared" si="12"/>
        <v>2500</v>
      </c>
      <c r="M31" s="100">
        <f t="shared" si="2"/>
        <v>0</v>
      </c>
      <c r="N31" s="100">
        <f t="shared" si="3"/>
        <v>-897849.54935714288</v>
      </c>
      <c r="O31" s="100">
        <f t="shared" si="4"/>
        <v>-897849.54935714288</v>
      </c>
      <c r="P31" s="100">
        <f t="shared" si="8"/>
        <v>0</v>
      </c>
      <c r="Q31" s="100">
        <f t="shared" si="14"/>
        <v>7000</v>
      </c>
      <c r="R31" s="100">
        <f t="shared" si="1"/>
        <v>0</v>
      </c>
      <c r="S31" s="100">
        <f t="shared" si="13"/>
        <v>897849.54935714288</v>
      </c>
      <c r="T31" s="100">
        <f t="shared" si="5"/>
        <v>0</v>
      </c>
      <c r="W31" s="134">
        <v>2.9327857142857145E-2</v>
      </c>
    </row>
    <row r="32" spans="1:23" x14ac:dyDescent="0.3">
      <c r="A32" s="130">
        <v>45931</v>
      </c>
      <c r="B32" s="131"/>
      <c r="C32" s="131"/>
      <c r="D32" s="131"/>
      <c r="E32" s="131"/>
      <c r="F32" s="132"/>
      <c r="G32" s="136"/>
      <c r="H32" s="136"/>
      <c r="I32" s="133">
        <f t="shared" si="11"/>
        <v>656271.12857142859</v>
      </c>
      <c r="J32" s="133">
        <f t="shared" si="12"/>
        <v>0</v>
      </c>
      <c r="K32" s="133">
        <f t="shared" si="12"/>
        <v>107459.6</v>
      </c>
      <c r="L32" s="133">
        <f t="shared" si="12"/>
        <v>2500</v>
      </c>
      <c r="M32" s="100">
        <f t="shared" si="2"/>
        <v>0</v>
      </c>
      <c r="N32" s="100">
        <f t="shared" si="3"/>
        <v>-766230.72857142857</v>
      </c>
      <c r="O32" s="100">
        <f t="shared" si="4"/>
        <v>-766230.72857142857</v>
      </c>
      <c r="P32" s="100">
        <f t="shared" si="8"/>
        <v>0</v>
      </c>
      <c r="Q32" s="100">
        <f t="shared" si="14"/>
        <v>7000</v>
      </c>
      <c r="R32" s="100">
        <f t="shared" si="1"/>
        <v>0</v>
      </c>
      <c r="S32" s="100">
        <f t="shared" si="13"/>
        <v>766230.72857142857</v>
      </c>
      <c r="T32" s="100">
        <f t="shared" si="5"/>
        <v>0</v>
      </c>
      <c r="W32" s="134">
        <v>2.4428571428571431E-2</v>
      </c>
    </row>
    <row r="33" spans="1:23" x14ac:dyDescent="0.3">
      <c r="A33" s="130">
        <v>45962</v>
      </c>
      <c r="B33" s="131"/>
      <c r="C33" s="131"/>
      <c r="D33" s="131"/>
      <c r="E33" s="131"/>
      <c r="F33" s="132"/>
      <c r="G33" s="136"/>
      <c r="H33" s="136"/>
      <c r="I33" s="133">
        <f t="shared" si="11"/>
        <v>583716.7093571428</v>
      </c>
      <c r="J33" s="133">
        <f t="shared" si="12"/>
        <v>0</v>
      </c>
      <c r="K33" s="133">
        <f t="shared" si="12"/>
        <v>107459.6</v>
      </c>
      <c r="L33" s="133">
        <f t="shared" si="12"/>
        <v>2500</v>
      </c>
      <c r="M33" s="100">
        <f t="shared" si="2"/>
        <v>0</v>
      </c>
      <c r="N33" s="100">
        <f t="shared" si="3"/>
        <v>-693676.30935714277</v>
      </c>
      <c r="O33" s="100">
        <f t="shared" si="4"/>
        <v>-693676.30935714277</v>
      </c>
      <c r="P33" s="100">
        <f t="shared" si="8"/>
        <v>0</v>
      </c>
      <c r="Q33" s="100">
        <f t="shared" si="14"/>
        <v>7000</v>
      </c>
      <c r="R33" s="100">
        <f t="shared" si="1"/>
        <v>0</v>
      </c>
      <c r="S33" s="100">
        <f t="shared" si="13"/>
        <v>693676.30935714277</v>
      </c>
      <c r="T33" s="100">
        <f t="shared" si="5"/>
        <v>0</v>
      </c>
      <c r="W33" s="134">
        <v>2.1727857142857143E-2</v>
      </c>
    </row>
    <row r="34" spans="1:23" x14ac:dyDescent="0.3">
      <c r="A34" s="130">
        <v>45992</v>
      </c>
      <c r="B34" s="131"/>
      <c r="C34" s="131"/>
      <c r="D34" s="131"/>
      <c r="E34" s="131"/>
      <c r="F34" s="132"/>
      <c r="G34" s="136"/>
      <c r="H34" s="136"/>
      <c r="I34" s="133">
        <f t="shared" si="11"/>
        <v>546892.60714285704</v>
      </c>
      <c r="J34" s="133">
        <f t="shared" si="12"/>
        <v>0</v>
      </c>
      <c r="K34" s="133">
        <f t="shared" si="12"/>
        <v>107459.6</v>
      </c>
      <c r="L34" s="133">
        <f t="shared" si="12"/>
        <v>2500</v>
      </c>
      <c r="M34" s="100">
        <f t="shared" si="2"/>
        <v>0</v>
      </c>
      <c r="N34" s="100">
        <f t="shared" si="3"/>
        <v>-656852.20714285702</v>
      </c>
      <c r="O34" s="100">
        <f t="shared" si="4"/>
        <v>-656852.20714285702</v>
      </c>
      <c r="P34" s="100">
        <f t="shared" si="8"/>
        <v>0</v>
      </c>
      <c r="Q34" s="100">
        <f t="shared" si="14"/>
        <v>7000</v>
      </c>
      <c r="R34" s="100">
        <f t="shared" si="1"/>
        <v>0</v>
      </c>
      <c r="S34" s="100">
        <f t="shared" si="13"/>
        <v>656852.20714285702</v>
      </c>
      <c r="T34" s="100">
        <f t="shared" si="5"/>
        <v>0</v>
      </c>
      <c r="W34" s="134">
        <v>2.0357142857142855E-2</v>
      </c>
    </row>
    <row r="35" spans="1:23" x14ac:dyDescent="0.3">
      <c r="A35" s="130">
        <v>46023</v>
      </c>
      <c r="B35" s="131"/>
      <c r="C35" s="131"/>
      <c r="D35" s="131"/>
      <c r="E35" s="131"/>
      <c r="F35" s="132"/>
      <c r="G35" s="136"/>
      <c r="H35" s="136"/>
      <c r="I35" s="133">
        <f t="shared" si="11"/>
        <v>455743.83928571432</v>
      </c>
      <c r="J35" s="133">
        <f t="shared" si="12"/>
        <v>0</v>
      </c>
      <c r="K35" s="133">
        <f t="shared" si="12"/>
        <v>107459.6</v>
      </c>
      <c r="L35" s="133">
        <f t="shared" si="12"/>
        <v>2500</v>
      </c>
      <c r="M35" s="100">
        <f t="shared" si="2"/>
        <v>0</v>
      </c>
      <c r="N35" s="100">
        <f t="shared" si="3"/>
        <v>-565703.4392857143</v>
      </c>
      <c r="O35" s="100">
        <f t="shared" si="4"/>
        <v>-565703.4392857143</v>
      </c>
      <c r="P35" s="100">
        <f t="shared" si="8"/>
        <v>0</v>
      </c>
      <c r="Q35" s="100">
        <f t="shared" si="14"/>
        <v>7000</v>
      </c>
      <c r="R35" s="100">
        <f t="shared" si="1"/>
        <v>0</v>
      </c>
      <c r="S35" s="100">
        <f t="shared" si="13"/>
        <v>565703.4392857143</v>
      </c>
      <c r="T35" s="100">
        <f t="shared" si="5"/>
        <v>0</v>
      </c>
      <c r="W35" s="134">
        <v>1.6964285714285716E-2</v>
      </c>
    </row>
    <row r="36" spans="1:23" x14ac:dyDescent="0.3">
      <c r="A36" s="130">
        <v>46054</v>
      </c>
      <c r="B36" s="131"/>
      <c r="C36" s="131"/>
      <c r="D36" s="131"/>
      <c r="E36" s="131"/>
      <c r="F36" s="132"/>
      <c r="G36" s="136"/>
      <c r="H36" s="136"/>
      <c r="I36" s="133">
        <f t="shared" si="11"/>
        <v>364595.07142857142</v>
      </c>
      <c r="J36" s="133">
        <f t="shared" si="12"/>
        <v>0</v>
      </c>
      <c r="K36" s="133">
        <f t="shared" si="12"/>
        <v>107459.6</v>
      </c>
      <c r="L36" s="133">
        <f t="shared" si="12"/>
        <v>2500</v>
      </c>
      <c r="M36" s="100">
        <f t="shared" si="2"/>
        <v>0</v>
      </c>
      <c r="N36" s="100">
        <f t="shared" si="3"/>
        <v>-474554.67142857146</v>
      </c>
      <c r="O36" s="100">
        <f t="shared" si="4"/>
        <v>-474554.67142857146</v>
      </c>
      <c r="P36" s="100">
        <f t="shared" si="8"/>
        <v>0</v>
      </c>
      <c r="Q36" s="100">
        <f t="shared" si="14"/>
        <v>7000</v>
      </c>
      <c r="R36" s="100">
        <f t="shared" si="1"/>
        <v>0</v>
      </c>
      <c r="S36" s="100">
        <f t="shared" si="13"/>
        <v>474554.67142857146</v>
      </c>
      <c r="T36" s="100">
        <f t="shared" si="5"/>
        <v>0</v>
      </c>
      <c r="W36" s="134">
        <v>1.3571428571428571E-2</v>
      </c>
    </row>
    <row r="37" spans="1:23" x14ac:dyDescent="0.3">
      <c r="A37" s="130">
        <v>46082</v>
      </c>
      <c r="B37" s="131"/>
      <c r="C37" s="131"/>
      <c r="D37" s="131"/>
      <c r="E37" s="131"/>
      <c r="F37" s="132"/>
      <c r="G37" s="136"/>
      <c r="H37" s="136"/>
      <c r="I37" s="133">
        <f t="shared" si="11"/>
        <v>529027.44864285714</v>
      </c>
      <c r="J37" s="133">
        <f t="shared" si="12"/>
        <v>0</v>
      </c>
      <c r="K37" s="133">
        <f t="shared" si="12"/>
        <v>107459.6</v>
      </c>
      <c r="L37" s="133">
        <f t="shared" si="12"/>
        <v>2500</v>
      </c>
      <c r="M37" s="100">
        <f t="shared" si="2"/>
        <v>0</v>
      </c>
      <c r="N37" s="100">
        <f t="shared" si="3"/>
        <v>-638987.04864285712</v>
      </c>
      <c r="O37" s="100">
        <f t="shared" si="4"/>
        <v>-638987.04864285712</v>
      </c>
      <c r="P37" s="100">
        <f t="shared" si="8"/>
        <v>0</v>
      </c>
      <c r="Q37" s="100">
        <f t="shared" si="14"/>
        <v>7000</v>
      </c>
      <c r="R37" s="100">
        <f t="shared" si="1"/>
        <v>0</v>
      </c>
      <c r="S37" s="100">
        <f t="shared" si="13"/>
        <v>638987.04864285712</v>
      </c>
      <c r="T37" s="100">
        <f t="shared" si="5"/>
        <v>0</v>
      </c>
      <c r="W37" s="134">
        <v>1.9692142857142856E-2</v>
      </c>
    </row>
    <row r="38" spans="1:23" x14ac:dyDescent="0.3">
      <c r="A38" s="130">
        <v>46113</v>
      </c>
      <c r="B38" s="131"/>
      <c r="C38" s="131"/>
      <c r="D38" s="131"/>
      <c r="E38" s="131"/>
      <c r="F38" s="132"/>
      <c r="G38" s="136"/>
      <c r="H38" s="136"/>
      <c r="I38" s="133">
        <f t="shared" si="11"/>
        <v>860808.96364285715</v>
      </c>
      <c r="J38" s="133">
        <f t="shared" si="12"/>
        <v>0</v>
      </c>
      <c r="K38" s="133">
        <f t="shared" si="12"/>
        <v>107459.6</v>
      </c>
      <c r="L38" s="133">
        <f t="shared" si="12"/>
        <v>2500</v>
      </c>
      <c r="M38" s="100">
        <f t="shared" si="2"/>
        <v>0</v>
      </c>
      <c r="N38" s="100">
        <f t="shared" si="3"/>
        <v>-970768.56364285713</v>
      </c>
      <c r="O38" s="100">
        <f t="shared" si="4"/>
        <v>-970768.56364285713</v>
      </c>
      <c r="P38" s="100">
        <f t="shared" si="8"/>
        <v>0</v>
      </c>
      <c r="Q38" s="100">
        <f t="shared" si="14"/>
        <v>7000</v>
      </c>
      <c r="R38" s="100">
        <f t="shared" si="1"/>
        <v>0</v>
      </c>
      <c r="S38" s="100">
        <f t="shared" si="13"/>
        <v>970768.56364285713</v>
      </c>
      <c r="T38" s="100">
        <f t="shared" si="5"/>
        <v>0</v>
      </c>
      <c r="W38" s="134">
        <v>3.2042142857142859E-2</v>
      </c>
    </row>
    <row r="39" spans="1:23" x14ac:dyDescent="0.3">
      <c r="A39" s="130">
        <v>46143</v>
      </c>
      <c r="B39" s="131"/>
      <c r="C39" s="131"/>
      <c r="D39" s="131"/>
      <c r="E39" s="131"/>
      <c r="F39" s="132"/>
      <c r="G39" s="136"/>
      <c r="H39" s="136"/>
      <c r="I39" s="133">
        <f t="shared" si="11"/>
        <v>860808.96364285715</v>
      </c>
      <c r="J39" s="133">
        <f t="shared" si="12"/>
        <v>0</v>
      </c>
      <c r="K39" s="133">
        <f t="shared" si="12"/>
        <v>107459.6</v>
      </c>
      <c r="L39" s="133">
        <f t="shared" si="12"/>
        <v>2500</v>
      </c>
      <c r="M39" s="100">
        <f t="shared" si="2"/>
        <v>0</v>
      </c>
      <c r="N39" s="100">
        <f t="shared" si="3"/>
        <v>-970768.56364285713</v>
      </c>
      <c r="O39" s="100">
        <f t="shared" si="4"/>
        <v>-970768.56364285713</v>
      </c>
      <c r="P39" s="100">
        <f t="shared" si="8"/>
        <v>0</v>
      </c>
      <c r="Q39" s="100">
        <f t="shared" si="14"/>
        <v>7000</v>
      </c>
      <c r="R39" s="100">
        <f t="shared" si="1"/>
        <v>0</v>
      </c>
      <c r="S39" s="100">
        <f t="shared" si="13"/>
        <v>970768.56364285713</v>
      </c>
      <c r="T39" s="100">
        <f t="shared" si="5"/>
        <v>0</v>
      </c>
      <c r="W39" s="134">
        <v>3.2042142857142859E-2</v>
      </c>
    </row>
    <row r="40" spans="1:23" x14ac:dyDescent="0.3">
      <c r="A40" s="130">
        <v>46174</v>
      </c>
      <c r="B40" s="131"/>
      <c r="C40" s="131"/>
      <c r="D40" s="131"/>
      <c r="E40" s="131"/>
      <c r="F40" s="132"/>
      <c r="G40" s="136"/>
      <c r="H40" s="136"/>
      <c r="I40" s="133">
        <f t="shared" si="11"/>
        <v>860808.96364285715</v>
      </c>
      <c r="J40" s="133">
        <f t="shared" si="12"/>
        <v>0</v>
      </c>
      <c r="K40" s="133">
        <f t="shared" si="12"/>
        <v>107459.6</v>
      </c>
      <c r="L40" s="133">
        <f t="shared" si="12"/>
        <v>2500</v>
      </c>
      <c r="M40" s="100">
        <f t="shared" si="2"/>
        <v>0</v>
      </c>
      <c r="N40" s="100">
        <f t="shared" si="3"/>
        <v>-970768.56364285713</v>
      </c>
      <c r="O40" s="100">
        <f t="shared" si="4"/>
        <v>-970768.56364285713</v>
      </c>
      <c r="P40" s="100">
        <f t="shared" si="8"/>
        <v>0</v>
      </c>
      <c r="Q40" s="100">
        <f t="shared" si="14"/>
        <v>7000</v>
      </c>
      <c r="R40" s="100">
        <f t="shared" si="1"/>
        <v>0</v>
      </c>
      <c r="S40" s="100">
        <f t="shared" si="13"/>
        <v>970768.56364285713</v>
      </c>
      <c r="T40" s="100">
        <f t="shared" si="5"/>
        <v>0</v>
      </c>
      <c r="W40" s="134">
        <v>3.2042142857142859E-2</v>
      </c>
    </row>
    <row r="41" spans="1:23" x14ac:dyDescent="0.3">
      <c r="A41" s="130">
        <v>46204</v>
      </c>
      <c r="B41" s="131"/>
      <c r="C41" s="131"/>
      <c r="D41" s="131"/>
      <c r="E41" s="131"/>
      <c r="F41" s="132"/>
      <c r="G41" s="136"/>
      <c r="H41" s="136"/>
      <c r="I41" s="133">
        <f t="shared" si="11"/>
        <v>860808.96364285715</v>
      </c>
      <c r="J41" s="133">
        <f t="shared" si="12"/>
        <v>0</v>
      </c>
      <c r="K41" s="133">
        <f t="shared" si="12"/>
        <v>107459.6</v>
      </c>
      <c r="L41" s="133">
        <f t="shared" si="12"/>
        <v>2500</v>
      </c>
      <c r="M41" s="100">
        <f t="shared" si="2"/>
        <v>0</v>
      </c>
      <c r="N41" s="100">
        <f t="shared" si="3"/>
        <v>-970768.56364285713</v>
      </c>
      <c r="O41" s="100">
        <f t="shared" si="4"/>
        <v>-970768.56364285713</v>
      </c>
      <c r="P41" s="100">
        <f t="shared" si="8"/>
        <v>0</v>
      </c>
      <c r="Q41" s="100">
        <f t="shared" si="14"/>
        <v>7000</v>
      </c>
      <c r="R41" s="100">
        <f t="shared" si="1"/>
        <v>0</v>
      </c>
      <c r="S41" s="100">
        <f t="shared" si="13"/>
        <v>970768.56364285713</v>
      </c>
      <c r="T41" s="100">
        <f t="shared" si="5"/>
        <v>0</v>
      </c>
      <c r="W41" s="134">
        <v>3.2042142857142859E-2</v>
      </c>
    </row>
    <row r="42" spans="1:23" x14ac:dyDescent="0.3">
      <c r="A42" s="130">
        <v>46235</v>
      </c>
      <c r="B42" s="131"/>
      <c r="C42" s="131"/>
      <c r="D42" s="131"/>
      <c r="E42" s="131"/>
      <c r="F42" s="132"/>
      <c r="G42" s="136"/>
      <c r="H42" s="136"/>
      <c r="I42" s="133">
        <f t="shared" si="11"/>
        <v>860808.96364285715</v>
      </c>
      <c r="J42" s="133">
        <f t="shared" si="12"/>
        <v>0</v>
      </c>
      <c r="K42" s="133">
        <f t="shared" si="12"/>
        <v>107459.6</v>
      </c>
      <c r="L42" s="133">
        <f t="shared" si="12"/>
        <v>2500</v>
      </c>
      <c r="M42" s="100">
        <f t="shared" si="2"/>
        <v>0</v>
      </c>
      <c r="N42" s="100">
        <f t="shared" si="3"/>
        <v>-970768.56364285713</v>
      </c>
      <c r="O42" s="100">
        <f t="shared" si="4"/>
        <v>-970768.56364285713</v>
      </c>
      <c r="P42" s="100">
        <f t="shared" si="8"/>
        <v>0</v>
      </c>
      <c r="Q42" s="100">
        <f t="shared" si="14"/>
        <v>7000</v>
      </c>
      <c r="R42" s="100">
        <f t="shared" si="1"/>
        <v>0</v>
      </c>
      <c r="S42" s="100">
        <f t="shared" si="13"/>
        <v>970768.56364285713</v>
      </c>
      <c r="T42" s="100">
        <f t="shared" si="5"/>
        <v>0</v>
      </c>
      <c r="W42" s="134">
        <v>3.2042142857142859E-2</v>
      </c>
    </row>
    <row r="43" spans="1:23" x14ac:dyDescent="0.3">
      <c r="A43" s="130">
        <v>46266</v>
      </c>
      <c r="B43" s="131"/>
      <c r="C43" s="131"/>
      <c r="D43" s="131"/>
      <c r="E43" s="131"/>
      <c r="F43" s="132"/>
      <c r="G43" s="136"/>
      <c r="H43" s="136"/>
      <c r="I43" s="133">
        <f t="shared" si="11"/>
        <v>860808.96364285715</v>
      </c>
      <c r="J43" s="133">
        <f t="shared" si="12"/>
        <v>0</v>
      </c>
      <c r="K43" s="133">
        <f t="shared" si="12"/>
        <v>107459.6</v>
      </c>
      <c r="L43" s="133">
        <f t="shared" si="12"/>
        <v>2500</v>
      </c>
      <c r="M43" s="100">
        <f t="shared" si="2"/>
        <v>0</v>
      </c>
      <c r="N43" s="100">
        <f t="shared" si="3"/>
        <v>-970768.56364285713</v>
      </c>
      <c r="O43" s="100">
        <f t="shared" si="4"/>
        <v>-970768.56364285713</v>
      </c>
      <c r="P43" s="100">
        <f t="shared" si="8"/>
        <v>0</v>
      </c>
      <c r="Q43" s="100">
        <f t="shared" si="14"/>
        <v>7000</v>
      </c>
      <c r="R43" s="100">
        <f t="shared" si="1"/>
        <v>0</v>
      </c>
      <c r="S43" s="100">
        <f t="shared" si="13"/>
        <v>970768.56364285713</v>
      </c>
      <c r="T43" s="100">
        <f t="shared" si="5"/>
        <v>0</v>
      </c>
      <c r="W43" s="134">
        <v>3.2042142857142859E-2</v>
      </c>
    </row>
    <row r="44" spans="1:23" x14ac:dyDescent="0.3">
      <c r="A44" s="130">
        <v>46296</v>
      </c>
      <c r="B44" s="131"/>
      <c r="C44" s="131"/>
      <c r="D44" s="131"/>
      <c r="E44" s="131"/>
      <c r="F44" s="132"/>
      <c r="G44" s="136"/>
      <c r="H44" s="136"/>
      <c r="I44" s="133">
        <f t="shared" si="11"/>
        <v>860808.96364285715</v>
      </c>
      <c r="J44" s="133">
        <f t="shared" si="12"/>
        <v>0</v>
      </c>
      <c r="K44" s="133">
        <f t="shared" si="12"/>
        <v>107459.6</v>
      </c>
      <c r="L44" s="133">
        <f t="shared" si="12"/>
        <v>2500</v>
      </c>
      <c r="M44" s="100">
        <f t="shared" si="2"/>
        <v>0</v>
      </c>
      <c r="N44" s="100">
        <f t="shared" si="3"/>
        <v>-970768.56364285713</v>
      </c>
      <c r="O44" s="100">
        <f t="shared" si="4"/>
        <v>-970768.56364285713</v>
      </c>
      <c r="P44" s="100">
        <f t="shared" si="8"/>
        <v>0</v>
      </c>
      <c r="Q44" s="100">
        <f t="shared" si="14"/>
        <v>7000</v>
      </c>
      <c r="R44" s="100">
        <f t="shared" si="1"/>
        <v>0</v>
      </c>
      <c r="S44" s="100">
        <f t="shared" si="13"/>
        <v>970768.56364285713</v>
      </c>
      <c r="T44" s="100">
        <f t="shared" si="5"/>
        <v>0</v>
      </c>
      <c r="W44" s="134">
        <v>3.2042142857142859E-2</v>
      </c>
    </row>
    <row r="45" spans="1:23" x14ac:dyDescent="0.3">
      <c r="A45" s="130">
        <v>46327</v>
      </c>
      <c r="B45" s="131"/>
      <c r="C45" s="131"/>
      <c r="D45" s="131"/>
      <c r="E45" s="131"/>
      <c r="F45" s="132"/>
      <c r="G45" s="136"/>
      <c r="H45" s="136"/>
      <c r="I45" s="133">
        <f t="shared" si="11"/>
        <v>364595.07142857142</v>
      </c>
      <c r="J45" s="133">
        <f t="shared" si="12"/>
        <v>0</v>
      </c>
      <c r="K45" s="133">
        <f t="shared" si="12"/>
        <v>107459.6</v>
      </c>
      <c r="L45" s="133">
        <f t="shared" si="12"/>
        <v>2500</v>
      </c>
      <c r="M45" s="100">
        <f t="shared" si="2"/>
        <v>0</v>
      </c>
      <c r="N45" s="100">
        <f t="shared" si="3"/>
        <v>-474554.67142857146</v>
      </c>
      <c r="O45" s="100">
        <f t="shared" si="4"/>
        <v>-474554.67142857146</v>
      </c>
      <c r="P45" s="100">
        <f t="shared" si="8"/>
        <v>0</v>
      </c>
      <c r="Q45" s="100">
        <f t="shared" si="14"/>
        <v>7000</v>
      </c>
      <c r="R45" s="100">
        <f t="shared" si="1"/>
        <v>0</v>
      </c>
      <c r="S45" s="100">
        <f t="shared" si="13"/>
        <v>474554.67142857146</v>
      </c>
      <c r="T45" s="100">
        <f t="shared" si="5"/>
        <v>0</v>
      </c>
      <c r="W45" s="134">
        <v>1.3571428571428571E-2</v>
      </c>
    </row>
    <row r="46" spans="1:23" x14ac:dyDescent="0.3">
      <c r="A46" s="130">
        <v>46357</v>
      </c>
      <c r="B46" s="131"/>
      <c r="C46" s="131"/>
      <c r="D46" s="131"/>
      <c r="E46" s="131"/>
      <c r="F46" s="132"/>
      <c r="G46" s="136"/>
      <c r="H46" s="136"/>
      <c r="I46" s="133">
        <f t="shared" si="11"/>
        <v>291676.05714285711</v>
      </c>
      <c r="J46" s="133">
        <f t="shared" si="12"/>
        <v>0</v>
      </c>
      <c r="K46" s="133">
        <f t="shared" si="12"/>
        <v>107459.6</v>
      </c>
      <c r="L46" s="133">
        <f t="shared" si="12"/>
        <v>2500</v>
      </c>
      <c r="M46" s="100">
        <f t="shared" si="2"/>
        <v>0</v>
      </c>
      <c r="N46" s="100">
        <f t="shared" si="3"/>
        <v>-401635.65714285709</v>
      </c>
      <c r="O46" s="100">
        <f t="shared" si="4"/>
        <v>-401635.65714285709</v>
      </c>
      <c r="P46" s="100">
        <f t="shared" si="8"/>
        <v>0</v>
      </c>
      <c r="Q46" s="100">
        <f t="shared" si="14"/>
        <v>7000</v>
      </c>
      <c r="R46" s="100">
        <f t="shared" si="1"/>
        <v>0</v>
      </c>
      <c r="S46" s="100">
        <f t="shared" si="13"/>
        <v>401635.65714285709</v>
      </c>
      <c r="T46" s="100">
        <f t="shared" si="5"/>
        <v>0</v>
      </c>
      <c r="W46" s="134">
        <v>1.0857142857142857E-2</v>
      </c>
    </row>
    <row r="47" spans="1:23" x14ac:dyDescent="0.3">
      <c r="A47" s="130">
        <v>46388</v>
      </c>
      <c r="B47" s="131"/>
      <c r="C47" s="131"/>
      <c r="D47" s="131"/>
      <c r="E47" s="131"/>
      <c r="F47" s="132"/>
      <c r="G47" s="136"/>
      <c r="H47" s="136"/>
      <c r="I47" s="133">
        <f t="shared" si="11"/>
        <v>109378.52142857143</v>
      </c>
      <c r="J47" s="133">
        <f t="shared" si="12"/>
        <v>0</v>
      </c>
      <c r="K47" s="133">
        <f t="shared" si="12"/>
        <v>107459.6</v>
      </c>
      <c r="L47" s="133">
        <f t="shared" si="12"/>
        <v>2500</v>
      </c>
      <c r="M47" s="100">
        <f t="shared" si="2"/>
        <v>0</v>
      </c>
      <c r="N47" s="100">
        <f t="shared" si="3"/>
        <v>-219338.12142857144</v>
      </c>
      <c r="O47" s="100">
        <f t="shared" si="4"/>
        <v>-219338.12142857144</v>
      </c>
      <c r="P47" s="100">
        <f t="shared" si="8"/>
        <v>0</v>
      </c>
      <c r="Q47" s="100">
        <f t="shared" si="14"/>
        <v>7000</v>
      </c>
      <c r="R47" s="100">
        <f t="shared" si="1"/>
        <v>0</v>
      </c>
      <c r="S47" s="100">
        <f t="shared" si="13"/>
        <v>219338.12142857144</v>
      </c>
      <c r="T47" s="100">
        <f t="shared" si="5"/>
        <v>0</v>
      </c>
      <c r="W47" s="134">
        <v>4.0714285714285713E-3</v>
      </c>
    </row>
    <row r="48" spans="1:23" x14ac:dyDescent="0.3">
      <c r="A48" s="130">
        <v>46419</v>
      </c>
      <c r="B48" s="131"/>
      <c r="C48" s="131"/>
      <c r="D48" s="131"/>
      <c r="E48" s="131"/>
      <c r="F48" s="132"/>
      <c r="G48" s="136"/>
      <c r="H48" s="136"/>
      <c r="I48" s="133">
        <f t="shared" si="11"/>
        <v>48491.144500000002</v>
      </c>
      <c r="J48" s="133">
        <f t="shared" si="12"/>
        <v>0</v>
      </c>
      <c r="K48" s="133">
        <f t="shared" si="12"/>
        <v>107459.6</v>
      </c>
      <c r="L48" s="133">
        <f t="shared" si="12"/>
        <v>2500</v>
      </c>
      <c r="M48" s="100">
        <f t="shared" si="2"/>
        <v>0</v>
      </c>
      <c r="N48" s="100">
        <f t="shared" si="3"/>
        <v>-158450.7445</v>
      </c>
      <c r="O48" s="100">
        <f t="shared" si="4"/>
        <v>-158450.7445</v>
      </c>
      <c r="P48" s="100">
        <f t="shared" si="8"/>
        <v>0</v>
      </c>
      <c r="Q48" s="100">
        <f t="shared" si="14"/>
        <v>7000</v>
      </c>
      <c r="R48" s="100">
        <f t="shared" si="1"/>
        <v>0</v>
      </c>
      <c r="S48" s="100">
        <f t="shared" si="13"/>
        <v>158450.7445</v>
      </c>
      <c r="T48" s="100">
        <f t="shared" si="5"/>
        <v>0</v>
      </c>
      <c r="W48" s="134">
        <v>1.805E-3</v>
      </c>
    </row>
    <row r="49" spans="1:23" x14ac:dyDescent="0.3">
      <c r="A49" s="130">
        <v>46447</v>
      </c>
      <c r="B49" s="131"/>
      <c r="C49" s="131"/>
      <c r="D49" s="131"/>
      <c r="E49" s="131"/>
      <c r="F49" s="132"/>
      <c r="G49" s="136"/>
      <c r="H49" s="136"/>
      <c r="I49" s="133">
        <f t="shared" si="11"/>
        <v>1343245</v>
      </c>
      <c r="J49" s="133">
        <f t="shared" si="12"/>
        <v>0</v>
      </c>
      <c r="K49" s="133">
        <f t="shared" si="12"/>
        <v>107459.6</v>
      </c>
      <c r="L49" s="133">
        <f t="shared" si="12"/>
        <v>2500</v>
      </c>
      <c r="M49" s="100">
        <f t="shared" si="2"/>
        <v>0</v>
      </c>
      <c r="N49" s="100">
        <f t="shared" si="3"/>
        <v>-1453204.6</v>
      </c>
      <c r="O49" s="100">
        <f t="shared" si="4"/>
        <v>-1453204.6</v>
      </c>
      <c r="P49" s="100">
        <f t="shared" si="8"/>
        <v>0</v>
      </c>
      <c r="Q49" s="100">
        <f t="shared" si="14"/>
        <v>7000</v>
      </c>
      <c r="R49" s="100">
        <f t="shared" si="1"/>
        <v>0</v>
      </c>
      <c r="S49" s="100">
        <f t="shared" si="13"/>
        <v>1453204.6</v>
      </c>
      <c r="T49" s="100">
        <f t="shared" si="5"/>
        <v>0</v>
      </c>
      <c r="W49" s="134">
        <v>0.05</v>
      </c>
    </row>
    <row r="50" spans="1:23" x14ac:dyDescent="0.3">
      <c r="B50" s="131"/>
      <c r="C50" s="131"/>
      <c r="D50" s="131"/>
      <c r="E50" s="131"/>
      <c r="F50" s="132"/>
      <c r="G50" s="132"/>
      <c r="H50" s="132"/>
      <c r="I50" s="133"/>
      <c r="J50" s="133"/>
      <c r="K50" s="133"/>
      <c r="L50" s="133"/>
      <c r="M50" s="100">
        <f t="shared" si="2"/>
        <v>0</v>
      </c>
      <c r="N50" s="100">
        <f t="shared" si="3"/>
        <v>0</v>
      </c>
      <c r="O50" s="100">
        <f t="shared" si="4"/>
        <v>0</v>
      </c>
      <c r="P50" s="100"/>
      <c r="Q50" s="100"/>
      <c r="R50" s="100"/>
      <c r="S50" s="100"/>
    </row>
    <row r="51" spans="1:23" x14ac:dyDescent="0.3">
      <c r="A51" s="22" t="s">
        <v>233</v>
      </c>
      <c r="B51" s="131">
        <f>B7+SUM(B11:B50)</f>
        <v>19392080.000126369</v>
      </c>
      <c r="C51" s="131">
        <f>SUM(C11:C50)</f>
        <v>377068</v>
      </c>
      <c r="D51" s="131">
        <f t="shared" ref="D51:O51" si="15">SUM(D11:D50)</f>
        <v>1444325</v>
      </c>
      <c r="E51" s="131">
        <f t="shared" si="15"/>
        <v>25000.000000000004</v>
      </c>
      <c r="F51" s="132">
        <f t="shared" si="15"/>
        <v>500000</v>
      </c>
      <c r="G51" s="132">
        <f>SUM(G11:G50)</f>
        <v>22390</v>
      </c>
      <c r="H51" s="132">
        <f>SUM(H11:H50)</f>
        <v>0</v>
      </c>
      <c r="I51" s="133">
        <f t="shared" si="15"/>
        <v>26864900</v>
      </c>
      <c r="J51" s="133">
        <f>SUM(J11:J50)</f>
        <v>0</v>
      </c>
      <c r="K51" s="133">
        <f t="shared" si="15"/>
        <v>3223788.0000000019</v>
      </c>
      <c r="L51" s="133">
        <f>SUM(L11:L50)</f>
        <v>75000</v>
      </c>
      <c r="M51" s="100">
        <f>SUM(M11:M50)</f>
        <v>-14404861.000126371</v>
      </c>
      <c r="N51" s="100">
        <f t="shared" ref="N51" si="16">SUM(N11:N50)</f>
        <v>-30163687.999999996</v>
      </c>
      <c r="O51" s="100">
        <f t="shared" si="15"/>
        <v>-44568549.000126377</v>
      </c>
      <c r="P51" s="100"/>
      <c r="Q51" s="100"/>
      <c r="R51" s="100">
        <f>SUM(R11:R50)</f>
        <v>0</v>
      </c>
      <c r="S51" s="100">
        <f>SUM(S11:S50)</f>
        <v>33282549.000126366</v>
      </c>
      <c r="T51" s="100"/>
      <c r="U51" s="100"/>
      <c r="V51" s="100"/>
      <c r="W51" s="100"/>
    </row>
    <row r="52" spans="1:23" x14ac:dyDescent="0.3">
      <c r="B52" s="100"/>
      <c r="I52" s="100"/>
    </row>
    <row r="53" spans="1:23" x14ac:dyDescent="0.3">
      <c r="B53" s="100"/>
      <c r="I53" s="100"/>
      <c r="O53" s="100"/>
    </row>
    <row r="54" spans="1:23" x14ac:dyDescent="0.3">
      <c r="B54" s="100"/>
      <c r="I54" s="100"/>
      <c r="O54" s="22" t="s">
        <v>234</v>
      </c>
      <c r="P54" s="100">
        <f>+O51</f>
        <v>-44568549.000126377</v>
      </c>
    </row>
    <row r="55" spans="1:23" x14ac:dyDescent="0.3">
      <c r="B55" s="137"/>
      <c r="I55" s="137"/>
      <c r="O55" s="22" t="s">
        <v>235</v>
      </c>
      <c r="P55" s="100">
        <f>+P14</f>
        <v>11286000</v>
      </c>
    </row>
    <row r="56" spans="1:23" x14ac:dyDescent="0.3">
      <c r="O56" s="22" t="s">
        <v>228</v>
      </c>
      <c r="P56" s="100">
        <f>+R51</f>
        <v>0</v>
      </c>
    </row>
    <row r="57" spans="1:23" x14ac:dyDescent="0.3">
      <c r="O57" s="22" t="s">
        <v>236</v>
      </c>
      <c r="P57" s="100">
        <f>SUM(P54:P56)</f>
        <v>-33282549.000126377</v>
      </c>
    </row>
    <row r="58" spans="1:23" x14ac:dyDescent="0.3">
      <c r="O58" s="22" t="s">
        <v>237</v>
      </c>
      <c r="P58" s="100">
        <v>33500000</v>
      </c>
    </row>
    <row r="59" spans="1:23" x14ac:dyDescent="0.3">
      <c r="O59" s="22" t="s">
        <v>238</v>
      </c>
      <c r="P59" s="100">
        <f>P58+P57</f>
        <v>217450.99987362325</v>
      </c>
    </row>
    <row r="60" spans="1:23" x14ac:dyDescent="0.3">
      <c r="P60" s="100"/>
    </row>
  </sheetData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Project Overview</vt:lpstr>
      <vt:lpstr>Historical Financial Info</vt:lpstr>
      <vt:lpstr>Inputs</vt:lpstr>
      <vt:lpstr>Debt Profile</vt:lpstr>
      <vt:lpstr>ERU Forecast</vt:lpstr>
      <vt:lpstr>Capacity</vt:lpstr>
      <vt:lpstr>ERU Sum by Month</vt:lpstr>
      <vt:lpstr>Const cost summary</vt:lpstr>
      <vt:lpstr>Const cost</vt:lpstr>
      <vt:lpstr>fromGSE</vt:lpstr>
      <vt:lpstr>'Const cost'!Print_Area</vt:lpstr>
      <vt:lpstr>'Const cost summary'!Print_Area</vt:lpstr>
      <vt:lpstr>'ERU Forecast'!Print_Area</vt:lpstr>
      <vt:lpstr>'ERU Sum by Month'!Print_Area</vt:lpstr>
      <vt:lpstr>'Historical Financial Info'!Print_Area</vt:lpstr>
      <vt:lpstr>Inputs!Print_Area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Giesbrecht</dc:creator>
  <cp:lastModifiedBy>Jace Perry</cp:lastModifiedBy>
  <cp:lastPrinted>2023-04-11T19:31:42Z</cp:lastPrinted>
  <dcterms:created xsi:type="dcterms:W3CDTF">2022-10-05T20:59:06Z</dcterms:created>
  <dcterms:modified xsi:type="dcterms:W3CDTF">2024-07-10T21:24:19Z</dcterms:modified>
</cp:coreProperties>
</file>